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4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9" i="18" l="1"/>
  <c r="V49" i="18"/>
  <c r="U49" i="18"/>
  <c r="T49" i="18"/>
  <c r="S49" i="18"/>
  <c r="R49" i="18"/>
  <c r="Q49" i="18"/>
  <c r="P49" i="18"/>
  <c r="O49" i="18"/>
  <c r="N49" i="18"/>
  <c r="M49" i="18"/>
  <c r="W48" i="18"/>
  <c r="V48" i="18"/>
  <c r="U48" i="18"/>
  <c r="T48" i="18"/>
  <c r="S48" i="18"/>
  <c r="R48" i="18"/>
  <c r="Q48" i="18"/>
  <c r="P48" i="18"/>
  <c r="O48" i="18"/>
  <c r="N48" i="18"/>
  <c r="M48" i="18"/>
  <c r="W47" i="18"/>
  <c r="V47" i="18"/>
  <c r="U47" i="18"/>
  <c r="T47" i="18"/>
  <c r="S47" i="18"/>
  <c r="R47" i="18"/>
  <c r="Q47" i="18"/>
  <c r="P47" i="18"/>
  <c r="O47" i="18"/>
  <c r="N47" i="18"/>
  <c r="M47" i="18"/>
  <c r="W46" i="18"/>
  <c r="H9" i="18" s="1"/>
  <c r="M77" i="14" s="1"/>
  <c r="M9" i="59" s="1"/>
  <c r="V46" i="18"/>
  <c r="U46" i="18"/>
  <c r="I9" i="18" s="1"/>
  <c r="I77" i="14" s="1"/>
  <c r="I9" i="59" s="1"/>
  <c r="T46" i="18"/>
  <c r="S46" i="18"/>
  <c r="E9" i="18" s="1"/>
  <c r="F77" i="14" s="1"/>
  <c r="F9" i="59" s="1"/>
  <c r="R46" i="18"/>
  <c r="Q46" i="18"/>
  <c r="P46" i="18"/>
  <c r="O46" i="18"/>
  <c r="N46" i="18"/>
  <c r="B9" i="18" s="1"/>
  <c r="M46" i="18"/>
  <c r="W42" i="18"/>
  <c r="V42" i="18"/>
  <c r="U42" i="18"/>
  <c r="T42" i="18"/>
  <c r="S42" i="18"/>
  <c r="R42" i="18"/>
  <c r="Q42" i="18"/>
  <c r="P42" i="18"/>
  <c r="D6" i="17" s="1"/>
  <c r="O42" i="18"/>
  <c r="N42" i="18"/>
  <c r="M42" i="18"/>
  <c r="W41" i="18"/>
  <c r="V41" i="18"/>
  <c r="U41" i="18"/>
  <c r="T41" i="18"/>
  <c r="S41" i="18"/>
  <c r="R41" i="18"/>
  <c r="Q41" i="18"/>
  <c r="P41" i="18"/>
  <c r="O41" i="18"/>
  <c r="C13" i="15" s="1"/>
  <c r="N41" i="18"/>
  <c r="M41" i="18"/>
  <c r="W40" i="18"/>
  <c r="V40" i="18"/>
  <c r="U40" i="18"/>
  <c r="T40" i="18"/>
  <c r="S40" i="18"/>
  <c r="F16" i="16" s="1"/>
  <c r="R40" i="18"/>
  <c r="Q40" i="18"/>
  <c r="P40" i="18"/>
  <c r="O40" i="18"/>
  <c r="N40" i="18"/>
  <c r="W39" i="18"/>
  <c r="V39" i="18"/>
  <c r="U39" i="18"/>
  <c r="T39" i="18"/>
  <c r="S39" i="18"/>
  <c r="R39" i="18"/>
  <c r="Q39" i="18"/>
  <c r="P39" i="18"/>
  <c r="O39" i="18"/>
  <c r="B17" i="18" s="1"/>
  <c r="N39" i="18"/>
  <c r="B8" i="18" s="1"/>
  <c r="M3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D16" i="16"/>
  <c r="G20" i="59"/>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55" i="18"/>
  <c r="B59" i="18" s="1"/>
  <c r="B16" i="16"/>
  <c r="K9" i="14"/>
  <c r="H77" i="14"/>
  <c r="J11" i="48"/>
  <c r="J29" i="48" s="1"/>
  <c r="M9" i="14"/>
  <c r="L11" i="48"/>
  <c r="O19" i="14"/>
  <c r="O22" i="14" s="1"/>
  <c r="N10" i="48"/>
  <c r="N28" i="48" s="1"/>
  <c r="J19" i="14"/>
  <c r="J22" i="14" s="1"/>
  <c r="J27" i="14" s="1"/>
  <c r="I10" i="48"/>
  <c r="I28" i="48" s="1"/>
  <c r="J19" i="19"/>
  <c r="K39" i="14" s="1"/>
  <c r="N19" i="19"/>
  <c r="O39" i="14" s="1"/>
  <c r="C55" i="18"/>
  <c r="I5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58" i="18"/>
  <c r="E8" i="18" s="1"/>
  <c r="F76" i="14" s="1"/>
  <c r="F7" i="48"/>
  <c r="F25" i="48" s="1"/>
  <c r="D58" i="18"/>
  <c r="O9" i="18"/>
  <c r="M29" i="48"/>
  <c r="F12" i="17"/>
  <c r="G54" i="14" s="1"/>
  <c r="G56" i="14" s="1"/>
  <c r="C59" i="18"/>
  <c r="C58" i="18"/>
  <c r="B10" i="18"/>
  <c r="E59" i="18"/>
  <c r="E17" i="18" s="1"/>
  <c r="F87" i="14" s="1"/>
  <c r="G59" i="18"/>
  <c r="D7" i="48"/>
  <c r="D25" i="48" s="1"/>
  <c r="H58" i="18"/>
  <c r="G58" i="18"/>
  <c r="D59" i="18"/>
  <c r="L28" i="48"/>
  <c r="H59" i="18"/>
  <c r="I59" i="18"/>
  <c r="H17" i="18" s="1"/>
  <c r="F59" i="18"/>
  <c r="F58" i="18"/>
  <c r="H10" i="18"/>
  <c r="M78" i="14"/>
  <c r="B5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10" i="17"/>
  <c r="C12" i="17" s="1"/>
  <c r="D54" i="14" s="1"/>
  <c r="D56" i="14" s="1"/>
  <c r="C17" i="49"/>
  <c r="C10" i="13"/>
  <c r="C12" i="13" s="1"/>
  <c r="D41" i="14" s="1"/>
  <c r="D46" i="14" s="1"/>
  <c r="D61" i="14" s="1"/>
  <c r="D63" i="14" s="1"/>
  <c r="C22" i="59"/>
  <c r="C20" i="16"/>
  <c r="C22" i="16" s="1"/>
  <c r="D43" i="14" s="1"/>
  <c r="C18" i="15"/>
  <c r="C20" i="15" s="1"/>
  <c r="D40" i="14" s="1"/>
  <c r="C29" i="20"/>
  <c r="C17" i="19"/>
  <c r="C19" i="19" s="1"/>
  <c r="D39" i="14" s="1"/>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<sst xmlns="http://schemas.openxmlformats.org/spreadsheetml/2006/main" count="2464" uniqueCount="907">
  <si>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</si>
  <si>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</si>
  <si>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</si>
  <si>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</si>
  <si>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</si>
  <si>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</si>
  <si>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</si>
  <si>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</si>
  <si>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</si>
  <si>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</si>
  <si>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</si>
  <si>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</si>
  <si>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</si>
  <si>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</si>
  <si>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</si>
  <si>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</si>
  <si>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</si>
  <si>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</si>
  <si>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</si>
  <si>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</si>
  <si>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</si>
  <si>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</si>
  <si>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</si>
  <si>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</si>
  <si>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</si>
  <si>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</si>
  <si>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</si>
  <si>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</si>
  <si>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</si>
  <si>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</si>
  <si>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</si>
  <si>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</si>
  <si>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</si>
  <si>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</si>
  <si>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</si>
  <si>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</si>
  <si>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</si>
  <si>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</si>
  <si>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</si>
  <si>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</si>
  <si>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</si>
  <si>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</si>
  <si>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</si>
  <si>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</si>
  <si>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</si>
  <si>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</si>
  <si>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</si>
  <si>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</si>
  <si>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</si>
  <si>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</si>
  <si>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</si>
  <si>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</si>
  <si>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</si>
  <si>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</si>
  <si>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</si>
  <si>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</si>
  <si>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</si>
  <si>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</si>
  <si>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</si>
  <si>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</si>
  <si>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</si>
  <si>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</si>
  <si>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</si>
  <si>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</si>
  <si>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</si>
  <si>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</si>
  <si>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</si>
  <si>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</si>
  <si>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</si>
  <si>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</si>
  <si>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</si>
  <si>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</si>
  <si>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</si>
  <si>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</si>
  <si>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</si>
  <si>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</si>
  <si>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</si>
  <si>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</si>
  <si>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</si>
  <si>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</si>
  <si>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</si>
  <si>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</si>
  <si>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</si>
  <si>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</si>
  <si>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</si>
  <si>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</si>
  <si>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</si>
  <si>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</si>
  <si>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</si>
  <si>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</si>
  <si>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</si>
  <si>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</si>
  <si>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</si>
  <si>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</si>
  <si>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</si>
  <si>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</si>
  <si>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</si>
  <si>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</si>
  <si>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</si>
  <si>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</si>
  <si>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</si>
  <si>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</si>
  <si>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</si>
  <si>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</si>
  <si>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</si>
  <si>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</si>
  <si>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</si>
  <si>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</si>
  <si>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</si>
  <si>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</si>
  <si>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</si>
  <si>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</si>
  <si>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</si>
  <si>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</si>
  <si>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</si>
  <si>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</si>
  <si>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</si>
  <si>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</si>
  <si>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</si>
  <si>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</si>
  <si>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</si>
  <si>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</si>
  <si>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</si>
  <si>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</si>
  <si>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</si>
  <si>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</si>
  <si>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</si>
  <si>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</si>
  <si>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</si>
  <si>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</si>
  <si>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</si>
  <si>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</si>
  <si>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</si>
  <si>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</si>
  <si>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</si>
  <si>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</si>
  <si>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</si>
  <si>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</si>
  <si>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</si>
  <si>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</si>
  <si>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</si>
  <si>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</si>
  <si>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</si>
  <si>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</si>
  <si>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</si>
  <si>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</si>
  <si>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</si>
  <si>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</si>
  <si>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</si>
  <si>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</si>
  <si>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</si>
  <si>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</si>
  <si>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</si>
  <si>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</si>
  <si>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</si>
  <si>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</si>
  <si>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</si>
  <si>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</si>
  <si>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</si>
  <si>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</si>
  <si>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</si>
  <si>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</si>
  <si>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</si>
  <si>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</si>
  <si>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</si>
  <si>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</si>
  <si>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</si>
  <si>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</si>
  <si>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</si>
  <si>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</si>
  <si>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</si>
  <si>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</si>
  <si>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</si>
  <si>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</si>
  <si>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</si>
  <si>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</si>
  <si>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</si>
  <si>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</si>
  <si>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</si>
  <si>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</si>
  <si>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</si>
  <si>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</si>
  <si>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</si>
  <si>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</si>
  <si>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</si>
  <si>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</si>
  <si>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</si>
  <si>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</si>
  <si>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</si>
  <si>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</si>
  <si>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</si>
  <si>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</si>
  <si>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</si>
  <si>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</si>
  <si>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</si>
  <si>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</si>
  <si>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</si>
  <si>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</si>
  <si>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</si>
  <si>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</si>
  <si>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</si>
  <si>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</si>
  <si>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</si>
  <si>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</si>
  <si>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</si>
  <si>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</si>
  <si>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</si>
  <si>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</si>
  <si>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</si>
  <si>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</si>
  <si>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</si>
  <si>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</si>
  <si>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</si>
  <si>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</si>
  <si>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</si>
  <si>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</si>
  <si>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</si>
  <si>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</si>
  <si>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</si>
  <si>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</si>
  <si>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</si>
  <si>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</si>
  <si>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</si>
  <si>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</si>
  <si>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</si>
  <si>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</si>
  <si>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</si>
  <si>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</si>
  <si>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</si>
  <si>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</si>
  <si>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</si>
  <si>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</si>
  <si>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</si>
  <si>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</si>
  <si>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</si>
  <si>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</si>
  <si>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</si>
  <si>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</si>
  <si>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</si>
  <si>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</si>
  <si>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</si>
  <si>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</si>
  <si>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</si>
  <si>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</si>
  <si>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</si>
  <si>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</si>
  <si>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</si>
  <si>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</si>
  <si>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</si>
  <si>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</si>
  <si>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</si>
  <si>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</si>
  <si>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</si>
  <si>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</si>
  <si>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</si>
  <si>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</si>
  <si>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</si>
  <si>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</si>
  <si>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</si>
  <si>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</si>
  <si>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</si>
  <si>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</si>
  <si>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</si>
  <si>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</si>
  <si>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</si>
  <si>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</si>
  <si>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</si>
  <si>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</si>
  <si>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</si>
  <si>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</si>
  <si>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</si>
  <si>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</si>
  <si>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</si>
  <si>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</si>
  <si>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</si>
  <si>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</si>
  <si>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</si>
  <si>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</si>
  <si>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</si>
  <si>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</si>
  <si>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</si>
  <si>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</si>
  <si>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</si>
  <si>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</si>
  <si>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</si>
  <si>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</si>
  <si>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</si>
  <si>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</si>
  <si>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</si>
  <si>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</si>
  <si>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</si>
  <si>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</si>
  <si>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</si>
  <si>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</si>
  <si>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</si>
  <si>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</si>
  <si>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</si>
  <si>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</si>
  <si>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</si>
  <si>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</si>
  <si>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</si>
  <si>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</si>
  <si>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</si>
  <si>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</si>
  <si>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</si>
  <si>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</si>
  <si>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</si>
  <si>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</si>
  <si>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</si>
  <si>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</si>
  <si>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</si>
  <si>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</si>
  <si>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</si>
  <si>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</si>
  <si>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</si>
  <si>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</si>
  <si>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</si>
  <si>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</si>
  <si>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</si>
  <si>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</si>
  <si>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</si>
  <si>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</si>
  <si>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</si>
  <si>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</si>
  <si>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</si>
  <si>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</si>
  <si>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</si>
  <si>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</si>
  <si>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</si>
  <si>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</si>
  <si>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</si>
  <si>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</si>
  <si>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</si>
  <si>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</si>
  <si>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</si>
  <si>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</si>
  <si>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</si>
  <si>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</si>
  <si>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</si>
  <si>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</si>
  <si>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</si>
  <si>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</si>
  <si>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</si>
  <si>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</si>
  <si>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</si>
  <si>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</si>
  <si>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</si>
  <si>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</si>
  <si>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</si>
  <si>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</si>
  <si>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</si>
  <si>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</si>
  <si>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</si>
  <si>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</si>
  <si>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</si>
  <si>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</si>
  <si>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</si>
  <si>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</si>
  <si>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</si>
  <si>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</si>
  <si>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</si>
  <si>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</si>
  <si>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</si>
  <si>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</si>
  <si>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</si>
  <si>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</si>
  <si>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</si>
  <si>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</si>
  <si>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</si>
  <si>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</si>
  <si>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</si>
  <si>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</si>
  <si>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</si>
  <si>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</si>
  <si>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</si>
  <si>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</si>
  <si>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</si>
  <si>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</si>
  <si>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</si>
  <si>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</si>
  <si>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</si>
  <si>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</si>
  <si>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</si>
  <si>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</si>
  <si>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</si>
  <si>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</si>
  <si>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</si>
  <si>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</si>
  <si>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</si>
  <si>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</si>
  <si>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</si>
  <si>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</si>
  <si>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</si>
  <si>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</si>
  <si>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</si>
  <si>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</si>
  <si>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</si>
  <si>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</si>
  <si>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</si>
  <si>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</si>
  <si>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</si>
  <si>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</si>
  <si>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</si>
  <si>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</si>
  <si>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</si>
  <si>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</si>
  <si>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</si>
  <si>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</si>
  <si>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</si>
  <si>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</si>
  <si>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</si>
  <si>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</si>
  <si>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</si>
  <si>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</si>
  <si>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</si>
  <si>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</si>
  <si>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</si>
  <si>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</si>
  <si>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</si>
  <si>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</si>
  <si>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</si>
  <si>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</si>
  <si>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</si>
  <si>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</si>
  <si>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</si>
  <si>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</si>
  <si>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</si>
  <si>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</si>
  <si>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</si>
  <si>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</si>
  <si>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</si>
  <si>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</si>
  <si>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</si>
  <si>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</si>
  <si>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</si>
  <si>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</si>
  <si>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</si>
  <si>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</si>
  <si>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</si>
  <si>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</si>
  <si>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</si>
  <si>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</si>
  <si>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</si>
  <si>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</si>
  <si>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</si>
  <si>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</si>
  <si>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</si>
  <si>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</si>
  <si>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</si>
  <si>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</si>
  <si>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</si>
  <si>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</si>
  <si>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</si>
  <si>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</si>
  <si>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</si>
  <si>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</si>
  <si>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</si>
  <si>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</si>
  <si>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</si>
  <si>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</si>
  <si>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</si>
  <si>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</si>
  <si>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</si>
  <si>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</si>
  <si>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</si>
  <si>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</si>
  <si>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</si>
  <si>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</si>
  <si>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</si>
  <si>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</si>
  <si>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</si>
  <si>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</si>
  <si>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</si>
  <si>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</si>
  <si>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</si>
  <si>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</si>
  <si>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</si>
  <si>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</si>
  <si>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</si>
  <si>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</si>
  <si>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</si>
  <si>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</si>
  <si>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</si>
  <si>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</si>
  <si>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</si>
  <si>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</si>
  <si>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</si>
  <si>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</si>
  <si>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</si>
  <si>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</si>
  <si>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</si>
  <si>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</si>
  <si>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</si>
  <si>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</si>
  <si>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</si>
  <si>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</si>
  <si>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</si>
  <si>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</si>
  <si>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</si>
  <si>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</si>
  <si>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</si>
  <si>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</si>
  <si>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</si>
  <si>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</si>
  <si>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</si>
  <si>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</si>
  <si>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</si>
  <si>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</si>
  <si>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</si>
  <si>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</si>
  <si>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</si>
  <si>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</si>
  <si>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</si>
  <si>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</si>
  <si>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</si>
  <si>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</si>
  <si>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</si>
  <si>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</si>
  <si>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</si>
  <si>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</si>
  <si>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</si>
  <si>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</si>
  <si>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</si>
  <si>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</si>
  <si>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</si>
  <si>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</si>
  <si>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</si>
  <si>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</si>
  <si>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</si>
  <si>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</si>
  <si>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</si>
  <si>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</si>
  <si>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</si>
  <si>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</si>
  <si>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</si>
  <si>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</si>
  <si>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</si>
  <si>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</si>
  <si>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</si>
  <si>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</si>
  <si>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</si>
  <si>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</si>
  <si>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</si>
  <si>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</si>
  <si>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</si>
  <si>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</si>
  <si>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</si>
  <si>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</si>
  <si>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</si>
  <si>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</si>
  <si>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</si>
  <si>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</si>
  <si>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</si>
  <si>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</si>
  <si>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</si>
  <si>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</si>
  <si>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</si>
  <si>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</si>
  <si>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</si>
  <si>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</si>
  <si>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</si>
  <si>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</si>
  <si>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</si>
  <si>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</si>
  <si>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</si>
  <si>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</si>
  <si>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</si>
  <si>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</si>
  <si>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</si>
  <si>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</si>
  <si>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</si>
  <si>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</si>
  <si>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</si>
  <si>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</si>
  <si>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</si>
  <si>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</si>
  <si>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</si>
  <si>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</si>
  <si>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</si>
  <si>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</si>
  <si>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</si>
  <si>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</si>
  <si>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</si>
  <si>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</si>
  <si>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</si>
  <si>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</si>
  <si>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</si>
  <si>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</si>
  <si>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</si>
  <si>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</si>
  <si>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</si>
  <si>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</si>
  <si>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</si>
  <si>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</si>
  <si>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</si>
  <si>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</si>
  <si>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</si>
  <si>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</si>
  <si>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</si>
  <si>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</si>
  <si>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</si>
  <si>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</si>
  <si>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</si>
  <si>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</si>
  <si>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</si>
  <si>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</si>
  <si>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</si>
  <si>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</si>
  <si>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</si>
  <si>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</si>
  <si>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</si>
  <si>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</si>
  <si>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</si>
  <si>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</si>
  <si>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</si>
  <si>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</si>
  <si>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</si>
  <si>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</si>
  <si>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</si>
  <si>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</si>
  <si>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</si>
  <si>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</si>
  <si>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</si>
  <si>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</si>
  <si>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</si>
  <si>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</si>
  <si>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</si>
  <si>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</si>
  <si>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</si>
  <si>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</si>
  <si>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</si>
  <si>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</si>
  <si>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</si>
  <si>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</si>
  <si>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</si>
  <si>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</si>
  <si>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</si>
  <si>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</si>
  <si>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</si>
  <si>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</si>
  <si>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</si>
  <si>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</si>
  <si>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</si>
  <si>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</si>
  <si>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</si>
  <si>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</si>
  <si>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</si>
  <si>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</si>
  <si>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</si>
  <si>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</si>
  <si>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</si>
  <si>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</si>
  <si>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</si>
  <si>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</si>
  <si>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</si>
  <si>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</si>
  <si>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</si>
  <si>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</si>
  <si>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</si>
  <si>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</si>
  <si>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</si>
  <si>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</si>
  <si>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</si>
  <si>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</si>
  <si>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</si>
  <si>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</si>
  <si>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</si>
  <si>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</si>
  <si>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</si>
  <si>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</si>
  <si>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</si>
  <si>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</si>
  <si>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</si>
  <si>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</si>
  <si>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</si>
  <si>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</si>
  <si>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</si>
  <si>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</si>
  <si>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</si>
  <si>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</si>
  <si>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</si>
  <si>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</si>
  <si>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</si>
  <si>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</si>
  <si>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</si>
  <si>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</si>
  <si>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</si>
  <si>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</si>
  <si>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</si>
  <si>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</si>
  <si>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</si>
  <si>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</si>
  <si>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</si>
  <si>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</si>
  <si>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</si>
  <si>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</si>
  <si>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</si>
  <si>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</si>
  <si>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</si>
  <si>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</si>
  <si>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</si>
  <si>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</si>
  <si>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</si>
  <si>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</si>
  <si>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</si>
  <si>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</si>
  <si>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</si>
  <si>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</si>
  <si>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</si>
  <si>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</si>
  <si>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</si>
  <si>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</si>
  <si>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</si>
  <si>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</si>
  <si>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</si>
  <si>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</si>
  <si>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</si>
  <si>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</si>
  <si>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</si>
  <si>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</si>
  <si>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</si>
  <si>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</si>
  <si>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</si>
  <si>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</si>
  <si>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</si>
  <si>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</si>
  <si>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</si>
  <si>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</si>
  <si>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</si>
  <si>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</si>
  <si>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</si>
  <si>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</si>
  <si>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</si>
  <si>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</si>
  <si>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</si>
  <si>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</si>
  <si>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</si>
  <si>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</si>
  <si>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</si>
  <si>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</si>
  <si>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</si>
  <si>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</si>
  <si>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</si>
  <si>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</si>
  <si>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</si>
  <si>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</si>
  <si>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</si>
  <si>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</si>
  <si>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</si>
  <si>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</si>
  <si>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</si>
  <si>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</si>
  <si>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</si>
  <si>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</si>
  <si>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</si>
  <si>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</si>
  <si>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</si>
  <si>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</si>
  <si>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</si>
  <si>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</si>
  <si>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</si>
  <si>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</si>
  <si>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</si>
  <si>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</si>
  <si>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</si>
  <si>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</si>
  <si>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</si>
  <si>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</si>
  <si>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</si>
  <si>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</si>
  <si>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</si>
  <si>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</si>
  <si>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</si>
  <si>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</si>
  <si>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</si>
  <si>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</si>
  <si>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</si>
  <si>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</si>
  <si>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</si>
  <si>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</si>
  <si>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</si>
  <si>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</si>
  <si>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</si>
  <si>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</si>
  <si>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</si>
  <si>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</si>
  <si>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</si>
  <si>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</si>
  <si>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</si>
  <si>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</si>
  <si>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</si>
  <si>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</si>
  <si>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</si>
  <si>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</si>
  <si>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</si>
  <si>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</si>
  <si>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</si>
  <si>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</si>
  <si>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</si>
  <si>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</si>
  <si>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</si>
  <si>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</si>
  <si>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</si>
  <si>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</si>
  <si>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</si>
  <si>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</si>
  <si>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</si>
  <si>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</si>
  <si>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</si>
  <si>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</si>
  <si>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</si>
  <si>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</si>
  <si>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</si>
  <si>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</si>
  <si>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</si>
  <si>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</si>
  <si>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</si>
  <si>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</si>
  <si>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</si>
  <si>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</si>
  <si>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</si>
  <si>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</si>
  <si>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</si>
  <si>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</si>
  <si>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</si>
  <si>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</si>
  <si>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</si>
  <si>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</si>
  <si>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</si>
  <si>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</si>
  <si>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</si>
  <si>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</si>
  <si>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</si>
  <si>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</si>
  <si>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</si>
  <si>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</si>
  <si>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</si>
  <si>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</si>
  <si>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</si>
  <si>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</si>
  <si>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</si>
  <si>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</si>
  <si>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</si>
  <si>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</si>
  <si>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</si>
  <si>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</si>
  <si>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</si>
  <si>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</si>
  <si>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</si>
  <si>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</si>
  <si>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</si>
  <si>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</si>
  <si>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</si>
  <si>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</si>
  <si>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</si>
  <si>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</si>
  <si>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</si>
  <si>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</si>
  <si>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</si>
  <si>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</si>
  <si>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</si>
  <si>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</si>
  <si>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12009</t>
  </si>
  <si>
    <t>DUFFEL</t>
  </si>
  <si>
    <t>referentietaak LNE (2017); Jaarverslag De Lijn</t>
  </si>
  <si>
    <t>T.B.O. Pittori bvba</t>
  </si>
  <si>
    <t>Zijpstraat 130, 2570 Duffel</t>
  </si>
  <si>
    <t>WKK-0056 Pittori Zijpstraat</t>
  </si>
  <si>
    <t>interne verbrandingsmotor</t>
  </si>
  <si>
    <t>WKK interne verbrandinsgmotor (gas)</t>
  </si>
  <si>
    <t>IMEA</t>
  </si>
  <si>
    <t>LENTSCHE HEYDE bvba</t>
  </si>
  <si>
    <t>Lintseheide 39B, 2570 Duffel</t>
  </si>
  <si>
    <t>WKK-0073 Didier Algoet</t>
  </si>
  <si>
    <t>De Wit Dirk</t>
  </si>
  <si>
    <t>Straatjesbossen 13b, 2570 Duffel</t>
  </si>
  <si>
    <t>WKK-0074 De Wit Dirk</t>
  </si>
  <si>
    <t>Zwarthout Energie BVBA</t>
  </si>
  <si>
    <t>Zwarthoutstraat 21 , 2570 Duffel</t>
  </si>
  <si>
    <t>WKK-0137 Zwarthout Energie</t>
  </si>
  <si>
    <t>Zwarthoutstraat 21, 2570 Duffel</t>
  </si>
  <si>
    <t>Alnica NV</t>
  </si>
  <si>
    <t>Mijlstraat 265, 2570 Duffel</t>
  </si>
  <si>
    <t>WKK-0121 Alnica</t>
  </si>
  <si>
    <t>Tovabo bvba</t>
  </si>
  <si>
    <t>Zijpstraat 39c, 2570 Duffel</t>
  </si>
  <si>
    <t>WKK-0115 Tovabo bvba</t>
  </si>
  <si>
    <t>Sibon bvba</t>
  </si>
  <si>
    <t>Herderstraat 13b, 2840 Rumst</t>
  </si>
  <si>
    <t>WKK-0162 Sibon bvba</t>
  </si>
  <si>
    <t>Mechelsebaan 191b, 2570 Duffel</t>
  </si>
  <si>
    <t>Bertels bvba</t>
  </si>
  <si>
    <t>Waarloossteenweg 16 b, 2570 Duffel</t>
  </si>
  <si>
    <t>WKK-0283 Bertels</t>
  </si>
  <si>
    <t>Waarloossteenweg 16 , 2570 Duffel</t>
  </si>
  <si>
    <t>Rovana bvba</t>
  </si>
  <si>
    <t>Hoogstraat 363 B, 2570 Duffel</t>
  </si>
  <si>
    <t>WKK-0368 Rovana</t>
  </si>
  <si>
    <t>Van Hissenhoven EBVBA</t>
  </si>
  <si>
    <t>Roetestraat 18 , 2570 Duffel</t>
  </si>
  <si>
    <t>WKK-0457 Van Hissenhoven</t>
  </si>
  <si>
    <t>WKK interne verbrandinsgmotor (vloeibaar)</t>
  </si>
  <si>
    <t>Van Hissenhoven II</t>
  </si>
  <si>
    <t>WKK-0740</t>
  </si>
  <si>
    <t>Interne verbrandingsmotor</t>
  </si>
  <si>
    <t>Roetestraat 18, 2570 Duffel, BE</t>
  </si>
  <si>
    <t>IMEA (via EANDIS)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</si>
</sst>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116024.35902604018</c:v>
                </c:pt>
                <c:pt idx="1">
                  <c:v>82706.145334363755</c:v>
                </c:pt>
                <c:pt idx="2">
                  <c:v>1224.6849999999999</c:v>
                </c:pt>
                <c:pt idx="3">
                  <c:v>216359.71097522535</c:v>
                </c:pt>
                <c:pt idx="4">
                  <c:v>434001.57625875046</c:v>
                </c:pt>
                <c:pt idx="5">
                  <c:v>57878.363764415793</c:v>
                </c:pt>
                <c:pt idx="6">
                  <c:v>1271.8715843311606</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116024.35902604018</c:v>
                </c:pt>
                <c:pt idx="1">
                  <c:v>82706.145334363755</c:v>
                </c:pt>
                <c:pt idx="2">
                  <c:v>1224.6849999999999</c:v>
                </c:pt>
                <c:pt idx="3">
                  <c:v>216359.71097522535</c:v>
                </c:pt>
                <c:pt idx="4">
                  <c:v>434001.57625875046</c:v>
                </c:pt>
                <c:pt idx="5">
                  <c:v>57878.363764415793</c:v>
                </c:pt>
                <c:pt idx="6">
                  <c:v>1271.8715843311606</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22062.447871108252</c:v>
                </c:pt>
                <c:pt idx="1">
                  <c:v>16906.80553471412</c:v>
                </c:pt>
                <c:pt idx="2">
                  <c:v>266.91107046659079</c:v>
                </c:pt>
                <c:pt idx="3">
                  <c:v>50931.335895600343</c:v>
                </c:pt>
                <c:pt idx="4">
                  <c:v>89550.392582445842</c:v>
                </c:pt>
                <c:pt idx="5">
                  <c:v>14384.946754125885</c:v>
                </c:pt>
                <c:pt idx="6">
                  <c:v>322.11018004043677</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22062.447871108252</c:v>
                </c:pt>
                <c:pt idx="1">
                  <c:v>16906.80553471412</c:v>
                </c:pt>
                <c:pt idx="2">
                  <c:v>266.91107046659079</c:v>
                </c:pt>
                <c:pt idx="3">
                  <c:v>50931.335895600343</c:v>
                </c:pt>
                <c:pt idx="4">
                  <c:v>89550.392582445842</c:v>
                </c:pt>
                <c:pt idx="5">
                  <c:v>14384.946754125885</c:v>
                </c:pt>
                <c:pt idx="6">
                  <c:v>322.11018004043677</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12009</v>
      </c>
      <c r="B6" s="392"/>
      <c r="C6" s="393"/>
    </row>
    <row r="7" spans="1:7" s="390" customFormat="1" ht="15.75" customHeight="1">
      <c r="A7" s="394" t="str">
        <f>txtMunicipality</f>
        <v>DUFFEL</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0.21794263052669935</v>
      </c>
      <c r="C17" s="504">
        <f ca="1">'EF ele_warmte'!B22</f>
        <v>0.23764705882352949</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0.21794263052669935</v>
      </c>
      <c r="C29" s="505">
        <f ca="1">'EF ele_warmte'!B22</f>
        <v>0.23764705882352949</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7255</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709.89</v>
      </c>
      <c r="C14" s="332"/>
      <c r="D14" s="332"/>
      <c r="E14" s="332"/>
      <c r="F14" s="332"/>
    </row>
    <row r="15" spans="1:6">
      <c r="A15" s="1310" t="s">
        <v>183</v>
      </c>
      <c r="B15" s="1311">
        <v>3</v>
      </c>
      <c r="C15" s="332"/>
      <c r="D15" s="332"/>
      <c r="E15" s="332"/>
      <c r="F15" s="332"/>
    </row>
    <row r="16" spans="1:6">
      <c r="A16" s="1310" t="s">
        <v>6</v>
      </c>
      <c r="B16" s="1311">
        <v>146</v>
      </c>
      <c r="C16" s="332"/>
      <c r="D16" s="332"/>
      <c r="E16" s="332"/>
      <c r="F16" s="332"/>
    </row>
    <row r="17" spans="1:6">
      <c r="A17" s="1310" t="s">
        <v>7</v>
      </c>
      <c r="B17" s="1311">
        <v>80</v>
      </c>
      <c r="C17" s="332"/>
      <c r="D17" s="332"/>
      <c r="E17" s="332"/>
      <c r="F17" s="332"/>
    </row>
    <row r="18" spans="1:6">
      <c r="A18" s="1310" t="s">
        <v>8</v>
      </c>
      <c r="B18" s="1311">
        <v>146</v>
      </c>
      <c r="C18" s="332"/>
      <c r="D18" s="332"/>
      <c r="E18" s="332"/>
      <c r="F18" s="332"/>
    </row>
    <row r="19" spans="1:6">
      <c r="A19" s="1310" t="s">
        <v>9</v>
      </c>
      <c r="B19" s="1311">
        <v>119</v>
      </c>
      <c r="C19" s="332"/>
      <c r="D19" s="332"/>
      <c r="E19" s="332"/>
      <c r="F19" s="332"/>
    </row>
    <row r="20" spans="1:6">
      <c r="A20" s="1310" t="s">
        <v>10</v>
      </c>
      <c r="B20" s="1311">
        <v>123</v>
      </c>
      <c r="C20" s="332"/>
      <c r="D20" s="332"/>
      <c r="E20" s="332"/>
      <c r="F20" s="332"/>
    </row>
    <row r="21" spans="1:6">
      <c r="A21" s="1310" t="s">
        <v>11</v>
      </c>
      <c r="B21" s="1311">
        <v>0</v>
      </c>
      <c r="C21" s="332"/>
      <c r="D21" s="332"/>
      <c r="E21" s="332"/>
      <c r="F21" s="332"/>
    </row>
    <row r="22" spans="1:6">
      <c r="A22" s="1310" t="s">
        <v>12</v>
      </c>
      <c r="B22" s="1311">
        <v>0</v>
      </c>
      <c r="C22" s="332"/>
      <c r="D22" s="332"/>
      <c r="E22" s="332"/>
      <c r="F22" s="332"/>
    </row>
    <row r="23" spans="1:6">
      <c r="A23" s="1310" t="s">
        <v>13</v>
      </c>
      <c r="B23" s="1311">
        <v>0</v>
      </c>
      <c r="C23" s="332"/>
      <c r="D23" s="332"/>
      <c r="E23" s="332"/>
      <c r="F23" s="332"/>
    </row>
    <row r="24" spans="1:6">
      <c r="A24" s="1310" t="s">
        <v>14</v>
      </c>
      <c r="B24" s="1311">
        <v>0</v>
      </c>
      <c r="C24" s="332"/>
      <c r="D24" s="332"/>
      <c r="E24" s="332"/>
      <c r="F24" s="332"/>
    </row>
    <row r="25" spans="1:6">
      <c r="A25" s="1310" t="s">
        <v>15</v>
      </c>
      <c r="B25" s="1311">
        <v>0</v>
      </c>
      <c r="C25" s="332"/>
      <c r="D25" s="332"/>
      <c r="E25" s="332"/>
      <c r="F25" s="332"/>
    </row>
    <row r="26" spans="1:6">
      <c r="A26" s="1310" t="s">
        <v>16</v>
      </c>
      <c r="B26" s="1311">
        <v>161</v>
      </c>
      <c r="C26" s="332"/>
      <c r="D26" s="332"/>
      <c r="E26" s="332"/>
      <c r="F26" s="332"/>
    </row>
    <row r="27" spans="1:6">
      <c r="A27" s="1310" t="s">
        <v>17</v>
      </c>
      <c r="B27" s="1311">
        <v>7</v>
      </c>
      <c r="C27" s="332"/>
      <c r="D27" s="332"/>
      <c r="E27" s="332"/>
      <c r="F27" s="332"/>
    </row>
    <row r="28" spans="1:6" s="43" customFormat="1">
      <c r="A28" s="1312" t="s">
        <v>18</v>
      </c>
      <c r="B28" s="1313">
        <v>100</v>
      </c>
      <c r="C28" s="338"/>
      <c r="D28" s="338"/>
      <c r="E28" s="338"/>
      <c r="F28" s="338"/>
    </row>
    <row r="29" spans="1:6">
      <c r="A29" s="1312" t="s">
        <v>699</v>
      </c>
      <c r="B29" s="1313">
        <v>108</v>
      </c>
      <c r="C29" s="338"/>
      <c r="D29" s="338"/>
      <c r="E29" s="338"/>
      <c r="F29" s="338"/>
    </row>
    <row r="30" spans="1:6">
      <c r="A30" s="1305" t="s">
        <v>700</v>
      </c>
      <c r="B30" s="1314">
        <v>30</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5</v>
      </c>
      <c r="F36" s="1311">
        <v>1593238.6664219201</v>
      </c>
    </row>
    <row r="37" spans="1:6">
      <c r="A37" s="1310" t="s">
        <v>24</v>
      </c>
      <c r="B37" s="1310" t="s">
        <v>27</v>
      </c>
      <c r="C37" s="1311">
        <v>0</v>
      </c>
      <c r="D37" s="1311">
        <v>0</v>
      </c>
      <c r="E37" s="1311">
        <v>0</v>
      </c>
      <c r="F37" s="1311">
        <v>0</v>
      </c>
    </row>
    <row r="38" spans="1:6">
      <c r="A38" s="1310" t="s">
        <v>24</v>
      </c>
      <c r="B38" s="1310" t="s">
        <v>28</v>
      </c>
      <c r="C38" s="1311">
        <v>1</v>
      </c>
      <c r="D38" s="1311">
        <v>43964935.5814</v>
      </c>
      <c r="E38" s="1311">
        <v>0</v>
      </c>
      <c r="F38" s="1311">
        <v>0</v>
      </c>
    </row>
    <row r="39" spans="1:6">
      <c r="A39" s="1310" t="s">
        <v>29</v>
      </c>
      <c r="B39" s="1310" t="s">
        <v>30</v>
      </c>
      <c r="C39" s="1311">
        <v>5827</v>
      </c>
      <c r="D39" s="1311">
        <v>84563714.519419506</v>
      </c>
      <c r="E39" s="1311">
        <v>7266</v>
      </c>
      <c r="F39" s="1311">
        <v>24240200.315984901</v>
      </c>
    </row>
    <row r="40" spans="1:6">
      <c r="A40" s="1310" t="s">
        <v>29</v>
      </c>
      <c r="B40" s="1310" t="s">
        <v>28</v>
      </c>
      <c r="C40" s="1311">
        <v>0</v>
      </c>
      <c r="D40" s="1311">
        <v>0</v>
      </c>
      <c r="E40" s="1311">
        <v>0</v>
      </c>
      <c r="F40" s="1311">
        <v>0</v>
      </c>
    </row>
    <row r="41" spans="1:6">
      <c r="A41" s="1310" t="s">
        <v>31</v>
      </c>
      <c r="B41" s="1310" t="s">
        <v>32</v>
      </c>
      <c r="C41" s="1311">
        <v>64</v>
      </c>
      <c r="D41" s="1311">
        <v>1248844.49788046</v>
      </c>
      <c r="E41" s="1311">
        <v>106</v>
      </c>
      <c r="F41" s="1311">
        <v>930187.99273942702</v>
      </c>
    </row>
    <row r="42" spans="1:6">
      <c r="A42" s="1310" t="s">
        <v>31</v>
      </c>
      <c r="B42" s="1310" t="s">
        <v>33</v>
      </c>
      <c r="C42" s="1311">
        <v>0</v>
      </c>
      <c r="D42" s="1311">
        <v>0</v>
      </c>
      <c r="E42" s="1311">
        <v>3</v>
      </c>
      <c r="F42" s="1311">
        <v>337049.25162968697</v>
      </c>
    </row>
    <row r="43" spans="1:6">
      <c r="A43" s="1310" t="s">
        <v>31</v>
      </c>
      <c r="B43" s="1310" t="s">
        <v>34</v>
      </c>
      <c r="C43" s="1311">
        <v>0</v>
      </c>
      <c r="D43" s="1311">
        <v>0</v>
      </c>
      <c r="E43" s="1311">
        <v>0</v>
      </c>
      <c r="F43" s="1311">
        <v>0</v>
      </c>
    </row>
    <row r="44" spans="1:6">
      <c r="A44" s="1310" t="s">
        <v>31</v>
      </c>
      <c r="B44" s="1310" t="s">
        <v>35</v>
      </c>
      <c r="C44" s="1311">
        <v>14</v>
      </c>
      <c r="D44" s="1311">
        <v>1401850.7414786201</v>
      </c>
      <c r="E44" s="1311">
        <v>21</v>
      </c>
      <c r="F44" s="1311">
        <v>1186234.9854416801</v>
      </c>
    </row>
    <row r="45" spans="1:6">
      <c r="A45" s="1310" t="s">
        <v>31</v>
      </c>
      <c r="B45" s="1310" t="s">
        <v>36</v>
      </c>
      <c r="C45" s="1311">
        <v>0</v>
      </c>
      <c r="D45" s="1311">
        <v>0</v>
      </c>
      <c r="E45" s="1311">
        <v>0</v>
      </c>
      <c r="F45" s="1311">
        <v>0</v>
      </c>
    </row>
    <row r="46" spans="1:6">
      <c r="A46" s="1310" t="s">
        <v>31</v>
      </c>
      <c r="B46" s="1310" t="s">
        <v>37</v>
      </c>
      <c r="C46" s="1311">
        <v>0</v>
      </c>
      <c r="D46" s="1311">
        <v>0</v>
      </c>
      <c r="E46" s="1311">
        <v>0</v>
      </c>
      <c r="F46" s="1311">
        <v>0</v>
      </c>
    </row>
    <row r="47" spans="1:6">
      <c r="A47" s="1310" t="s">
        <v>31</v>
      </c>
      <c r="B47" s="1310" t="s">
        <v>38</v>
      </c>
      <c r="C47" s="1311">
        <v>8</v>
      </c>
      <c r="D47" s="1311">
        <v>176883462.47149399</v>
      </c>
      <c r="E47" s="1311">
        <v>10</v>
      </c>
      <c r="F47" s="1311">
        <v>83788966.376129597</v>
      </c>
    </row>
    <row r="48" spans="1:6">
      <c r="A48" s="1310" t="s">
        <v>31</v>
      </c>
      <c r="B48" s="1310" t="s">
        <v>28</v>
      </c>
      <c r="C48" s="1311">
        <v>5</v>
      </c>
      <c r="D48" s="1311">
        <v>207455143.325434</v>
      </c>
      <c r="E48" s="1311">
        <v>3</v>
      </c>
      <c r="F48" s="1311">
        <v>7427.4440542109996</v>
      </c>
    </row>
    <row r="49" spans="1:6">
      <c r="A49" s="1310" t="s">
        <v>31</v>
      </c>
      <c r="B49" s="1310" t="s">
        <v>39</v>
      </c>
      <c r="C49" s="1311">
        <v>0</v>
      </c>
      <c r="D49" s="1311">
        <v>0</v>
      </c>
      <c r="E49" s="1311">
        <v>0</v>
      </c>
      <c r="F49" s="1311">
        <v>0</v>
      </c>
    </row>
    <row r="50" spans="1:6">
      <c r="A50" s="1310" t="s">
        <v>31</v>
      </c>
      <c r="B50" s="1310" t="s">
        <v>40</v>
      </c>
      <c r="C50" s="1311">
        <v>4</v>
      </c>
      <c r="D50" s="1311">
        <v>105590.525434179</v>
      </c>
      <c r="E50" s="1311">
        <v>6</v>
      </c>
      <c r="F50" s="1311">
        <v>447296.07734983403</v>
      </c>
    </row>
    <row r="51" spans="1:6">
      <c r="A51" s="1310" t="s">
        <v>41</v>
      </c>
      <c r="B51" s="1310" t="s">
        <v>42</v>
      </c>
      <c r="C51" s="1311">
        <v>38</v>
      </c>
      <c r="D51" s="1311">
        <v>322585342.67777699</v>
      </c>
      <c r="E51" s="1311">
        <v>83</v>
      </c>
      <c r="F51" s="1311">
        <v>10748593.927792801</v>
      </c>
    </row>
    <row r="52" spans="1:6">
      <c r="A52" s="1310" t="s">
        <v>41</v>
      </c>
      <c r="B52" s="1310" t="s">
        <v>28</v>
      </c>
      <c r="C52" s="1311">
        <v>0</v>
      </c>
      <c r="D52" s="1311">
        <v>0</v>
      </c>
      <c r="E52" s="1311">
        <v>0</v>
      </c>
      <c r="F52" s="1311">
        <v>0</v>
      </c>
    </row>
    <row r="53" spans="1:6">
      <c r="A53" s="1310" t="s">
        <v>43</v>
      </c>
      <c r="B53" s="1310" t="s">
        <v>44</v>
      </c>
      <c r="C53" s="1311">
        <v>139</v>
      </c>
      <c r="D53" s="1311">
        <v>1722407.4796611599</v>
      </c>
      <c r="E53" s="1311">
        <v>262</v>
      </c>
      <c r="F53" s="1311">
        <v>758460.04226081003</v>
      </c>
    </row>
    <row r="54" spans="1:6">
      <c r="A54" s="1310" t="s">
        <v>45</v>
      </c>
      <c r="B54" s="1310" t="s">
        <v>46</v>
      </c>
      <c r="C54" s="1311">
        <v>0</v>
      </c>
      <c r="D54" s="1311">
        <v>0</v>
      </c>
      <c r="E54" s="1311">
        <v>1</v>
      </c>
      <c r="F54" s="1311">
        <v>1224685</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53</v>
      </c>
      <c r="D57" s="1311">
        <v>1287607.7989199699</v>
      </c>
      <c r="E57" s="1311">
        <v>90</v>
      </c>
      <c r="F57" s="1311">
        <v>11920677.715151301</v>
      </c>
    </row>
    <row r="58" spans="1:6">
      <c r="A58" s="1310" t="s">
        <v>48</v>
      </c>
      <c r="B58" s="1310" t="s">
        <v>50</v>
      </c>
      <c r="C58" s="1311">
        <v>55</v>
      </c>
      <c r="D58" s="1311">
        <v>16537848.2165625</v>
      </c>
      <c r="E58" s="1311">
        <v>63</v>
      </c>
      <c r="F58" s="1311">
        <v>6703621.7145343199</v>
      </c>
    </row>
    <row r="59" spans="1:6">
      <c r="A59" s="1310" t="s">
        <v>48</v>
      </c>
      <c r="B59" s="1310" t="s">
        <v>51</v>
      </c>
      <c r="C59" s="1311">
        <v>104</v>
      </c>
      <c r="D59" s="1311">
        <v>7128927.2396225603</v>
      </c>
      <c r="E59" s="1311">
        <v>161</v>
      </c>
      <c r="F59" s="1311">
        <v>6388498.5550728496</v>
      </c>
    </row>
    <row r="60" spans="1:6">
      <c r="A60" s="1310" t="s">
        <v>48</v>
      </c>
      <c r="B60" s="1310" t="s">
        <v>52</v>
      </c>
      <c r="C60" s="1311">
        <v>36</v>
      </c>
      <c r="D60" s="1311">
        <v>3982405.6161565101</v>
      </c>
      <c r="E60" s="1311">
        <v>45</v>
      </c>
      <c r="F60" s="1311">
        <v>1196977.8164808999</v>
      </c>
    </row>
    <row r="61" spans="1:6">
      <c r="A61" s="1310" t="s">
        <v>48</v>
      </c>
      <c r="B61" s="1310" t="s">
        <v>53</v>
      </c>
      <c r="C61" s="1311">
        <v>164</v>
      </c>
      <c r="D61" s="1311">
        <v>11328526.1339135</v>
      </c>
      <c r="E61" s="1311">
        <v>350</v>
      </c>
      <c r="F61" s="1311">
        <v>5073491.4358446002</v>
      </c>
    </row>
    <row r="62" spans="1:6">
      <c r="A62" s="1310" t="s">
        <v>48</v>
      </c>
      <c r="B62" s="1310" t="s">
        <v>54</v>
      </c>
      <c r="C62" s="1311">
        <v>8</v>
      </c>
      <c r="D62" s="1311">
        <v>884459.28665023204</v>
      </c>
      <c r="E62" s="1311">
        <v>9</v>
      </c>
      <c r="F62" s="1311">
        <v>456463.60635907302</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3</v>
      </c>
      <c r="D65" s="1311">
        <v>46091.5223045436</v>
      </c>
      <c r="E65" s="1311">
        <v>1</v>
      </c>
      <c r="F65" s="1311">
        <v>130.0781363424</v>
      </c>
    </row>
    <row r="66" spans="1:6">
      <c r="A66" s="1310" t="s">
        <v>55</v>
      </c>
      <c r="B66" s="1310" t="s">
        <v>57</v>
      </c>
      <c r="C66" s="1311">
        <v>0</v>
      </c>
      <c r="D66" s="1311">
        <v>0</v>
      </c>
      <c r="E66" s="1311">
        <v>4</v>
      </c>
      <c r="F66" s="1311">
        <v>33562.473495308397</v>
      </c>
    </row>
    <row r="67" spans="1:6">
      <c r="A67" s="1312" t="s">
        <v>55</v>
      </c>
      <c r="B67" s="1312" t="s">
        <v>58</v>
      </c>
      <c r="C67" s="1311">
        <v>0</v>
      </c>
      <c r="D67" s="1311">
        <v>0</v>
      </c>
      <c r="E67" s="1311">
        <v>0</v>
      </c>
      <c r="F67" s="1311">
        <v>0</v>
      </c>
    </row>
    <row r="68" spans="1:6">
      <c r="A68" s="1305" t="s">
        <v>55</v>
      </c>
      <c r="B68" s="1305" t="s">
        <v>59</v>
      </c>
      <c r="C68" s="1314">
        <v>0</v>
      </c>
      <c r="D68" s="1314">
        <v>0</v>
      </c>
      <c r="E68" s="1314">
        <v>10</v>
      </c>
      <c r="F68" s="1314">
        <v>70985.724465831605</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58912247</v>
      </c>
      <c r="E73" s="453"/>
      <c r="F73" s="332"/>
    </row>
    <row r="74" spans="1:6">
      <c r="A74" s="1310" t="s">
        <v>63</v>
      </c>
      <c r="B74" s="1310" t="s">
        <v>648</v>
      </c>
      <c r="C74" s="1324" t="s">
        <v>650</v>
      </c>
      <c r="D74" s="1325">
        <v>5393537.8564723032</v>
      </c>
      <c r="E74" s="453"/>
      <c r="F74" s="332"/>
    </row>
    <row r="75" spans="1:6">
      <c r="A75" s="1310" t="s">
        <v>64</v>
      </c>
      <c r="B75" s="1310" t="s">
        <v>647</v>
      </c>
      <c r="C75" s="1324" t="s">
        <v>651</v>
      </c>
      <c r="D75" s="1325">
        <v>6471700</v>
      </c>
      <c r="E75" s="453"/>
      <c r="F75" s="332"/>
    </row>
    <row r="76" spans="1:6">
      <c r="A76" s="1310" t="s">
        <v>64</v>
      </c>
      <c r="B76" s="1310" t="s">
        <v>648</v>
      </c>
      <c r="C76" s="1324" t="s">
        <v>652</v>
      </c>
      <c r="D76" s="1325">
        <v>267733.85647230304</v>
      </c>
      <c r="E76" s="453"/>
      <c r="F76" s="332"/>
    </row>
    <row r="77" spans="1:6">
      <c r="A77" s="1310" t="s">
        <v>65</v>
      </c>
      <c r="B77" s="1310" t="s">
        <v>647</v>
      </c>
      <c r="C77" s="1324" t="s">
        <v>653</v>
      </c>
      <c r="D77" s="1325">
        <v>0</v>
      </c>
      <c r="E77" s="453"/>
      <c r="F77" s="332"/>
    </row>
    <row r="78" spans="1:6">
      <c r="A78" s="1305" t="s">
        <v>65</v>
      </c>
      <c r="B78" s="1305" t="s">
        <v>648</v>
      </c>
      <c r="C78" s="1305" t="s">
        <v>654</v>
      </c>
      <c r="D78" s="1326">
        <v>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352786.28705539397</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3928.0331163227161</v>
      </c>
      <c r="C91" s="332"/>
      <c r="D91" s="332"/>
      <c r="E91" s="332"/>
      <c r="F91" s="332"/>
    </row>
    <row r="92" spans="1:6">
      <c r="A92" s="1305" t="s">
        <v>68</v>
      </c>
      <c r="B92" s="1306">
        <v>5449.2641850548125</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3973</v>
      </c>
      <c r="C97" s="332"/>
      <c r="D97" s="332"/>
      <c r="E97" s="332"/>
      <c r="F97" s="332"/>
    </row>
    <row r="98" spans="1:6">
      <c r="A98" s="1310" t="s">
        <v>71</v>
      </c>
      <c r="B98" s="1311">
        <v>11</v>
      </c>
      <c r="C98" s="332"/>
      <c r="D98" s="332"/>
      <c r="E98" s="332"/>
      <c r="F98" s="332"/>
    </row>
    <row r="99" spans="1:6">
      <c r="A99" s="1310" t="s">
        <v>72</v>
      </c>
      <c r="B99" s="1311">
        <v>28</v>
      </c>
      <c r="C99" s="332"/>
      <c r="D99" s="332"/>
      <c r="E99" s="332"/>
      <c r="F99" s="332"/>
    </row>
    <row r="100" spans="1:6">
      <c r="A100" s="1310" t="s">
        <v>73</v>
      </c>
      <c r="B100" s="1311">
        <v>541</v>
      </c>
      <c r="C100" s="332"/>
      <c r="D100" s="332"/>
      <c r="E100" s="332"/>
      <c r="F100" s="332"/>
    </row>
    <row r="101" spans="1:6">
      <c r="A101" s="1310" t="s">
        <v>74</v>
      </c>
      <c r="B101" s="1311">
        <v>56</v>
      </c>
      <c r="C101" s="332"/>
      <c r="D101" s="332"/>
      <c r="E101" s="332"/>
      <c r="F101" s="332"/>
    </row>
    <row r="102" spans="1:6">
      <c r="A102" s="1310" t="s">
        <v>75</v>
      </c>
      <c r="B102" s="1311">
        <v>72</v>
      </c>
      <c r="C102" s="332"/>
      <c r="D102" s="332"/>
      <c r="E102" s="332"/>
      <c r="F102" s="332"/>
    </row>
    <row r="103" spans="1:6">
      <c r="A103" s="1310" t="s">
        <v>76</v>
      </c>
      <c r="B103" s="1311">
        <v>142</v>
      </c>
      <c r="C103" s="332"/>
      <c r="D103" s="332"/>
      <c r="E103" s="332"/>
      <c r="F103" s="332"/>
    </row>
    <row r="104" spans="1:6">
      <c r="A104" s="1310" t="s">
        <v>77</v>
      </c>
      <c r="B104" s="1311">
        <v>1380</v>
      </c>
      <c r="C104" s="332"/>
      <c r="D104" s="332"/>
      <c r="E104" s="332"/>
      <c r="F104" s="332"/>
    </row>
    <row r="105" spans="1:6">
      <c r="A105" s="1305" t="s">
        <v>78</v>
      </c>
      <c r="B105" s="1314">
        <v>2</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2</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3</v>
      </c>
      <c r="C121" s="1311">
        <v>0</v>
      </c>
      <c r="D121" s="332"/>
      <c r="E121" s="332"/>
      <c r="F121" s="332"/>
    </row>
    <row r="122" spans="1:6">
      <c r="A122" s="1310" t="s">
        <v>86</v>
      </c>
      <c r="B122" s="1311">
        <v>0</v>
      </c>
      <c r="C122" s="1311">
        <v>0</v>
      </c>
      <c r="D122" s="332"/>
      <c r="E122" s="332"/>
      <c r="F122" s="332"/>
    </row>
    <row r="123" spans="1:6">
      <c r="A123" s="1310" t="s">
        <v>87</v>
      </c>
      <c r="B123" s="1311">
        <v>43</v>
      </c>
      <c r="C123" s="1311">
        <v>81</v>
      </c>
      <c r="D123" s="332"/>
      <c r="E123" s="332"/>
      <c r="F123" s="332"/>
    </row>
    <row r="124" spans="1:6" s="43" customFormat="1">
      <c r="A124" s="1312" t="s">
        <v>88</v>
      </c>
      <c r="B124" s="1333">
        <v>0</v>
      </c>
      <c r="C124" s="1333">
        <v>0</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112</v>
      </c>
      <c r="C129" s="332"/>
      <c r="D129" s="332"/>
      <c r="E129" s="332"/>
      <c r="F129" s="332"/>
    </row>
    <row r="130" spans="1:6">
      <c r="A130" s="1310" t="s">
        <v>294</v>
      </c>
      <c r="B130" s="1311">
        <v>2</v>
      </c>
      <c r="C130" s="332"/>
      <c r="D130" s="332"/>
      <c r="E130" s="332"/>
      <c r="F130" s="332"/>
    </row>
    <row r="131" spans="1:6">
      <c r="A131" s="1310" t="s">
        <v>295</v>
      </c>
      <c r="B131" s="1311">
        <v>0</v>
      </c>
      <c r="C131" s="332"/>
      <c r="D131" s="332"/>
      <c r="E131" s="332"/>
      <c r="F131" s="332"/>
    </row>
    <row r="132" spans="1:6">
      <c r="A132" s="1305" t="s">
        <v>296</v>
      </c>
      <c r="B132" s="1306">
        <v>22</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166401.03309114394</v>
      </c>
      <c r="C3" s="43" t="s">
        <v>169</v>
      </c>
      <c r="D3" s="43"/>
      <c r="E3" s="154"/>
      <c r="F3" s="43"/>
      <c r="G3" s="43"/>
      <c r="H3" s="43"/>
      <c r="I3" s="43"/>
      <c r="J3" s="43"/>
      <c r="K3" s="96"/>
    </row>
    <row r="4" spans="1:11">
      <c r="A4" s="360" t="s">
        <v>170</v>
      </c>
      <c r="B4" s="49">
        <f>IF(ISERROR('SEAP template'!B78+'SEAP template'!C78),0,'SEAP template'!B78+'SEAP template'!C78)</f>
        <v>103305.79730137753</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22321.831764705883</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0.21794263052669935</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31381.238949579838</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132049.76785714284</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0.23764705882352949</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1224.6849999999999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1224.6849999999999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0.21794263052669935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266.91107046659079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24240.200315984901</v>
      </c>
      <c r="C5" s="17">
        <f>IF(ISERROR('Eigen informatie GS &amp; warmtenet'!B59),0,'Eigen informatie GS &amp; warmtenet'!B59)</f>
        <v>0</v>
      </c>
      <c r="D5" s="30">
        <f>(SUM(HH_hh_gas_kWh,HH_rest_gas_kWh)/1000)*0.903</f>
        <v>76361.034211035818</v>
      </c>
      <c r="E5" s="17">
        <f>B46*B57</f>
        <v>2195.8593345893178</v>
      </c>
      <c r="F5" s="17">
        <f>B51*B62</f>
        <v>0</v>
      </c>
      <c r="G5" s="18"/>
      <c r="H5" s="17"/>
      <c r="I5" s="17"/>
      <c r="J5" s="17">
        <f>B50*B61+C50*C61</f>
        <v>0</v>
      </c>
      <c r="K5" s="17"/>
      <c r="L5" s="17"/>
      <c r="M5" s="17"/>
      <c r="N5" s="17">
        <f>B48*B59+C48*C59</f>
        <v>8231.6207567662077</v>
      </c>
      <c r="O5" s="17">
        <f>B69*B70*B71</f>
        <v>382.90393634169709</v>
      </c>
      <c r="P5" s="17">
        <f>B77*B78*B79/1000-B77*B78*B79/1000/B80</f>
        <v>684.70735499952639</v>
      </c>
    </row>
    <row r="6" spans="1:16">
      <c r="A6" s="16" t="s">
        <v>612</v>
      </c>
      <c r="B6" s="786">
        <f>kWh_PV_kleiner_dan_10kW</f>
        <v>3928.0331163227161</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28168.233432307617</v>
      </c>
      <c r="C8" s="21">
        <f>C5</f>
        <v>0</v>
      </c>
      <c r="D8" s="21">
        <f>D5</f>
        <v>76361.034211035818</v>
      </c>
      <c r="E8" s="21">
        <f>E5</f>
        <v>2195.8593345893178</v>
      </c>
      <c r="F8" s="21">
        <f>F5</f>
        <v>0</v>
      </c>
      <c r="G8" s="21"/>
      <c r="H8" s="21"/>
      <c r="I8" s="21"/>
      <c r="J8" s="21">
        <f>J5</f>
        <v>0</v>
      </c>
      <c r="K8" s="21"/>
      <c r="L8" s="21">
        <f>L5</f>
        <v>0</v>
      </c>
      <c r="M8" s="21">
        <f>M5</f>
        <v>0</v>
      </c>
      <c r="N8" s="21">
        <f>N5</f>
        <v>8231.6207567662077</v>
      </c>
      <c r="O8" s="21">
        <f>O5</f>
        <v>382.90393634169709</v>
      </c>
      <c r="P8" s="21">
        <f>P5</f>
        <v>684.70735499952639</v>
      </c>
    </row>
    <row r="9" spans="1:16">
      <c r="B9" s="19"/>
      <c r="C9" s="19"/>
      <c r="D9" s="258"/>
      <c r="E9" s="19"/>
      <c r="F9" s="19"/>
      <c r="G9" s="19"/>
      <c r="H9" s="19"/>
      <c r="I9" s="19"/>
      <c r="J9" s="19"/>
      <c r="K9" s="19"/>
      <c r="L9" s="19"/>
      <c r="M9" s="19"/>
      <c r="N9" s="19"/>
      <c r="O9" s="19"/>
      <c r="P9" s="19"/>
    </row>
    <row r="10" spans="1:16">
      <c r="A10" s="24" t="s">
        <v>213</v>
      </c>
      <c r="B10" s="25">
        <f ca="1">'EF ele_warmte'!B12</f>
        <v>0.21794263052669935</v>
      </c>
      <c r="C10" s="25">
        <f ca="1">'EF ele_warmte'!B22</f>
        <v>0.23764705882352949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6139.0588915272392</v>
      </c>
      <c r="C12" s="23">
        <f ca="1">C10*C8</f>
        <v>0</v>
      </c>
      <c r="D12" s="23">
        <f>D8*D10</f>
        <v>15424.928910629236</v>
      </c>
      <c r="E12" s="23">
        <f>E10*E8</f>
        <v>498.46006895177516</v>
      </c>
      <c r="F12" s="23">
        <f>F10*F8</f>
        <v>0</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3973</v>
      </c>
      <c r="C18" s="166" t="s">
        <v>110</v>
      </c>
      <c r="D18" s="228"/>
      <c r="E18" s="15"/>
    </row>
    <row r="19" spans="1:7">
      <c r="A19" s="171" t="s">
        <v>71</v>
      </c>
      <c r="B19" s="37">
        <f>aantalw2001_ander</f>
        <v>11</v>
      </c>
      <c r="C19" s="166" t="s">
        <v>110</v>
      </c>
      <c r="D19" s="229"/>
      <c r="E19" s="15"/>
    </row>
    <row r="20" spans="1:7">
      <c r="A20" s="171" t="s">
        <v>72</v>
      </c>
      <c r="B20" s="37">
        <f>aantalw2001_propaan</f>
        <v>28</v>
      </c>
      <c r="C20" s="167">
        <f>IF(ISERROR(B20/SUM($B$20,$B$21,$B$22)*100),0,B20/SUM($B$20,$B$21,$B$22)*100)</f>
        <v>4.4799999999999995</v>
      </c>
      <c r="D20" s="229"/>
      <c r="E20" s="15"/>
    </row>
    <row r="21" spans="1:7">
      <c r="A21" s="171" t="s">
        <v>73</v>
      </c>
      <c r="B21" s="37">
        <f>aantalw2001_elektriciteit</f>
        <v>541</v>
      </c>
      <c r="C21" s="167">
        <f>IF(ISERROR(B21/SUM($B$20,$B$21,$B$22)*100),0,B21/SUM($B$20,$B$21,$B$22)*100)</f>
        <v>86.56</v>
      </c>
      <c r="D21" s="229"/>
      <c r="E21" s="15"/>
    </row>
    <row r="22" spans="1:7">
      <c r="A22" s="171" t="s">
        <v>74</v>
      </c>
      <c r="B22" s="37">
        <f>aantalw2001_hout</f>
        <v>56</v>
      </c>
      <c r="C22" s="167">
        <f>IF(ISERROR(B22/SUM($B$20,$B$21,$B$22)*100),0,B22/SUM($B$20,$B$21,$B$22)*100)</f>
        <v>8.9599999999999991</v>
      </c>
      <c r="D22" s="229"/>
      <c r="E22" s="15"/>
    </row>
    <row r="23" spans="1:7">
      <c r="A23" s="171" t="s">
        <v>75</v>
      </c>
      <c r="B23" s="37">
        <f>aantalw2001_niet_gespec</f>
        <v>72</v>
      </c>
      <c r="C23" s="166" t="s">
        <v>110</v>
      </c>
      <c r="D23" s="228"/>
      <c r="E23" s="15"/>
    </row>
    <row r="24" spans="1:7">
      <c r="A24" s="171" t="s">
        <v>76</v>
      </c>
      <c r="B24" s="37">
        <f>aantalw2001_steenkool</f>
        <v>142</v>
      </c>
      <c r="C24" s="166" t="s">
        <v>110</v>
      </c>
      <c r="D24" s="229"/>
      <c r="E24" s="15"/>
    </row>
    <row r="25" spans="1:7">
      <c r="A25" s="171" t="s">
        <v>77</v>
      </c>
      <c r="B25" s="37">
        <f>aantalw2001_stookolie</f>
        <v>1380</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838</v>
      </c>
      <c r="B28" s="37">
        <f>aantalHuishoudens</f>
        <v>7255</v>
      </c>
      <c r="C28" s="36"/>
      <c r="D28" s="228"/>
    </row>
    <row r="29" spans="1:7" s="15" customFormat="1">
      <c r="A29" s="230" t="s">
        <v>839</v>
      </c>
      <c r="B29" s="37">
        <f>SUM(HH_hh_gas_aantal,HH_rest_gas_aantal)</f>
        <v>5827</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5827</v>
      </c>
      <c r="C32" s="167">
        <f>IF(ISERROR(B32/SUM($B$32,$B$34,$B$35,$B$36,$B$38,$B$39)*100),0,B32/SUM($B$32,$B$34,$B$35,$B$36,$B$38,$B$39)*100)</f>
        <v>81.043115438108487</v>
      </c>
      <c r="D32" s="233"/>
      <c r="G32" s="15"/>
    </row>
    <row r="33" spans="1:7">
      <c r="A33" s="171" t="s">
        <v>71</v>
      </c>
      <c r="B33" s="34" t="s">
        <v>110</v>
      </c>
      <c r="C33" s="167"/>
      <c r="D33" s="233"/>
      <c r="G33" s="15"/>
    </row>
    <row r="34" spans="1:7">
      <c r="A34" s="171" t="s">
        <v>72</v>
      </c>
      <c r="B34" s="33">
        <f>IF((($B$28-$B$32-$B$39-$B$77-$B$38)*C20/100)&lt;0,0,($B$28-$B$32-$B$39-$B$77-$B$38)*C20/100)</f>
        <v>61.062399999999997</v>
      </c>
      <c r="C34" s="167">
        <f>IF(ISERROR(B34/SUM($B$32,$B$34,$B$35,$B$36,$B$38,$B$39)*100),0,B34/SUM($B$32,$B$34,$B$35,$B$36,$B$38,$B$39)*100)</f>
        <v>0.84926842837273997</v>
      </c>
      <c r="D34" s="233"/>
      <c r="G34" s="15"/>
    </row>
    <row r="35" spans="1:7">
      <c r="A35" s="171" t="s">
        <v>73</v>
      </c>
      <c r="B35" s="33">
        <f>IF((($B$28-$B$32-$B$39-$B$77-$B$38)*C21/100)&lt;0,0,($B$28-$B$32-$B$39-$B$77-$B$38)*C21/100)</f>
        <v>1179.8127999999999</v>
      </c>
      <c r="C35" s="167">
        <f>IF(ISERROR(B35/SUM($B$32,$B$34,$B$35,$B$36,$B$38,$B$39)*100),0,B35/SUM($B$32,$B$34,$B$35,$B$36,$B$38,$B$39)*100)</f>
        <v>16.409079276773298</v>
      </c>
      <c r="D35" s="233"/>
      <c r="G35" s="15"/>
    </row>
    <row r="36" spans="1:7">
      <c r="A36" s="171" t="s">
        <v>74</v>
      </c>
      <c r="B36" s="33">
        <f>IF((($B$28-$B$32-$B$39-$B$77-$B$38)*C22/100)&lt;0,0,($B$28-$B$32-$B$39-$B$77-$B$38)*C22/100)</f>
        <v>122.12479999999999</v>
      </c>
      <c r="C36" s="167">
        <f>IF(ISERROR(B36/SUM($B$32,$B$34,$B$35,$B$36,$B$38,$B$39)*100),0,B36/SUM($B$32,$B$34,$B$35,$B$36,$B$38,$B$39)*100)</f>
        <v>1.6985368567454799</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5827</v>
      </c>
      <c r="C44" s="34" t="s">
        <v>110</v>
      </c>
      <c r="D44" s="174"/>
    </row>
    <row r="45" spans="1:7">
      <c r="A45" s="171" t="s">
        <v>71</v>
      </c>
      <c r="B45" s="33" t="str">
        <f t="shared" si="0"/>
        <v>-</v>
      </c>
      <c r="C45" s="34" t="s">
        <v>110</v>
      </c>
      <c r="D45" s="174"/>
    </row>
    <row r="46" spans="1:7">
      <c r="A46" s="171" t="s">
        <v>72</v>
      </c>
      <c r="B46" s="33">
        <f t="shared" si="0"/>
        <v>61.062399999999997</v>
      </c>
      <c r="C46" s="34" t="s">
        <v>110</v>
      </c>
      <c r="D46" s="174"/>
    </row>
    <row r="47" spans="1:7">
      <c r="A47" s="171" t="s">
        <v>73</v>
      </c>
      <c r="B47" s="33">
        <f t="shared" si="0"/>
        <v>1179.8127999999999</v>
      </c>
      <c r="C47" s="34" t="s">
        <v>110</v>
      </c>
      <c r="D47" s="174"/>
    </row>
    <row r="48" spans="1:7">
      <c r="A48" s="171" t="s">
        <v>74</v>
      </c>
      <c r="B48" s="33">
        <f t="shared" si="0"/>
        <v>122.12479999999999</v>
      </c>
      <c r="C48" s="33">
        <f>B48*10</f>
        <v>1221.248</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193</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65</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31739.730843443045</v>
      </c>
      <c r="C5" s="17">
        <f>IF(ISERROR('Eigen informatie GS &amp; warmtenet'!B60),0,'Eigen informatie GS &amp; warmtenet'!B60)</f>
        <v>0</v>
      </c>
      <c r="D5" s="30">
        <f>SUM(D6:D12)</f>
        <v>37158.246185518219</v>
      </c>
      <c r="E5" s="17">
        <f>SUM(E6:E12)</f>
        <v>194.39798591285452</v>
      </c>
      <c r="F5" s="17">
        <f>SUM(F6:F12)</f>
        <v>9135.6904683068169</v>
      </c>
      <c r="G5" s="18"/>
      <c r="H5" s="17"/>
      <c r="I5" s="17"/>
      <c r="J5" s="17">
        <f>SUM(J6:J12)</f>
        <v>0.11772646866966094</v>
      </c>
      <c r="K5" s="17"/>
      <c r="L5" s="17"/>
      <c r="M5" s="17"/>
      <c r="N5" s="17">
        <f>SUM(N6:N12)</f>
        <v>4310.5501882629733</v>
      </c>
      <c r="O5" s="17">
        <f>B38*B39*B40</f>
        <v>9.7945215316823084</v>
      </c>
      <c r="P5" s="17">
        <f>B46*B47*B48/1000-B46*B47*B48/1000/B49</f>
        <v>157.61741491948504</v>
      </c>
      <c r="R5" s="32"/>
    </row>
    <row r="6" spans="1:18">
      <c r="A6" s="32" t="s">
        <v>53</v>
      </c>
      <c r="B6" s="37">
        <f>B26</f>
        <v>5073.4914358446003</v>
      </c>
      <c r="C6" s="33"/>
      <c r="D6" s="37">
        <f>IF(ISERROR(TER_kantoor_gas_kWh/1000),0,TER_kantoor_gas_kWh/1000)*0.903</f>
        <v>10229.65909892389</v>
      </c>
      <c r="E6" s="33">
        <f>$C$26*'E Balans VL '!I12/100/3.6*1000000</f>
        <v>1.215487953069752</v>
      </c>
      <c r="F6" s="33">
        <f>$C$26*('E Balans VL '!L12+'E Balans VL '!N12)/100/3.6*1000000</f>
        <v>481.11323388626261</v>
      </c>
      <c r="G6" s="34"/>
      <c r="H6" s="33"/>
      <c r="I6" s="33"/>
      <c r="J6" s="33">
        <f>$C$26*('E Balans VL '!D12+'E Balans VL '!E12)/100/3.6*1000000</f>
        <v>0</v>
      </c>
      <c r="K6" s="33"/>
      <c r="L6" s="33"/>
      <c r="M6" s="33"/>
      <c r="N6" s="33">
        <f>$C$26*'E Balans VL '!Y12/100/3.6*1000000</f>
        <v>2.5770712296812568</v>
      </c>
      <c r="O6" s="33"/>
      <c r="P6" s="33"/>
      <c r="R6" s="32"/>
    </row>
    <row r="7" spans="1:18">
      <c r="A7" s="32" t="s">
        <v>52</v>
      </c>
      <c r="B7" s="37">
        <f t="shared" ref="B7:B12" si="0">B27</f>
        <v>1196.9778164808999</v>
      </c>
      <c r="C7" s="33"/>
      <c r="D7" s="37">
        <f>IF(ISERROR(TER_horeca_gas_kWh/1000),0,TER_horeca_gas_kWh/1000)*0.903</f>
        <v>3596.1122713893287</v>
      </c>
      <c r="E7" s="33">
        <f>$C$27*'E Balans VL '!I9/100/3.6*1000000</f>
        <v>0</v>
      </c>
      <c r="F7" s="33">
        <f>$C$27*('E Balans VL '!L9+'E Balans VL '!N9)/100/3.6*1000000</f>
        <v>98.149367228490249</v>
      </c>
      <c r="G7" s="34"/>
      <c r="H7" s="33"/>
      <c r="I7" s="33"/>
      <c r="J7" s="33">
        <f>$C$27*('E Balans VL '!D9+'E Balans VL '!E9)/100/3.6*1000000</f>
        <v>0</v>
      </c>
      <c r="K7" s="33"/>
      <c r="L7" s="33"/>
      <c r="M7" s="33"/>
      <c r="N7" s="33">
        <f>$C$27*'E Balans VL '!Y9/100/3.6*1000000</f>
        <v>0.36692179179336903</v>
      </c>
      <c r="O7" s="33"/>
      <c r="P7" s="33"/>
      <c r="R7" s="32"/>
    </row>
    <row r="8" spans="1:18">
      <c r="A8" s="6" t="s">
        <v>51</v>
      </c>
      <c r="B8" s="37">
        <f t="shared" si="0"/>
        <v>6388.4985550728497</v>
      </c>
      <c r="C8" s="33"/>
      <c r="D8" s="37">
        <f>IF(ISERROR(TER_handel_gas_kWh/1000),0,TER_handel_gas_kWh/1000)*0.903</f>
        <v>6437.4212973791728</v>
      </c>
      <c r="E8" s="33">
        <f>$C$28*'E Balans VL '!I13/100/3.6*1000000</f>
        <v>22.452080767376472</v>
      </c>
      <c r="F8" s="33">
        <f>$C$28*('E Balans VL '!L13+'E Balans VL '!N13)/100/3.6*1000000</f>
        <v>584.53614511646379</v>
      </c>
      <c r="G8" s="34"/>
      <c r="H8" s="33"/>
      <c r="I8" s="33"/>
      <c r="J8" s="33">
        <f>$C$28*('E Balans VL '!D13+'E Balans VL '!E13)/100/3.6*1000000</f>
        <v>0</v>
      </c>
      <c r="K8" s="33"/>
      <c r="L8" s="33"/>
      <c r="M8" s="33"/>
      <c r="N8" s="33">
        <f>$C$28*'E Balans VL '!Y13/100/3.6*1000000</f>
        <v>2.3136391414915001</v>
      </c>
      <c r="O8" s="33"/>
      <c r="P8" s="33"/>
      <c r="R8" s="32"/>
    </row>
    <row r="9" spans="1:18">
      <c r="A9" s="32" t="s">
        <v>50</v>
      </c>
      <c r="B9" s="37">
        <f t="shared" si="0"/>
        <v>6703.6217145343198</v>
      </c>
      <c r="C9" s="33"/>
      <c r="D9" s="37">
        <f>IF(ISERROR(TER_gezond_gas_kWh/1000),0,TER_gezond_gas_kWh/1000)*0.903</f>
        <v>14933.676939555937</v>
      </c>
      <c r="E9" s="33">
        <f>$C$29*'E Balans VL '!I10/100/3.6*1000000</f>
        <v>0</v>
      </c>
      <c r="F9" s="33">
        <f>$C$29*('E Balans VL '!L10+'E Balans VL '!N10)/100/3.6*1000000</f>
        <v>821.74092394307661</v>
      </c>
      <c r="G9" s="34"/>
      <c r="H9" s="33"/>
      <c r="I9" s="33"/>
      <c r="J9" s="33">
        <f>$C$29*('E Balans VL '!D10+'E Balans VL '!E10)/100/3.6*1000000</f>
        <v>0</v>
      </c>
      <c r="K9" s="33"/>
      <c r="L9" s="33"/>
      <c r="M9" s="33"/>
      <c r="N9" s="33">
        <f>$C$29*'E Balans VL '!Y10/100/3.6*1000000</f>
        <v>49.434538693484633</v>
      </c>
      <c r="O9" s="33"/>
      <c r="P9" s="33"/>
      <c r="R9" s="32"/>
    </row>
    <row r="10" spans="1:18">
      <c r="A10" s="32" t="s">
        <v>49</v>
      </c>
      <c r="B10" s="37">
        <f t="shared" si="0"/>
        <v>11920.677715151302</v>
      </c>
      <c r="C10" s="33"/>
      <c r="D10" s="37">
        <f>IF(ISERROR(TER_ander_gas_kWh/1000),0,TER_ander_gas_kWh/1000)*0.903</f>
        <v>1162.7098424247329</v>
      </c>
      <c r="E10" s="33">
        <f>$C$30*'E Balans VL '!I14/100/3.6*1000000</f>
        <v>170.73041719240831</v>
      </c>
      <c r="F10" s="33">
        <f>$C$30*('E Balans VL '!L14+'E Balans VL '!N14)/100/3.6*1000000</f>
        <v>7096.7847667921005</v>
      </c>
      <c r="G10" s="34"/>
      <c r="H10" s="33"/>
      <c r="I10" s="33"/>
      <c r="J10" s="33">
        <f>$C$30*('E Balans VL '!D14+'E Balans VL '!E14)/100/3.6*1000000</f>
        <v>0.11772646866966094</v>
      </c>
      <c r="K10" s="33"/>
      <c r="L10" s="33"/>
      <c r="M10" s="33"/>
      <c r="N10" s="33">
        <f>$C$30*'E Balans VL '!Y14/100/3.6*1000000</f>
        <v>4254.5726683072871</v>
      </c>
      <c r="O10" s="33"/>
      <c r="P10" s="33"/>
      <c r="R10" s="32"/>
    </row>
    <row r="11" spans="1:18">
      <c r="A11" s="32" t="s">
        <v>54</v>
      </c>
      <c r="B11" s="37">
        <f t="shared" si="0"/>
        <v>456.46360635907303</v>
      </c>
      <c r="C11" s="33"/>
      <c r="D11" s="37">
        <f>IF(ISERROR(TER_onderwijs_gas_kWh/1000),0,TER_onderwijs_gas_kWh/1000)*0.903</f>
        <v>798.66673584515956</v>
      </c>
      <c r="E11" s="33">
        <f>$C$31*'E Balans VL '!I11/100/3.6*1000000</f>
        <v>0</v>
      </c>
      <c r="F11" s="33">
        <f>$C$31*('E Balans VL '!L11+'E Balans VL '!N11)/100/3.6*1000000</f>
        <v>53.366031340423021</v>
      </c>
      <c r="G11" s="34"/>
      <c r="H11" s="33"/>
      <c r="I11" s="33"/>
      <c r="J11" s="33">
        <f>$C$31*('E Balans VL '!D11+'E Balans VL '!E11)/100/3.6*1000000</f>
        <v>0</v>
      </c>
      <c r="K11" s="33"/>
      <c r="L11" s="33"/>
      <c r="M11" s="33"/>
      <c r="N11" s="33">
        <f>$C$31*'E Balans VL '!Y11/100/3.6*1000000</f>
        <v>1.2853490992355827</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energieproductie'!N48+'lokale energieproductie'!N41</f>
        <v>0</v>
      </c>
      <c r="C13" s="247">
        <f ca="1">'lokale energieproductie'!O48+'lokale energieproductie'!O41</f>
        <v>0</v>
      </c>
      <c r="D13" s="310">
        <f ca="1">('lokale energieproductie'!P41+'lokale energieproductie'!P48)*(-1)</f>
        <v>0</v>
      </c>
      <c r="E13" s="248"/>
      <c r="F13" s="310">
        <f ca="1">('lokale energieproductie'!S41+'lokale energieproductie'!S48)*(-1)</f>
        <v>0</v>
      </c>
      <c r="G13" s="249"/>
      <c r="H13" s="248"/>
      <c r="I13" s="248"/>
      <c r="J13" s="248"/>
      <c r="K13" s="248"/>
      <c r="L13" s="310">
        <f ca="1">('lokale energieproductie'!U41+'lokale energieproductie'!T41+'lokale energieproductie'!U48+'lokale energieproductie'!T48)*(-1)</f>
        <v>0</v>
      </c>
      <c r="M13" s="248"/>
      <c r="N13" s="310">
        <f ca="1">('lokale energieproductie'!Q41+'lokale energieproductie'!R41+'lokale energieproductie'!V41+'lokale energieproductie'!Q48+'lokale energieproductie'!R48+'lokale energieproductie'!V48)*(-1)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31739.730843443045</v>
      </c>
      <c r="C16" s="21">
        <f t="shared" ca="1" si="1"/>
        <v>0</v>
      </c>
      <c r="D16" s="21">
        <f t="shared" ca="1" si="1"/>
        <v>37158.246185518219</v>
      </c>
      <c r="E16" s="21">
        <f t="shared" si="1"/>
        <v>194.39798591285452</v>
      </c>
      <c r="F16" s="21">
        <f t="shared" ca="1" si="1"/>
        <v>9135.6904683068169</v>
      </c>
      <c r="G16" s="21">
        <f t="shared" si="1"/>
        <v>0</v>
      </c>
      <c r="H16" s="21">
        <f t="shared" si="1"/>
        <v>0</v>
      </c>
      <c r="I16" s="21">
        <f t="shared" si="1"/>
        <v>0</v>
      </c>
      <c r="J16" s="21">
        <f t="shared" si="1"/>
        <v>0.11772646866966094</v>
      </c>
      <c r="K16" s="21">
        <f t="shared" si="1"/>
        <v>0</v>
      </c>
      <c r="L16" s="21">
        <f t="shared" ca="1" si="1"/>
        <v>0</v>
      </c>
      <c r="M16" s="21">
        <f t="shared" si="1"/>
        <v>0</v>
      </c>
      <c r="N16" s="21">
        <f t="shared" ca="1" si="1"/>
        <v>4310.5501882629733</v>
      </c>
      <c r="O16" s="21">
        <f>O5</f>
        <v>9.7945215316823084</v>
      </c>
      <c r="P16" s="21">
        <f>P5</f>
        <v>157.61741491948504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0.21794263052669935</v>
      </c>
      <c r="C18" s="25">
        <f ca="1">'EF ele_warmte'!B22</f>
        <v>0.23764705882352949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6917.4404322293913</v>
      </c>
      <c r="C20" s="23">
        <f t="shared" ref="C20:P20" ca="1" si="2">C16*C18</f>
        <v>0</v>
      </c>
      <c r="D20" s="23">
        <f t="shared" ca="1" si="2"/>
        <v>7505.9657294746803</v>
      </c>
      <c r="E20" s="23">
        <f t="shared" si="2"/>
        <v>44.128342802217979</v>
      </c>
      <c r="F20" s="23">
        <f t="shared" ca="1" si="2"/>
        <v>2439.2293550379204</v>
      </c>
      <c r="G20" s="23">
        <f t="shared" si="2"/>
        <v>0</v>
      </c>
      <c r="H20" s="23">
        <f t="shared" si="2"/>
        <v>0</v>
      </c>
      <c r="I20" s="23">
        <f t="shared" si="2"/>
        <v>0</v>
      </c>
      <c r="J20" s="23">
        <f t="shared" si="2"/>
        <v>4.1675169909059971E-2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5073.4914358446003</v>
      </c>
      <c r="C26" s="39">
        <f>IF(ISERROR(B26*3.6/1000000/'E Balans VL '!Z12*100),0,B26*3.6/1000000/'E Balans VL '!Z12*100)</f>
        <v>0.14308589377637077</v>
      </c>
      <c r="D26" s="237" t="s">
        <v>702</v>
      </c>
      <c r="F26" s="6"/>
    </row>
    <row r="27" spans="1:18">
      <c r="A27" s="231" t="s">
        <v>52</v>
      </c>
      <c r="B27" s="33">
        <f>IF(ISERROR(TER_horeca_ele_kWh/1000),0,TER_horeca_ele_kWh/1000)</f>
        <v>1196.9778164808999</v>
      </c>
      <c r="C27" s="39">
        <f>IF(ISERROR(B27*3.6/1000000/'E Balans VL '!Z9*100),0,B27*3.6/1000000/'E Balans VL '!Z9*100)</f>
        <v>8.8741200605931436E-2</v>
      </c>
      <c r="D27" s="237" t="s">
        <v>702</v>
      </c>
      <c r="F27" s="6"/>
    </row>
    <row r="28" spans="1:18">
      <c r="A28" s="171" t="s">
        <v>51</v>
      </c>
      <c r="B28" s="33">
        <f>IF(ISERROR(TER_handel_ele_kWh/1000),0,TER_handel_ele_kWh/1000)</f>
        <v>6388.4985550728497</v>
      </c>
      <c r="C28" s="39">
        <f>IF(ISERROR(B28*3.6/1000000/'E Balans VL '!Z13*100),0,B28*3.6/1000000/'E Balans VL '!Z13*100)</f>
        <v>0.19138422748756612</v>
      </c>
      <c r="D28" s="237" t="s">
        <v>702</v>
      </c>
      <c r="F28" s="6"/>
    </row>
    <row r="29" spans="1:18">
      <c r="A29" s="231" t="s">
        <v>50</v>
      </c>
      <c r="B29" s="33">
        <f>IF(ISERROR(TER_gezond_ele_kWh/1000),0,TER_gezond_ele_kWh/1000)</f>
        <v>6703.6217145343198</v>
      </c>
      <c r="C29" s="39">
        <f>IF(ISERROR(B29*3.6/1000000/'E Balans VL '!Z10*100),0,B29*3.6/1000000/'E Balans VL '!Z10*100)</f>
        <v>0.66285674260502747</v>
      </c>
      <c r="D29" s="237" t="s">
        <v>702</v>
      </c>
      <c r="F29" s="6"/>
    </row>
    <row r="30" spans="1:18">
      <c r="A30" s="231" t="s">
        <v>49</v>
      </c>
      <c r="B30" s="33">
        <f>IF(ISERROR(TER_ander_ele_kWh/1000),0,TER_ander_ele_kWh/1000)</f>
        <v>11920.677715151302</v>
      </c>
      <c r="C30" s="39">
        <f>IF(ISERROR(B30*3.6/1000000/'E Balans VL '!Z14*100),0,B30*3.6/1000000/'E Balans VL '!Z14*100)</f>
        <v>0.48215618567779223</v>
      </c>
      <c r="D30" s="237" t="s">
        <v>702</v>
      </c>
      <c r="F30" s="6"/>
    </row>
    <row r="31" spans="1:18">
      <c r="A31" s="231" t="s">
        <v>54</v>
      </c>
      <c r="B31" s="33">
        <f>IF(ISERROR(TER_onderwijs_ele_kWh/1000),0,TER_onderwijs_ele_kWh/1000)</f>
        <v>456.46360635907303</v>
      </c>
      <c r="C31" s="39">
        <f>IF(ISERROR(B31*3.6/1000000/'E Balans VL '!Z11*100),0,B31*3.6/1000000/'E Balans VL '!Z11*100)</f>
        <v>0.12541051593652627</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2</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3</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86697.162127344418</v>
      </c>
      <c r="C5" s="17">
        <f>IF(ISERROR('Eigen informatie GS &amp; warmtenet'!B61),0,'Eigen informatie GS &amp; warmtenet'!B61)</f>
        <v>0</v>
      </c>
      <c r="D5" s="30">
        <f>SUM(D6:D15)</f>
        <v>349546.68708023429</v>
      </c>
      <c r="E5" s="17">
        <f>SUM(E6:E15)</f>
        <v>29.525175628204245</v>
      </c>
      <c r="F5" s="17">
        <f>SUM(F6:F15)</f>
        <v>664.3524775050588</v>
      </c>
      <c r="G5" s="18"/>
      <c r="H5" s="17"/>
      <c r="I5" s="17"/>
      <c r="J5" s="17">
        <f>SUM(J6:J15)</f>
        <v>3.375647705145544</v>
      </c>
      <c r="K5" s="17"/>
      <c r="L5" s="17"/>
      <c r="M5" s="17"/>
      <c r="N5" s="17">
        <f>SUM(N6:N15)</f>
        <v>69.045178904717929</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1186.23498544168</v>
      </c>
      <c r="C8" s="33"/>
      <c r="D8" s="37">
        <f>IF( ISERROR(IND_metaal_Gas_kWH/1000),0,IND_metaal_Gas_kWH/1000)*0.903</f>
        <v>1265.8712195551941</v>
      </c>
      <c r="E8" s="33">
        <f>C30*'E Balans VL '!I18/100/3.6*1000000</f>
        <v>5.9812037700774612</v>
      </c>
      <c r="F8" s="33">
        <f>C30*'E Balans VL '!L18/100/3.6*1000000+C30*'E Balans VL '!N18/100/3.6*1000000</f>
        <v>81.04599821847512</v>
      </c>
      <c r="G8" s="34"/>
      <c r="H8" s="33"/>
      <c r="I8" s="33"/>
      <c r="J8" s="40">
        <f>C30*'E Balans VL '!D18/100/3.6*1000000+C30*'E Balans VL '!E18/100/3.6*1000000</f>
        <v>1.0516985017418488</v>
      </c>
      <c r="K8" s="33"/>
      <c r="L8" s="33"/>
      <c r="M8" s="33"/>
      <c r="N8" s="33">
        <f>C30*'E Balans VL '!Y18/100/3.6*1000000</f>
        <v>15.765069996263822</v>
      </c>
      <c r="O8" s="33"/>
      <c r="P8" s="33"/>
      <c r="R8" s="32"/>
    </row>
    <row r="9" spans="1:18">
      <c r="A9" s="6" t="s">
        <v>32</v>
      </c>
      <c r="B9" s="37">
        <f t="shared" si="0"/>
        <v>930.18799273942705</v>
      </c>
      <c r="C9" s="33"/>
      <c r="D9" s="37">
        <f>IF( ISERROR(IND_andere_gas_kWh/1000),0,IND_andere_gas_kWh/1000)*0.903</f>
        <v>1127.7065815860553</v>
      </c>
      <c r="E9" s="33">
        <f>C31*'E Balans VL '!I19/100/3.6*1000000</f>
        <v>2.9321723968196345</v>
      </c>
      <c r="F9" s="33">
        <f>C31*'E Balans VL '!L19/100/3.6*1000000+C31*'E Balans VL '!N19/100/3.6*1000000</f>
        <v>569.4219666467377</v>
      </c>
      <c r="G9" s="34"/>
      <c r="H9" s="33"/>
      <c r="I9" s="33"/>
      <c r="J9" s="40">
        <f>C31*'E Balans VL '!D19/100/3.6*1000000+C31*'E Balans VL '!E19/100/3.6*1000000</f>
        <v>0</v>
      </c>
      <c r="K9" s="33"/>
      <c r="L9" s="33"/>
      <c r="M9" s="33"/>
      <c r="N9" s="33">
        <f>C31*'E Balans VL '!Y19/100/3.6*1000000</f>
        <v>39.004045564227717</v>
      </c>
      <c r="O9" s="33"/>
      <c r="P9" s="33"/>
      <c r="R9" s="32"/>
    </row>
    <row r="10" spans="1:18">
      <c r="A10" s="6" t="s">
        <v>40</v>
      </c>
      <c r="B10" s="37">
        <f t="shared" si="0"/>
        <v>447.29607734983404</v>
      </c>
      <c r="C10" s="33"/>
      <c r="D10" s="37">
        <f>IF( ISERROR(IND_voed_gas_kWh/1000),0,IND_voed_gas_kWh/1000)*0.903</f>
        <v>95.348244467063637</v>
      </c>
      <c r="E10" s="33">
        <f>C32*'E Balans VL '!I20/100/3.6*1000000</f>
        <v>0.71286432723136528</v>
      </c>
      <c r="F10" s="33">
        <f>C32*'E Balans VL '!L20/100/3.6*1000000+C32*'E Balans VL '!N20/100/3.6*1000000</f>
        <v>7.2674746515917281</v>
      </c>
      <c r="G10" s="34"/>
      <c r="H10" s="33"/>
      <c r="I10" s="33"/>
      <c r="J10" s="40">
        <f>C32*'E Balans VL '!D20/100/3.6*1000000+C32*'E Balans VL '!E20/100/3.6*1000000</f>
        <v>0</v>
      </c>
      <c r="K10" s="33"/>
      <c r="L10" s="33"/>
      <c r="M10" s="33"/>
      <c r="N10" s="33">
        <f>C32*'E Balans VL '!Y20/100/3.6*1000000</f>
        <v>14.127844085677015</v>
      </c>
      <c r="O10" s="33"/>
      <c r="P10" s="33"/>
      <c r="R10" s="32"/>
    </row>
    <row r="11" spans="1:18">
      <c r="A11" s="6" t="s">
        <v>39</v>
      </c>
      <c r="B11" s="37">
        <f t="shared" si="0"/>
        <v>0</v>
      </c>
      <c r="C11" s="33"/>
      <c r="D11" s="37">
        <f>IF( ISERROR(IND_textiel_gas_kWh/1000),0,IND_textiel_gas_kWh/1000)*0.903</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ISERROR(IND_min_gas_kWh/1000),0,IND_min_gas_kWh/1000)*0.903</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83788.966376129596</v>
      </c>
      <c r="C13" s="33"/>
      <c r="D13" s="37">
        <f>IF( ISERROR(IND_papier_gas_kWh/1000),0,IND_papier_gas_kWh/1000)*0.903</f>
        <v>159725.76661175909</v>
      </c>
      <c r="E13" s="33">
        <f>C35*'E Balans VL '!I23/100/3.6*1000000</f>
        <v>0</v>
      </c>
      <c r="F13" s="33">
        <f>C35*'E Balans VL '!L23/100/3.6*1000000+C35*'E Balans VL '!N23/100/3.6*1000000</f>
        <v>3.630127632041201</v>
      </c>
      <c r="G13" s="34"/>
      <c r="H13" s="33"/>
      <c r="I13" s="33"/>
      <c r="J13" s="40">
        <f>C35*'E Balans VL '!D23/100/3.6*1000000+C35*'E Balans VL '!E23/100/3.6*1000000</f>
        <v>2.3087856351995848</v>
      </c>
      <c r="K13" s="33"/>
      <c r="L13" s="33"/>
      <c r="M13" s="33"/>
      <c r="N13" s="33">
        <f>C35*'E Balans VL '!Y23/100/3.6*1000000</f>
        <v>0</v>
      </c>
      <c r="O13" s="33"/>
      <c r="P13" s="33"/>
      <c r="R13" s="32"/>
    </row>
    <row r="14" spans="1:18">
      <c r="A14" s="6" t="s">
        <v>33</v>
      </c>
      <c r="B14" s="37">
        <f t="shared" si="0"/>
        <v>337.04925162968698</v>
      </c>
      <c r="C14" s="33"/>
      <c r="D14" s="37">
        <f>IF( ISERROR(IND_chemie_gas_kWh/1000),0,IND_chemie_gas_kWh/1000)*0.903</f>
        <v>0</v>
      </c>
      <c r="E14" s="33">
        <f>C36*'E Balans VL '!I24/100/3.6*1000000</f>
        <v>19.711720569198565</v>
      </c>
      <c r="F14" s="33">
        <f>C36*'E Balans VL '!L24/100/3.6*1000000+C36*'E Balans VL '!N24/100/3.6*1000000</f>
        <v>2.3839406483395056</v>
      </c>
      <c r="G14" s="34"/>
      <c r="H14" s="33"/>
      <c r="I14" s="33"/>
      <c r="J14" s="40">
        <f>C36*'E Balans VL '!D24/100/3.6*1000000+C36*'E Balans VL '!E24/100/3.6*1000000</f>
        <v>0</v>
      </c>
      <c r="K14" s="33"/>
      <c r="L14" s="33"/>
      <c r="M14" s="33"/>
      <c r="N14" s="33">
        <f>C36*'E Balans VL '!Y24/100/3.6*1000000</f>
        <v>2.2715816809518036E-2</v>
      </c>
      <c r="O14" s="33"/>
      <c r="P14" s="33"/>
      <c r="R14" s="32"/>
    </row>
    <row r="15" spans="1:18">
      <c r="A15" s="6" t="s">
        <v>269</v>
      </c>
      <c r="B15" s="37">
        <f t="shared" si="0"/>
        <v>7.4274440542109996</v>
      </c>
      <c r="C15" s="33"/>
      <c r="D15" s="37">
        <f>IF( ISERROR(IND_rest_gas_kWh/1000),0,IND_rest_gas_kWh/1000)*0.903</f>
        <v>187331.9944228669</v>
      </c>
      <c r="E15" s="33">
        <f>C37*'E Balans VL '!I15/100/3.6*1000000</f>
        <v>0.1872145648772183</v>
      </c>
      <c r="F15" s="33">
        <f>C37*'E Balans VL '!L15/100/3.6*1000000+C37*'E Balans VL '!N15/100/3.6*1000000</f>
        <v>0.6029697078734958</v>
      </c>
      <c r="G15" s="34"/>
      <c r="H15" s="33"/>
      <c r="I15" s="33"/>
      <c r="J15" s="40">
        <f>C37*'E Balans VL '!D15/100/3.6*1000000+C37*'E Balans VL '!E15/100/3.6*1000000</f>
        <v>1.5163568204110328E-2</v>
      </c>
      <c r="K15" s="33"/>
      <c r="L15" s="33"/>
      <c r="M15" s="33"/>
      <c r="N15" s="33">
        <f>C37*'E Balans VL '!Y15/100/3.6*1000000</f>
        <v>0.12550344173985159</v>
      </c>
      <c r="O15" s="33"/>
      <c r="P15" s="33"/>
      <c r="R15" s="32"/>
    </row>
    <row r="16" spans="1:18">
      <c r="A16" s="16" t="s">
        <v>479</v>
      </c>
      <c r="B16" s="247">
        <f>'lokale energieproductie'!N47+'lokale energieproductie'!N40</f>
        <v>7020</v>
      </c>
      <c r="C16" s="247">
        <f>'lokale energieproductie'!O47+'lokale energieproductie'!O40</f>
        <v>10028.571428571429</v>
      </c>
      <c r="D16" s="310">
        <f>('lokale energieproductie'!P40+'lokale energieproductie'!P47)*(-1)</f>
        <v>-20057.142857142859</v>
      </c>
      <c r="E16" s="248"/>
      <c r="F16" s="310">
        <f>('lokale energieproductie'!S40+'lokale energieproductie'!S47)*(-1)</f>
        <v>0</v>
      </c>
      <c r="G16" s="249"/>
      <c r="H16" s="248"/>
      <c r="I16" s="248"/>
      <c r="J16" s="248"/>
      <c r="K16" s="248"/>
      <c r="L16" s="310">
        <f>('lokale energieproductie'!T40+'lokale energieproductie'!U40+'lokale energieproductie'!T47+'lokale energieproductie'!U47)*(-1)</f>
        <v>0</v>
      </c>
      <c r="M16" s="248"/>
      <c r="N16" s="310">
        <f>('lokale energieproductie'!Q40+'lokale energieproductie'!R40+'lokale energieproductie'!V40+'lokale energieproductie'!Q47+'lokale energieproductie'!R47+'lokale energieproductie'!V47)*(-1)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93717.162127344418</v>
      </c>
      <c r="C18" s="21">
        <f>C5+C16</f>
        <v>10028.571428571429</v>
      </c>
      <c r="D18" s="21">
        <f>MAX((D5+D16),0)</f>
        <v>329489.54422309145</v>
      </c>
      <c r="E18" s="21">
        <f>MAX((E5+E16),0)</f>
        <v>29.525175628204245</v>
      </c>
      <c r="F18" s="21">
        <f>MAX((F5+F16),0)</f>
        <v>664.3524775050588</v>
      </c>
      <c r="G18" s="21"/>
      <c r="H18" s="21"/>
      <c r="I18" s="21"/>
      <c r="J18" s="21">
        <f>MAX((J5+J16),0)</f>
        <v>3.375647705145544</v>
      </c>
      <c r="K18" s="21"/>
      <c r="L18" s="21">
        <f>MAX((L5+L16),0)</f>
        <v>0</v>
      </c>
      <c r="M18" s="21"/>
      <c r="N18" s="21">
        <f>MAX((N5+N16),0)</f>
        <v>69.045178904717929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0.21794263052669935</v>
      </c>
      <c r="C20" s="25">
        <f ca="1">'EF ele_warmte'!B22</f>
        <v>0.23764705882352949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20424.964839530607</v>
      </c>
      <c r="C22" s="23">
        <f ca="1">C18*C20</f>
        <v>2383.2605042016817</v>
      </c>
      <c r="D22" s="23">
        <f>D18*D20</f>
        <v>66556.88793306447</v>
      </c>
      <c r="E22" s="23">
        <f>E18*E20</f>
        <v>6.7022148676023638</v>
      </c>
      <c r="F22" s="23">
        <f>F18*F20</f>
        <v>177.38211149385072</v>
      </c>
      <c r="G22" s="23"/>
      <c r="H22" s="23"/>
      <c r="I22" s="23"/>
      <c r="J22" s="23">
        <f>J18*J20</f>
        <v>1.1949792876215226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1186.23498544168</v>
      </c>
      <c r="C30" s="39">
        <f>IF(ISERROR(B30*3.6/1000000/'E Balans VL '!Z18*100),0,B30*3.6/1000000/'E Balans VL '!Z18*100)</f>
        <v>5.8882031201720753E-2</v>
      </c>
      <c r="D30" s="237" t="s">
        <v>702</v>
      </c>
    </row>
    <row r="31" spans="1:18">
      <c r="A31" s="6" t="s">
        <v>32</v>
      </c>
      <c r="B31" s="37">
        <f>IF( ISERROR(IND_ander_ele_kWh/1000),0,IND_ander_ele_kWh/1000)</f>
        <v>930.18799273942705</v>
      </c>
      <c r="C31" s="39">
        <f>IF(ISERROR(B31*3.6/1000000/'E Balans VL '!Z19*100),0,B31*3.6/1000000/'E Balans VL '!Z19*100)</f>
        <v>3.1389078176748741E-2</v>
      </c>
      <c r="D31" s="237" t="s">
        <v>702</v>
      </c>
    </row>
    <row r="32" spans="1:18">
      <c r="A32" s="171" t="s">
        <v>40</v>
      </c>
      <c r="B32" s="37">
        <f>IF( ISERROR(IND_voed_ele_kWh/1000),0,IND_voed_ele_kWh/1000)</f>
        <v>447.29607734983404</v>
      </c>
      <c r="C32" s="39">
        <f>IF(ISERROR(B32*3.6/1000000/'E Balans VL '!Z20*100),0,B32*3.6/1000000/'E Balans VL '!Z20*100)</f>
        <v>1.0504441120067405E-2</v>
      </c>
      <c r="D32" s="237" t="s">
        <v>702</v>
      </c>
    </row>
    <row r="33" spans="1:5">
      <c r="A33" s="171" t="s">
        <v>39</v>
      </c>
      <c r="B33" s="37">
        <f>IF( ISERROR(IND_textiel_ele_kWh/1000),0,IND_textiel_ele_kWh/1000)</f>
        <v>0</v>
      </c>
      <c r="C33" s="39">
        <f>IF(ISERROR(B33*3.6/1000000/'E Balans VL '!Z21*100),0,B33*3.6/1000000/'E Balans VL '!Z21*100)</f>
        <v>0</v>
      </c>
      <c r="D33" s="237" t="s">
        <v>702</v>
      </c>
    </row>
    <row r="34" spans="1:5">
      <c r="A34" s="171" t="s">
        <v>36</v>
      </c>
      <c r="B34" s="37">
        <f>IF( ISERROR(IND_min_ele_kWh/1000),0,IND_min_ele_kWh/1000)</f>
        <v>0</v>
      </c>
      <c r="C34" s="39">
        <f>IF(ISERROR(B34*3.6/1000000/'E Balans VL '!Z22*100),0,B34*3.6/1000000/'E Balans VL '!Z22*100)</f>
        <v>0</v>
      </c>
      <c r="D34" s="237" t="s">
        <v>702</v>
      </c>
    </row>
    <row r="35" spans="1:5">
      <c r="A35" s="171" t="s">
        <v>38</v>
      </c>
      <c r="B35" s="37">
        <f>IF( ISERROR(IND_papier_ele_kWh/1000),0,IND_papier_ele_kWh/1000)</f>
        <v>83788.966376129596</v>
      </c>
      <c r="C35" s="39">
        <f>IF(ISERROR(B35*3.6/1000000/'E Balans VL '!Z22*100),0,B35*3.6/1000000/'E Balans VL '!Z22*100)</f>
        <v>11.887204217815448</v>
      </c>
      <c r="D35" s="237" t="s">
        <v>702</v>
      </c>
    </row>
    <row r="36" spans="1:5">
      <c r="A36" s="171" t="s">
        <v>33</v>
      </c>
      <c r="B36" s="37">
        <f>IF( ISERROR(IND_chemie_ele_kWh/1000),0,IND_chemie_ele_kWh/1000)</f>
        <v>337.04925162968698</v>
      </c>
      <c r="C36" s="39">
        <f>IF(ISERROR(B36*3.6/1000000/'E Balans VL '!Z24*100),0,B36*3.6/1000000/'E Balans VL '!Z24*100)</f>
        <v>3.0777922662500682E-3</v>
      </c>
      <c r="D36" s="237" t="s">
        <v>702</v>
      </c>
    </row>
    <row r="37" spans="1:5">
      <c r="A37" s="171" t="s">
        <v>269</v>
      </c>
      <c r="B37" s="37">
        <f>IF( ISERROR(IND_rest_ele_kWh/1000),0,IND_rest_ele_kWh/1000)</f>
        <v>7.4274440542109996</v>
      </c>
      <c r="C37" s="39">
        <f>IF(ISERROR(B37*3.6/1000000/'E Balans VL '!Z15*100),0,B37*3.6/1000000/'E Balans VL '!Z15*100)</f>
        <v>2.783456349449645E-5</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10748.593927792801</v>
      </c>
      <c r="C5" s="17">
        <f>'Eigen informatie GS &amp; warmtenet'!B62</f>
        <v>0</v>
      </c>
      <c r="D5" s="30">
        <f>IF(ISERROR(SUM(LB_lb_gas_kWh,LB_rest_gas_kWh)/1000),0,SUM(LB_lb_gas_kWh,LB_rest_gas_kWh)/1000)*0.903</f>
        <v>291294.56443803263</v>
      </c>
      <c r="E5" s="17">
        <f>B17*'E Balans VL '!I25/3.6*1000000/100</f>
        <v>400.8479451708692</v>
      </c>
      <c r="F5" s="17">
        <f>B17*('E Balans VL '!L25/3.6*1000000+'E Balans VL '!N25/3.6*1000000)/100</f>
        <v>34872.592121944886</v>
      </c>
      <c r="G5" s="18"/>
      <c r="H5" s="17"/>
      <c r="I5" s="17"/>
      <c r="J5" s="17">
        <f>('E Balans VL '!D25+'E Balans VL '!E25)/3.6*1000000*landbouw!B17/100</f>
        <v>2821.5589708556486</v>
      </c>
      <c r="K5" s="17"/>
      <c r="L5" s="17">
        <f>L6*(-1)</f>
        <v>0</v>
      </c>
      <c r="M5" s="17"/>
      <c r="N5" s="17">
        <f>N6*(-1)</f>
        <v>0</v>
      </c>
      <c r="O5" s="17"/>
      <c r="P5" s="17"/>
      <c r="R5" s="32"/>
    </row>
    <row r="6" spans="1:18">
      <c r="A6" s="16" t="s">
        <v>479</v>
      </c>
      <c r="B6" s="17" t="s">
        <v>210</v>
      </c>
      <c r="C6" s="17">
        <f>'lokale energieproductie'!O49+'lokale energieproductie'!O42</f>
        <v>122021.19642857142</v>
      </c>
      <c r="D6" s="310">
        <f>('lokale energieproductie'!P42+'lokale energieproductie'!P49)*(-1)</f>
        <v>-245799.64285714287</v>
      </c>
      <c r="E6" s="248"/>
      <c r="F6" s="310">
        <f>('lokale energieproductie'!S42+'lokale energieproductie'!S49)*(-1)</f>
        <v>0</v>
      </c>
      <c r="G6" s="249"/>
      <c r="H6" s="248"/>
      <c r="I6" s="248"/>
      <c r="J6" s="248"/>
      <c r="K6" s="248"/>
      <c r="L6" s="310">
        <f>('lokale energieproductie'!T42+'lokale energieproductie'!U42+'lokale energieproductie'!T49+'lokale energieproductie'!U49)*(-1)</f>
        <v>0</v>
      </c>
      <c r="M6" s="248"/>
      <c r="N6" s="310">
        <f>('lokale energieproductie'!V42+'lokale energieproductie'!R42+'lokale energieproductie'!Q42+'lokale energieproductie'!Q49+'lokale energieproductie'!R49+'lokale energieproductie'!V49)*(-1)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10748.593927792801</v>
      </c>
      <c r="C8" s="21">
        <f>C5+C6</f>
        <v>122021.19642857142</v>
      </c>
      <c r="D8" s="21">
        <f>MAX((D5+D6),0)</f>
        <v>45494.921580889757</v>
      </c>
      <c r="E8" s="21">
        <f>MAX((E5+E6),0)</f>
        <v>400.8479451708692</v>
      </c>
      <c r="F8" s="21">
        <f>MAX((F5+F6),0)</f>
        <v>34872.592121944886</v>
      </c>
      <c r="G8" s="21"/>
      <c r="H8" s="21"/>
      <c r="I8" s="21"/>
      <c r="J8" s="21">
        <f>MAX((J5+J6),0)</f>
        <v>2821.5589708556486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0.21794263052669935</v>
      </c>
      <c r="C10" s="31">
        <f ca="1">'EF ele_warmte'!B22</f>
        <v>0.23764705882352949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2342.5768350864705</v>
      </c>
      <c r="C12" s="23">
        <f ca="1">C8*C10</f>
        <v>28997.978445378158</v>
      </c>
      <c r="D12" s="23">
        <f>D8*D10</f>
        <v>9189.9741593397321</v>
      </c>
      <c r="E12" s="23">
        <f>E8*E10</f>
        <v>90.992483553787309</v>
      </c>
      <c r="F12" s="23">
        <f>F8*F10</f>
        <v>9310.9820965592844</v>
      </c>
      <c r="G12" s="23"/>
      <c r="H12" s="23"/>
      <c r="I12" s="23"/>
      <c r="J12" s="23">
        <f>J8*J10</f>
        <v>998.83187568289952</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1.476291327329206</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50.200076148422454</v>
      </c>
      <c r="C26" s="247">
        <f>B26*'GWP N2O_CH4'!B5</f>
        <v>1054.2015991168714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7.3771390355439026</v>
      </c>
      <c r="C27" s="247">
        <f>B27*'GWP N2O_CH4'!B5</f>
        <v>154.91991974642195</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0.56902059663257498</v>
      </c>
      <c r="C28" s="247">
        <f>B28*'GWP N2O_CH4'!B4</f>
        <v>176.39638495609825</v>
      </c>
      <c r="D28" s="50"/>
    </row>
    <row r="29" spans="1:4">
      <c r="A29" s="41" t="s">
        <v>276</v>
      </c>
      <c r="B29" s="247">
        <f>B34*'ha_N2O bodem landbouw'!B4</f>
        <v>4.6083857089972406</v>
      </c>
      <c r="C29" s="247">
        <f>B29*'GWP N2O_CH4'!B4</f>
        <v>1428.5995697891447</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1.050264263763109E-3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1.5900378478288514E-4</v>
      </c>
      <c r="C5" s="440" t="s">
        <v>210</v>
      </c>
      <c r="D5" s="425">
        <f>SUM(D6:D11)</f>
        <v>6.1378171570864023E-4</v>
      </c>
      <c r="E5" s="425">
        <f>SUM(E6:E11)</f>
        <v>3.3097040851667159E-4</v>
      </c>
      <c r="F5" s="438" t="s">
        <v>210</v>
      </c>
      <c r="G5" s="425">
        <f>SUM(G6:G11)</f>
        <v>0.15652780466989147</v>
      </c>
      <c r="H5" s="425">
        <f>SUM(H6:H11)</f>
        <v>3.9193239259303028E-2</v>
      </c>
      <c r="I5" s="440" t="s">
        <v>210</v>
      </c>
      <c r="J5" s="440" t="s">
        <v>210</v>
      </c>
      <c r="K5" s="440" t="s">
        <v>210</v>
      </c>
      <c r="L5" s="440" t="s">
        <v>210</v>
      </c>
      <c r="M5" s="425">
        <f>SUM(M6:M11)</f>
        <v>1.1537309713694141E-2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1.4326559764072015E-4</v>
      </c>
      <c r="C6" s="426"/>
      <c r="D6" s="893">
        <f>vkm_GW_PW*SUMIFS(TableVerdeelsleutelVkm[CNG],TableVerdeelsleutelVkm[Voertuigtype],"Lichte voertuigen")*SUMIFS(TableECFTransport[EnergieConsumptieFactor (PJ per km)],TableECFTransport[Index],CONCATENATE($A6,"_CNG_CNG"))</f>
        <v>5.1743161833389499E-4</v>
      </c>
      <c r="E6" s="893">
        <f>vkm_GW_PW*SUMIFS(TableVerdeelsleutelVkm[LPG],TableVerdeelsleutelVkm[Voertuigtype],"Lichte voertuigen")*SUMIFS(TableECFTransport[EnergieConsumptieFactor (PJ per km)],TableECFTransport[Index],CONCATENATE($A6,"_LPG_LPG"))</f>
        <v>2.812108027787874E-4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8.7511069188741436E-2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3.3119425946102017E-2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7.2293662069162108E-3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5.1523412055030693E-2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5.4241493859644224E-7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2.9008488018248996E-3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1.5738187142164999E-5</v>
      </c>
      <c r="C8" s="426"/>
      <c r="D8" s="428">
        <f>vkm_NGW_PW*SUMIFS(TableVerdeelsleutelVkm[CNG],TableVerdeelsleutelVkm[Voertuigtype],"Lichte voertuigen")*SUMIFS(TableECFTransport[EnergieConsumptieFactor (PJ per km)],TableECFTransport[Index],CONCATENATE($A8,"_CNG_CNG"))</f>
        <v>9.6350097374745241E-5</v>
      </c>
      <c r="E8" s="428">
        <f>vkm_NGW_PW*SUMIFS(TableVerdeelsleutelVkm[LPG],TableVerdeelsleutelVkm[Voertuigtype],"Lichte voertuigen")*SUMIFS(TableECFTransport[EnergieConsumptieFactor (PJ per km)],TableECFTransport[Index],CONCATENATE($A8,"_LPG_LPG"))</f>
        <v>4.9759605737884171E-5</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1.44103941028532E-2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6.0732237578361185E-3</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1.233519934275567E-3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3.082929323266136E-3</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4.7140426300710124E-8</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1.7357477067746408E-4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6"/>
      <c r="D10" s="428">
        <f>vkm_SW_PW*SUMIFS(TableVerdeelsleutelVkm[CNG],TableVerdeelsleutelVkm[Voertuigtype],"Lichte voertuigen")*SUMIFS(TableECFTransport[EnergieConsumptieFactor (PJ per km)],TableECFTransport[Index],CONCATENATE($A10,"_CNG_CNG"))</f>
        <v>0</v>
      </c>
      <c r="E10" s="428">
        <f>vkm_SW_PW*SUMIFS(TableVerdeelsleutelVkm[LPG],TableVerdeelsleutelVkm[Voertuigtype],"Lichte voertuigen")*SUMIFS(TableECFTransport[EnergieConsumptieFactor (PJ per km)],TableECFTransport[Index],CONCATENATE($A10,"_LPG_LPG"))</f>
        <v>0</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44.167717995245873</v>
      </c>
      <c r="C14" s="21"/>
      <c r="D14" s="21">
        <f t="shared" ref="D14:M14" si="0">((D5)*10^9/3600)+D12</f>
        <v>170.49492103017786</v>
      </c>
      <c r="E14" s="21">
        <f t="shared" si="0"/>
        <v>91.936224587964318</v>
      </c>
      <c r="F14" s="21"/>
      <c r="G14" s="21">
        <f t="shared" si="0"/>
        <v>43479.945741636519</v>
      </c>
      <c r="H14" s="21">
        <f t="shared" si="0"/>
        <v>10887.010905361951</v>
      </c>
      <c r="I14" s="21"/>
      <c r="J14" s="21"/>
      <c r="K14" s="21"/>
      <c r="L14" s="21"/>
      <c r="M14" s="21">
        <f t="shared" si="0"/>
        <v>3204.808253803928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0.21794263052669935</v>
      </c>
      <c r="C16" s="56">
        <f ca="1">'EF ele_warmte'!B22</f>
        <v>0.23764705882352949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9.6260286442453218</v>
      </c>
      <c r="C18" s="23"/>
      <c r="D18" s="23">
        <f t="shared" ref="D18:M18" si="1">D14*D16</f>
        <v>34.439974048095934</v>
      </c>
      <c r="E18" s="23">
        <f t="shared" si="1"/>
        <v>20.869522981467902</v>
      </c>
      <c r="F18" s="23"/>
      <c r="G18" s="23">
        <f t="shared" si="1"/>
        <v>11609.145513016951</v>
      </c>
      <c r="H18" s="23">
        <f t="shared" si="1"/>
        <v>2710.8657154351258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4.343058607286788E-3</v>
      </c>
      <c r="H50" s="321">
        <f t="shared" si="2"/>
        <v>0</v>
      </c>
      <c r="I50" s="321">
        <f t="shared" si="2"/>
        <v>0</v>
      </c>
      <c r="J50" s="321">
        <f t="shared" si="2"/>
        <v>0</v>
      </c>
      <c r="K50" s="321">
        <f t="shared" si="2"/>
        <v>0</v>
      </c>
      <c r="L50" s="321">
        <f t="shared" si="2"/>
        <v>0</v>
      </c>
      <c r="M50" s="321">
        <f t="shared" si="2"/>
        <v>2.3567909630539021E-4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4.343058607286788E-3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2.3567909630539021E-4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1206.4051686907744</v>
      </c>
      <c r="H54" s="21">
        <f t="shared" si="3"/>
        <v>0</v>
      </c>
      <c r="I54" s="21">
        <f t="shared" si="3"/>
        <v>0</v>
      </c>
      <c r="J54" s="21">
        <f t="shared" si="3"/>
        <v>0</v>
      </c>
      <c r="K54" s="21">
        <f t="shared" si="3"/>
        <v>0</v>
      </c>
      <c r="L54" s="21">
        <f t="shared" si="3"/>
        <v>0</v>
      </c>
      <c r="M54" s="21">
        <f t="shared" si="3"/>
        <v>65.466415640386174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0.21794263052669935</v>
      </c>
      <c r="C56" s="56">
        <f ca="1">'EF ele_warmte'!B22</f>
        <v>0.23764705882352949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322.11018004043677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32964.415843443043</v>
      </c>
      <c r="D10" s="689">
        <f ca="1">tertiair!C16</f>
        <v>0</v>
      </c>
      <c r="E10" s="689">
        <f ca="1">tertiair!D16</f>
        <v>37158.246185518219</v>
      </c>
      <c r="F10" s="689">
        <f>tertiair!E16</f>
        <v>194.39798591285452</v>
      </c>
      <c r="G10" s="689">
        <f ca="1">tertiair!F16</f>
        <v>9135.6904683068169</v>
      </c>
      <c r="H10" s="689">
        <f>tertiair!G16</f>
        <v>0</v>
      </c>
      <c r="I10" s="689">
        <f>tertiair!H16</f>
        <v>0</v>
      </c>
      <c r="J10" s="689">
        <f>tertiair!I16</f>
        <v>0</v>
      </c>
      <c r="K10" s="689">
        <f>tertiair!J16</f>
        <v>0.11772646866966094</v>
      </c>
      <c r="L10" s="689">
        <f>tertiair!K16</f>
        <v>0</v>
      </c>
      <c r="M10" s="689">
        <f ca="1">tertiair!L16</f>
        <v>0</v>
      </c>
      <c r="N10" s="689">
        <f>tertiair!M16</f>
        <v>0</v>
      </c>
      <c r="O10" s="689">
        <f ca="1">tertiair!N16</f>
        <v>4310.5501882629733</v>
      </c>
      <c r="P10" s="689">
        <f>tertiair!O16</f>
        <v>9.7945215316823084</v>
      </c>
      <c r="Q10" s="690">
        <f>tertiair!P16</f>
        <v>157.61741491948504</v>
      </c>
      <c r="R10" s="692">
        <f ca="1">SUM(C10:Q10)</f>
        <v>83930.830334363753</v>
      </c>
      <c r="S10" s="67"/>
    </row>
    <row r="11" spans="1:19" s="451" customFormat="1">
      <c r="A11" s="811" t="s">
        <v>224</v>
      </c>
      <c r="B11" s="816"/>
      <c r="C11" s="689">
        <f>huishoudens!B8</f>
        <v>28168.233432307617</v>
      </c>
      <c r="D11" s="689">
        <f>huishoudens!C8</f>
        <v>0</v>
      </c>
      <c r="E11" s="689">
        <f>huishoudens!D8</f>
        <v>76361.034211035818</v>
      </c>
      <c r="F11" s="689">
        <f>huishoudens!E8</f>
        <v>2195.8593345893178</v>
      </c>
      <c r="G11" s="689">
        <f>huishoudens!F8</f>
        <v>0</v>
      </c>
      <c r="H11" s="689">
        <f>huishoudens!G8</f>
        <v>0</v>
      </c>
      <c r="I11" s="689">
        <f>huishoudens!H8</f>
        <v>0</v>
      </c>
      <c r="J11" s="689">
        <f>huishoudens!I8</f>
        <v>0</v>
      </c>
      <c r="K11" s="689">
        <f>huishoudens!J8</f>
        <v>0</v>
      </c>
      <c r="L11" s="689">
        <f>huishoudens!K8</f>
        <v>0</v>
      </c>
      <c r="M11" s="689">
        <f>huishoudens!L8</f>
        <v>0</v>
      </c>
      <c r="N11" s="689">
        <f>huishoudens!M8</f>
        <v>0</v>
      </c>
      <c r="O11" s="689">
        <f>huishoudens!N8</f>
        <v>8231.6207567662077</v>
      </c>
      <c r="P11" s="689">
        <f>huishoudens!O8</f>
        <v>382.90393634169709</v>
      </c>
      <c r="Q11" s="690">
        <f>huishoudens!P8</f>
        <v>684.70735499952639</v>
      </c>
      <c r="R11" s="692">
        <f>SUM(C11:Q11)</f>
        <v>116024.35902604018</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93717.162127344418</v>
      </c>
      <c r="D13" s="689">
        <f>industrie!C18</f>
        <v>10028.571428571429</v>
      </c>
      <c r="E13" s="689">
        <f>industrie!D18</f>
        <v>329489.54422309145</v>
      </c>
      <c r="F13" s="689">
        <f>industrie!E18</f>
        <v>29.525175628204245</v>
      </c>
      <c r="G13" s="689">
        <f>industrie!F18</f>
        <v>664.3524775050588</v>
      </c>
      <c r="H13" s="689">
        <f>industrie!G18</f>
        <v>0</v>
      </c>
      <c r="I13" s="689">
        <f>industrie!H18</f>
        <v>0</v>
      </c>
      <c r="J13" s="689">
        <f>industrie!I18</f>
        <v>0</v>
      </c>
      <c r="K13" s="689">
        <f>industrie!J18</f>
        <v>3.375647705145544</v>
      </c>
      <c r="L13" s="689">
        <f>industrie!K18</f>
        <v>0</v>
      </c>
      <c r="M13" s="689">
        <f>industrie!L18</f>
        <v>0</v>
      </c>
      <c r="N13" s="689">
        <f>industrie!M18</f>
        <v>0</v>
      </c>
      <c r="O13" s="689">
        <f>industrie!N18</f>
        <v>69.045178904717929</v>
      </c>
      <c r="P13" s="689">
        <f>industrie!O18</f>
        <v>0</v>
      </c>
      <c r="Q13" s="690">
        <f>industrie!P18</f>
        <v>0</v>
      </c>
      <c r="R13" s="692">
        <f>SUM(C13:Q13)</f>
        <v>434001.57625875046</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154849.81140309508</v>
      </c>
      <c r="D16" s="725">
        <f t="shared" ref="D16:R16" ca="1" si="0">SUM(D9:D15)</f>
        <v>10028.571428571429</v>
      </c>
      <c r="E16" s="725">
        <f t="shared" ca="1" si="0"/>
        <v>443008.82461964549</v>
      </c>
      <c r="F16" s="725">
        <f t="shared" si="0"/>
        <v>2419.7824961303763</v>
      </c>
      <c r="G16" s="725">
        <f t="shared" ca="1" si="0"/>
        <v>9800.0429458118761</v>
      </c>
      <c r="H16" s="725">
        <f t="shared" si="0"/>
        <v>0</v>
      </c>
      <c r="I16" s="725">
        <f t="shared" si="0"/>
        <v>0</v>
      </c>
      <c r="J16" s="725">
        <f t="shared" si="0"/>
        <v>0</v>
      </c>
      <c r="K16" s="725">
        <f t="shared" si="0"/>
        <v>3.4933741738152051</v>
      </c>
      <c r="L16" s="725">
        <f t="shared" si="0"/>
        <v>0</v>
      </c>
      <c r="M16" s="725">
        <f t="shared" ca="1" si="0"/>
        <v>0</v>
      </c>
      <c r="N16" s="725">
        <f t="shared" si="0"/>
        <v>0</v>
      </c>
      <c r="O16" s="725">
        <f t="shared" ca="1" si="0"/>
        <v>12611.2161239339</v>
      </c>
      <c r="P16" s="725">
        <f t="shared" si="0"/>
        <v>392.69845787337943</v>
      </c>
      <c r="Q16" s="725">
        <f t="shared" si="0"/>
        <v>842.32476991901149</v>
      </c>
      <c r="R16" s="725">
        <f t="shared" ca="1" si="0"/>
        <v>633956.76561915432</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1206.4051686907744</v>
      </c>
      <c r="I19" s="689">
        <f>transport!H54</f>
        <v>0</v>
      </c>
      <c r="J19" s="689">
        <f>transport!I54</f>
        <v>0</v>
      </c>
      <c r="K19" s="689">
        <f>transport!J54</f>
        <v>0</v>
      </c>
      <c r="L19" s="689">
        <f>transport!K54</f>
        <v>0</v>
      </c>
      <c r="M19" s="689">
        <f>transport!L54</f>
        <v>0</v>
      </c>
      <c r="N19" s="689">
        <f>transport!M54</f>
        <v>65.466415640386174</v>
      </c>
      <c r="O19" s="689">
        <f>transport!N54</f>
        <v>0</v>
      </c>
      <c r="P19" s="689">
        <f>transport!O54</f>
        <v>0</v>
      </c>
      <c r="Q19" s="690">
        <f>transport!P54</f>
        <v>0</v>
      </c>
      <c r="R19" s="692">
        <f>SUM(C19:Q19)</f>
        <v>1271.8715843311606</v>
      </c>
      <c r="S19" s="67"/>
    </row>
    <row r="20" spans="1:19" s="451" customFormat="1">
      <c r="A20" s="811" t="s">
        <v>306</v>
      </c>
      <c r="B20" s="816"/>
      <c r="C20" s="689">
        <f>transport!B14</f>
        <v>44.167717995245873</v>
      </c>
      <c r="D20" s="689">
        <f>transport!C14</f>
        <v>0</v>
      </c>
      <c r="E20" s="689">
        <f>transport!D14</f>
        <v>170.49492103017786</v>
      </c>
      <c r="F20" s="689">
        <f>transport!E14</f>
        <v>91.936224587964318</v>
      </c>
      <c r="G20" s="689">
        <f>transport!F14</f>
        <v>0</v>
      </c>
      <c r="H20" s="689">
        <f>transport!G14</f>
        <v>43479.945741636519</v>
      </c>
      <c r="I20" s="689">
        <f>transport!H14</f>
        <v>10887.010905361951</v>
      </c>
      <c r="J20" s="689">
        <f>transport!I14</f>
        <v>0</v>
      </c>
      <c r="K20" s="689">
        <f>transport!J14</f>
        <v>0</v>
      </c>
      <c r="L20" s="689">
        <f>transport!K14</f>
        <v>0</v>
      </c>
      <c r="M20" s="689">
        <f>transport!L14</f>
        <v>0</v>
      </c>
      <c r="N20" s="689">
        <f>transport!M14</f>
        <v>3204.808253803928</v>
      </c>
      <c r="O20" s="689">
        <f>transport!N14</f>
        <v>0</v>
      </c>
      <c r="P20" s="689">
        <f>transport!O14</f>
        <v>0</v>
      </c>
      <c r="Q20" s="690">
        <f>transport!P14</f>
        <v>0</v>
      </c>
      <c r="R20" s="692">
        <f>SUM(C20:Q20)</f>
        <v>57878.363764415793</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44.167717995245873</v>
      </c>
      <c r="D22" s="814">
        <f t="shared" ref="D22:R22" si="1">SUM(D18:D21)</f>
        <v>0</v>
      </c>
      <c r="E22" s="814">
        <f t="shared" si="1"/>
        <v>170.49492103017786</v>
      </c>
      <c r="F22" s="814">
        <f t="shared" si="1"/>
        <v>91.936224587964318</v>
      </c>
      <c r="G22" s="814">
        <f t="shared" si="1"/>
        <v>0</v>
      </c>
      <c r="H22" s="814">
        <f t="shared" si="1"/>
        <v>44686.350910327295</v>
      </c>
      <c r="I22" s="814">
        <f t="shared" si="1"/>
        <v>10887.010905361951</v>
      </c>
      <c r="J22" s="814">
        <f t="shared" si="1"/>
        <v>0</v>
      </c>
      <c r="K22" s="814">
        <f t="shared" si="1"/>
        <v>0</v>
      </c>
      <c r="L22" s="814">
        <f t="shared" si="1"/>
        <v>0</v>
      </c>
      <c r="M22" s="814">
        <f t="shared" si="1"/>
        <v>0</v>
      </c>
      <c r="N22" s="814">
        <f t="shared" si="1"/>
        <v>3270.274669444314</v>
      </c>
      <c r="O22" s="814">
        <f t="shared" si="1"/>
        <v>0</v>
      </c>
      <c r="P22" s="814">
        <f t="shared" si="1"/>
        <v>0</v>
      </c>
      <c r="Q22" s="814">
        <f t="shared" si="1"/>
        <v>0</v>
      </c>
      <c r="R22" s="814">
        <f t="shared" si="1"/>
        <v>59150.235348746952</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10748.593927792801</v>
      </c>
      <c r="D24" s="689">
        <f>+landbouw!C8</f>
        <v>122021.19642857142</v>
      </c>
      <c r="E24" s="689">
        <f>+landbouw!D8</f>
        <v>45494.921580889757</v>
      </c>
      <c r="F24" s="689">
        <f>+landbouw!E8</f>
        <v>400.8479451708692</v>
      </c>
      <c r="G24" s="689">
        <f>+landbouw!F8</f>
        <v>34872.592121944886</v>
      </c>
      <c r="H24" s="689">
        <f>+landbouw!G8</f>
        <v>0</v>
      </c>
      <c r="I24" s="689">
        <f>+landbouw!H8</f>
        <v>0</v>
      </c>
      <c r="J24" s="689">
        <f>+landbouw!I8</f>
        <v>0</v>
      </c>
      <c r="K24" s="689">
        <f>+landbouw!J8</f>
        <v>2821.5589708556486</v>
      </c>
      <c r="L24" s="689">
        <f>+landbouw!K8</f>
        <v>0</v>
      </c>
      <c r="M24" s="689">
        <f>+landbouw!L8</f>
        <v>0</v>
      </c>
      <c r="N24" s="689">
        <f>+landbouw!M8</f>
        <v>0</v>
      </c>
      <c r="O24" s="689">
        <f>+landbouw!N8</f>
        <v>0</v>
      </c>
      <c r="P24" s="689">
        <f>+landbouw!O8</f>
        <v>0</v>
      </c>
      <c r="Q24" s="690">
        <f>+landbouw!P8</f>
        <v>0</v>
      </c>
      <c r="R24" s="692">
        <f>SUM(C24:Q24)</f>
        <v>216359.71097522535</v>
      </c>
      <c r="S24" s="67"/>
    </row>
    <row r="25" spans="1:19" s="451" customFormat="1" ht="15" thickBot="1">
      <c r="A25" s="833" t="s">
        <v>714</v>
      </c>
      <c r="B25" s="947"/>
      <c r="C25" s="948">
        <f>IF(Onbekend_ele_kWh="---",0,Onbekend_ele_kWh)/1000+IF(REST_rest_ele_kWh="---",0,REST_rest_ele_kWh)/1000</f>
        <v>758.46004226081004</v>
      </c>
      <c r="D25" s="948"/>
      <c r="E25" s="948">
        <f>IF(onbekend_gas_kWh="---",0,onbekend_gas_kWh)/1000+IF(REST_rest_gas_kWh="---",0,REST_rest_gas_kWh)/1000</f>
        <v>1722.4074796611599</v>
      </c>
      <c r="F25" s="948"/>
      <c r="G25" s="948"/>
      <c r="H25" s="948"/>
      <c r="I25" s="948"/>
      <c r="J25" s="948"/>
      <c r="K25" s="948"/>
      <c r="L25" s="948"/>
      <c r="M25" s="948"/>
      <c r="N25" s="948"/>
      <c r="O25" s="948"/>
      <c r="P25" s="948"/>
      <c r="Q25" s="949"/>
      <c r="R25" s="692">
        <f>SUM(C25:Q25)</f>
        <v>2480.8675219219699</v>
      </c>
      <c r="S25" s="67"/>
    </row>
    <row r="26" spans="1:19" s="451" customFormat="1" ht="15.75" thickBot="1">
      <c r="A26" s="697" t="s">
        <v>715</v>
      </c>
      <c r="B26" s="819"/>
      <c r="C26" s="814">
        <f>SUM(C24:C25)</f>
        <v>11507.05397005361</v>
      </c>
      <c r="D26" s="814">
        <f t="shared" ref="D26:R26" si="2">SUM(D24:D25)</f>
        <v>122021.19642857142</v>
      </c>
      <c r="E26" s="814">
        <f t="shared" si="2"/>
        <v>47217.329060550917</v>
      </c>
      <c r="F26" s="814">
        <f t="shared" si="2"/>
        <v>400.8479451708692</v>
      </c>
      <c r="G26" s="814">
        <f t="shared" si="2"/>
        <v>34872.592121944886</v>
      </c>
      <c r="H26" s="814">
        <f t="shared" si="2"/>
        <v>0</v>
      </c>
      <c r="I26" s="814">
        <f t="shared" si="2"/>
        <v>0</v>
      </c>
      <c r="J26" s="814">
        <f t="shared" si="2"/>
        <v>0</v>
      </c>
      <c r="K26" s="814">
        <f t="shared" si="2"/>
        <v>2821.5589708556486</v>
      </c>
      <c r="L26" s="814">
        <f t="shared" si="2"/>
        <v>0</v>
      </c>
      <c r="M26" s="814">
        <f t="shared" si="2"/>
        <v>0</v>
      </c>
      <c r="N26" s="814">
        <f t="shared" si="2"/>
        <v>0</v>
      </c>
      <c r="O26" s="814">
        <f t="shared" si="2"/>
        <v>0</v>
      </c>
      <c r="P26" s="814">
        <f t="shared" si="2"/>
        <v>0</v>
      </c>
      <c r="Q26" s="814">
        <f t="shared" si="2"/>
        <v>0</v>
      </c>
      <c r="R26" s="814">
        <f t="shared" si="2"/>
        <v>218840.5784971473</v>
      </c>
      <c r="S26" s="67"/>
    </row>
    <row r="27" spans="1:19" s="451" customFormat="1" ht="17.25" thickTop="1" thickBot="1">
      <c r="A27" s="698" t="s">
        <v>115</v>
      </c>
      <c r="B27" s="806"/>
      <c r="C27" s="699">
        <f ca="1">C22+C16+C26</f>
        <v>166401.03309114394</v>
      </c>
      <c r="D27" s="699">
        <f t="shared" ref="D27:R27" ca="1" si="3">D22+D16+D26</f>
        <v>132049.76785714284</v>
      </c>
      <c r="E27" s="699">
        <f t="shared" ca="1" si="3"/>
        <v>490396.64860122657</v>
      </c>
      <c r="F27" s="699">
        <f t="shared" si="3"/>
        <v>2912.5666658892096</v>
      </c>
      <c r="G27" s="699">
        <f t="shared" ca="1" si="3"/>
        <v>44672.635067756761</v>
      </c>
      <c r="H27" s="699">
        <f t="shared" si="3"/>
        <v>44686.350910327295</v>
      </c>
      <c r="I27" s="699">
        <f t="shared" si="3"/>
        <v>10887.010905361951</v>
      </c>
      <c r="J27" s="699">
        <f t="shared" si="3"/>
        <v>0</v>
      </c>
      <c r="K27" s="699">
        <f t="shared" si="3"/>
        <v>2825.0523450294636</v>
      </c>
      <c r="L27" s="699">
        <f t="shared" si="3"/>
        <v>0</v>
      </c>
      <c r="M27" s="699">
        <f t="shared" ca="1" si="3"/>
        <v>0</v>
      </c>
      <c r="N27" s="699">
        <f t="shared" si="3"/>
        <v>3270.274669444314</v>
      </c>
      <c r="O27" s="699">
        <f t="shared" ca="1" si="3"/>
        <v>12611.2161239339</v>
      </c>
      <c r="P27" s="699">
        <f t="shared" si="3"/>
        <v>392.69845787337943</v>
      </c>
      <c r="Q27" s="699">
        <f t="shared" si="3"/>
        <v>842.32476991901149</v>
      </c>
      <c r="R27" s="699">
        <f t="shared" ca="1" si="3"/>
        <v>911947.57946504862</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7184.3515026959822</v>
      </c>
      <c r="D40" s="689">
        <f ca="1">tertiair!C20</f>
        <v>0</v>
      </c>
      <c r="E40" s="689">
        <f ca="1">tertiair!D20</f>
        <v>7505.9657294746803</v>
      </c>
      <c r="F40" s="689">
        <f>tertiair!E20</f>
        <v>44.128342802217979</v>
      </c>
      <c r="G40" s="689">
        <f ca="1">tertiair!F20</f>
        <v>2439.2293550379204</v>
      </c>
      <c r="H40" s="689">
        <f>tertiair!G20</f>
        <v>0</v>
      </c>
      <c r="I40" s="689">
        <f>tertiair!H20</f>
        <v>0</v>
      </c>
      <c r="J40" s="689">
        <f>tertiair!I20</f>
        <v>0</v>
      </c>
      <c r="K40" s="689">
        <f>tertiair!J20</f>
        <v>4.1675169909059971E-2</v>
      </c>
      <c r="L40" s="689">
        <f>tertiair!K20</f>
        <v>0</v>
      </c>
      <c r="M40" s="689">
        <f ca="1">tertiair!L20</f>
        <v>0</v>
      </c>
      <c r="N40" s="689">
        <f>tertiair!M20</f>
        <v>0</v>
      </c>
      <c r="O40" s="689">
        <f ca="1">tertiair!N20</f>
        <v>0</v>
      </c>
      <c r="P40" s="689">
        <f>tertiair!O20</f>
        <v>0</v>
      </c>
      <c r="Q40" s="772">
        <f>tertiair!P20</f>
        <v>0</v>
      </c>
      <c r="R40" s="852">
        <f t="shared" ca="1" si="4"/>
        <v>17173.716605180711</v>
      </c>
    </row>
    <row r="41" spans="1:18">
      <c r="A41" s="824" t="s">
        <v>224</v>
      </c>
      <c r="B41" s="831"/>
      <c r="C41" s="689">
        <f ca="1">huishoudens!B12</f>
        <v>6139.0588915272392</v>
      </c>
      <c r="D41" s="689">
        <f ca="1">huishoudens!C12</f>
        <v>0</v>
      </c>
      <c r="E41" s="689">
        <f>huishoudens!D12</f>
        <v>15424.928910629236</v>
      </c>
      <c r="F41" s="689">
        <f>huishoudens!E12</f>
        <v>498.46006895177516</v>
      </c>
      <c r="G41" s="689">
        <f>huishoudens!F12</f>
        <v>0</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22062.447871108252</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20424.964839530607</v>
      </c>
      <c r="D43" s="689">
        <f ca="1">industrie!C22</f>
        <v>2383.2605042016817</v>
      </c>
      <c r="E43" s="689">
        <f>industrie!D22</f>
        <v>66556.88793306447</v>
      </c>
      <c r="F43" s="689">
        <f>industrie!E22</f>
        <v>6.7022148676023638</v>
      </c>
      <c r="G43" s="689">
        <f>industrie!F22</f>
        <v>177.38211149385072</v>
      </c>
      <c r="H43" s="689">
        <f>industrie!G22</f>
        <v>0</v>
      </c>
      <c r="I43" s="689">
        <f>industrie!H22</f>
        <v>0</v>
      </c>
      <c r="J43" s="689">
        <f>industrie!I22</f>
        <v>0</v>
      </c>
      <c r="K43" s="689">
        <f>industrie!J22</f>
        <v>1.1949792876215226</v>
      </c>
      <c r="L43" s="689">
        <f>industrie!K22</f>
        <v>0</v>
      </c>
      <c r="M43" s="689">
        <f>industrie!L22</f>
        <v>0</v>
      </c>
      <c r="N43" s="689">
        <f>industrie!M22</f>
        <v>0</v>
      </c>
      <c r="O43" s="689">
        <f>industrie!N22</f>
        <v>0</v>
      </c>
      <c r="P43" s="689">
        <f>industrie!O22</f>
        <v>0</v>
      </c>
      <c r="Q43" s="772">
        <f>industrie!P22</f>
        <v>0</v>
      </c>
      <c r="R43" s="851">
        <f t="shared" ca="1" si="4"/>
        <v>89550.392582445842</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33748.375233753832</v>
      </c>
      <c r="D46" s="725">
        <f t="shared" ref="D46:Q46" ca="1" si="5">SUM(D39:D45)</f>
        <v>2383.2605042016817</v>
      </c>
      <c r="E46" s="725">
        <f t="shared" ca="1" si="5"/>
        <v>89487.782573168384</v>
      </c>
      <c r="F46" s="725">
        <f t="shared" si="5"/>
        <v>549.29062662159549</v>
      </c>
      <c r="G46" s="725">
        <f t="shared" ca="1" si="5"/>
        <v>2616.6114665317709</v>
      </c>
      <c r="H46" s="725">
        <f t="shared" si="5"/>
        <v>0</v>
      </c>
      <c r="I46" s="725">
        <f t="shared" si="5"/>
        <v>0</v>
      </c>
      <c r="J46" s="725">
        <f t="shared" si="5"/>
        <v>0</v>
      </c>
      <c r="K46" s="725">
        <f t="shared" si="5"/>
        <v>1.2366544575305827</v>
      </c>
      <c r="L46" s="725">
        <f t="shared" si="5"/>
        <v>0</v>
      </c>
      <c r="M46" s="725">
        <f t="shared" ca="1" si="5"/>
        <v>0</v>
      </c>
      <c r="N46" s="725">
        <f t="shared" si="5"/>
        <v>0</v>
      </c>
      <c r="O46" s="725">
        <f t="shared" ca="1" si="5"/>
        <v>0</v>
      </c>
      <c r="P46" s="725">
        <f t="shared" si="5"/>
        <v>0</v>
      </c>
      <c r="Q46" s="725">
        <f t="shared" si="5"/>
        <v>0</v>
      </c>
      <c r="R46" s="725">
        <f ca="1">SUM(R39:R45)</f>
        <v>128786.5570587348</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322.11018004043677</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322.11018004043677</v>
      </c>
    </row>
    <row r="50" spans="1:18">
      <c r="A50" s="827" t="s">
        <v>306</v>
      </c>
      <c r="B50" s="837"/>
      <c r="C50" s="695">
        <f ca="1">transport!B18</f>
        <v>9.6260286442453218</v>
      </c>
      <c r="D50" s="695">
        <f>transport!C18</f>
        <v>0</v>
      </c>
      <c r="E50" s="695">
        <f>transport!D18</f>
        <v>34.439974048095934</v>
      </c>
      <c r="F50" s="695">
        <f>transport!E18</f>
        <v>20.869522981467902</v>
      </c>
      <c r="G50" s="695">
        <f>transport!F18</f>
        <v>0</v>
      </c>
      <c r="H50" s="695">
        <f>transport!G18</f>
        <v>11609.145513016951</v>
      </c>
      <c r="I50" s="695">
        <f>transport!H18</f>
        <v>2710.8657154351258</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14384.946754125885</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9.6260286442453218</v>
      </c>
      <c r="D52" s="725">
        <f t="shared" ref="D52:Q52" ca="1" si="6">SUM(D48:D51)</f>
        <v>0</v>
      </c>
      <c r="E52" s="725">
        <f t="shared" si="6"/>
        <v>34.439974048095934</v>
      </c>
      <c r="F52" s="725">
        <f t="shared" si="6"/>
        <v>20.869522981467902</v>
      </c>
      <c r="G52" s="725">
        <f t="shared" si="6"/>
        <v>0</v>
      </c>
      <c r="H52" s="725">
        <f t="shared" si="6"/>
        <v>11931.255693057388</v>
      </c>
      <c r="I52" s="725">
        <f t="shared" si="6"/>
        <v>2710.8657154351258</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14707.056934166323</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2342.5768350864705</v>
      </c>
      <c r="D54" s="695">
        <f ca="1">+landbouw!C12</f>
        <v>28997.978445378158</v>
      </c>
      <c r="E54" s="695">
        <f>+landbouw!D12</f>
        <v>9189.9741593397321</v>
      </c>
      <c r="F54" s="695">
        <f>+landbouw!E12</f>
        <v>90.992483553787309</v>
      </c>
      <c r="G54" s="695">
        <f>+landbouw!F12</f>
        <v>9310.9820965592844</v>
      </c>
      <c r="H54" s="695">
        <f>+landbouw!G12</f>
        <v>0</v>
      </c>
      <c r="I54" s="695">
        <f>+landbouw!H12</f>
        <v>0</v>
      </c>
      <c r="J54" s="695">
        <f>+landbouw!I12</f>
        <v>0</v>
      </c>
      <c r="K54" s="695">
        <f>+landbouw!J12</f>
        <v>998.83187568289952</v>
      </c>
      <c r="L54" s="695">
        <f>+landbouw!K12</f>
        <v>0</v>
      </c>
      <c r="M54" s="695">
        <f>+landbouw!L12</f>
        <v>0</v>
      </c>
      <c r="N54" s="695">
        <f>+landbouw!M12</f>
        <v>0</v>
      </c>
      <c r="O54" s="695">
        <f>+landbouw!N12</f>
        <v>0</v>
      </c>
      <c r="P54" s="695">
        <f>+landbouw!O12</f>
        <v>0</v>
      </c>
      <c r="Q54" s="696">
        <f>+landbouw!P12</f>
        <v>0</v>
      </c>
      <c r="R54" s="724">
        <f ca="1">SUM(C54:Q54)</f>
        <v>50931.335895600343</v>
      </c>
    </row>
    <row r="55" spans="1:18" ht="15" thickBot="1">
      <c r="A55" s="827" t="s">
        <v>714</v>
      </c>
      <c r="B55" s="837"/>
      <c r="C55" s="695">
        <f ca="1">C25*'EF ele_warmte'!B12</f>
        <v>165.30077675971251</v>
      </c>
      <c r="D55" s="695"/>
      <c r="E55" s="695">
        <f>E25*EF_CO2_aardgas</f>
        <v>347.92631089155429</v>
      </c>
      <c r="F55" s="695"/>
      <c r="G55" s="695"/>
      <c r="H55" s="695"/>
      <c r="I55" s="695"/>
      <c r="J55" s="695"/>
      <c r="K55" s="695"/>
      <c r="L55" s="695"/>
      <c r="M55" s="695"/>
      <c r="N55" s="695"/>
      <c r="O55" s="695"/>
      <c r="P55" s="695"/>
      <c r="Q55" s="696"/>
      <c r="R55" s="724">
        <f ca="1">SUM(C55:Q55)</f>
        <v>513.22708765126686</v>
      </c>
    </row>
    <row r="56" spans="1:18" ht="15.75" thickBot="1">
      <c r="A56" s="825" t="s">
        <v>715</v>
      </c>
      <c r="B56" s="838"/>
      <c r="C56" s="725">
        <f ca="1">SUM(C54:C55)</f>
        <v>2507.8776118461828</v>
      </c>
      <c r="D56" s="725">
        <f t="shared" ref="D56:Q56" ca="1" si="7">SUM(D54:D55)</f>
        <v>28997.978445378158</v>
      </c>
      <c r="E56" s="725">
        <f t="shared" si="7"/>
        <v>9537.9004702312868</v>
      </c>
      <c r="F56" s="725">
        <f t="shared" si="7"/>
        <v>90.992483553787309</v>
      </c>
      <c r="G56" s="725">
        <f t="shared" si="7"/>
        <v>9310.9820965592844</v>
      </c>
      <c r="H56" s="725">
        <f t="shared" si="7"/>
        <v>0</v>
      </c>
      <c r="I56" s="725">
        <f t="shared" si="7"/>
        <v>0</v>
      </c>
      <c r="J56" s="725">
        <f t="shared" si="7"/>
        <v>0</v>
      </c>
      <c r="K56" s="725">
        <f t="shared" si="7"/>
        <v>998.83187568289952</v>
      </c>
      <c r="L56" s="725">
        <f t="shared" si="7"/>
        <v>0</v>
      </c>
      <c r="M56" s="725">
        <f t="shared" si="7"/>
        <v>0</v>
      </c>
      <c r="N56" s="725">
        <f t="shared" si="7"/>
        <v>0</v>
      </c>
      <c r="O56" s="725">
        <f t="shared" si="7"/>
        <v>0</v>
      </c>
      <c r="P56" s="725">
        <f t="shared" si="7"/>
        <v>0</v>
      </c>
      <c r="Q56" s="726">
        <f t="shared" si="7"/>
        <v>0</v>
      </c>
      <c r="R56" s="727">
        <f ca="1">SUM(R54:R55)</f>
        <v>51444.562983251613</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36265.878874244263</v>
      </c>
      <c r="D61" s="733">
        <f t="shared" ref="D61:Q61" ca="1" si="8">D46+D52+D56</f>
        <v>31381.238949579838</v>
      </c>
      <c r="E61" s="733">
        <f t="shared" ca="1" si="8"/>
        <v>99060.123017447768</v>
      </c>
      <c r="F61" s="733">
        <f t="shared" si="8"/>
        <v>661.1526331568507</v>
      </c>
      <c r="G61" s="733">
        <f t="shared" ca="1" si="8"/>
        <v>11927.593563091055</v>
      </c>
      <c r="H61" s="733">
        <f t="shared" si="8"/>
        <v>11931.255693057388</v>
      </c>
      <c r="I61" s="733">
        <f t="shared" si="8"/>
        <v>2710.8657154351258</v>
      </c>
      <c r="J61" s="733">
        <f t="shared" si="8"/>
        <v>0</v>
      </c>
      <c r="K61" s="733">
        <f t="shared" si="8"/>
        <v>1000.0685301404301</v>
      </c>
      <c r="L61" s="733">
        <f t="shared" si="8"/>
        <v>0</v>
      </c>
      <c r="M61" s="733">
        <f t="shared" ca="1" si="8"/>
        <v>0</v>
      </c>
      <c r="N61" s="733">
        <f t="shared" si="8"/>
        <v>0</v>
      </c>
      <c r="O61" s="733">
        <f t="shared" ca="1" si="8"/>
        <v>0</v>
      </c>
      <c r="P61" s="733">
        <f t="shared" si="8"/>
        <v>0</v>
      </c>
      <c r="Q61" s="733">
        <f t="shared" si="8"/>
        <v>0</v>
      </c>
      <c r="R61" s="733">
        <f ca="1">R46+R52+R56</f>
        <v>194938.17697615275</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0.2179426305266994</v>
      </c>
      <c r="D63" s="779">
        <f t="shared" ca="1" si="9"/>
        <v>0.23764705882352949</v>
      </c>
      <c r="E63" s="973">
        <f t="shared" ca="1" si="9"/>
        <v>0.20200000000000001</v>
      </c>
      <c r="F63" s="779">
        <f t="shared" si="9"/>
        <v>0.22700000000000004</v>
      </c>
      <c r="G63" s="779">
        <f t="shared" ca="1" si="9"/>
        <v>0.26700000000000002</v>
      </c>
      <c r="H63" s="779">
        <f t="shared" si="9"/>
        <v>0.26700000000000002</v>
      </c>
      <c r="I63" s="779">
        <f t="shared" si="9"/>
        <v>0.249</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9377.2973013775281</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93928.5</v>
      </c>
      <c r="D76" s="956">
        <f>'lokale energieproductie'!C8</f>
        <v>110504.11764705883</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22321.831764705883</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9377.2973013775281</v>
      </c>
      <c r="C78" s="751">
        <f>SUM(C72:C77)</f>
        <v>93928.5</v>
      </c>
      <c r="D78" s="752">
        <f t="shared" ref="D78:H78" si="10">SUM(D76:D77)</f>
        <v>110504.11764705883</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22321.831764705883</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132049.76785714287</v>
      </c>
      <c r="D87" s="775">
        <f>'lokale energieproductie'!C17</f>
        <v>155352.66806722691</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31381.238949579838</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132049.76785714287</v>
      </c>
      <c r="D90" s="751">
        <f t="shared" ref="D90:H90" si="12">SUM(D87:D89)</f>
        <v>155352.66806722691</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31381.238949579838</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61"/>
  <sheetViews>
    <sheetView showGridLines="0" topLeftCell="A85" zoomScale="65" zoomScaleNormal="65" workbookViewId="0">
      <selection activeCell="M38" sqref="M38"/>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9377.2973013775281</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N39</f>
        <v>93928.5</v>
      </c>
      <c r="C8" s="551">
        <f>B58</f>
        <v>110504.11764705883</v>
      </c>
      <c r="D8" s="552"/>
      <c r="E8" s="552">
        <f>E58</f>
        <v>0</v>
      </c>
      <c r="F8" s="553"/>
      <c r="G8" s="554"/>
      <c r="H8" s="552">
        <f>I58</f>
        <v>0</v>
      </c>
      <c r="I8" s="552">
        <f>G58+F58</f>
        <v>0</v>
      </c>
      <c r="J8" s="552">
        <f>H58+D58+C58</f>
        <v>0</v>
      </c>
      <c r="K8" s="552"/>
      <c r="L8" s="552"/>
      <c r="M8" s="552"/>
      <c r="N8" s="555"/>
      <c r="O8" s="556">
        <f>C8*$C$12+D8*$D$12+E8*$E$12+F8*$F$12+G8*$G$12+H8*$H$12+I8*$I$12+J8*$J$12</f>
        <v>22321.831764705883</v>
      </c>
      <c r="P8" s="1256"/>
      <c r="Q8" s="1257"/>
      <c r="S8" s="546"/>
      <c r="T8" s="1244"/>
      <c r="U8" s="1244"/>
    </row>
    <row r="9" spans="1:21" s="537" customFormat="1" ht="17.45" customHeight="1" thickBot="1">
      <c r="A9" s="557" t="s">
        <v>247</v>
      </c>
      <c r="B9" s="558">
        <f>N46+'Eigen informatie GS &amp; warmtenet'!B12</f>
        <v>0</v>
      </c>
      <c r="C9" s="559">
        <f>P46+IF(ISERROR(('Eigen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S46+IF(ISERROR('Eigen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W46+IF(ISERROR('Eigen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(T46+U46)+IF(ISERROR('Eigen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V46+Q46+R46+IF(ISERROR('Eigen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103305.79730137753</v>
      </c>
      <c r="C10" s="566">
        <f t="shared" ref="C10:L10" si="0">SUM(C8:C9)</f>
        <v>110504.11764705883</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22321.831764705883</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O39</f>
        <v>132049.76785714287</v>
      </c>
      <c r="C17" s="582">
        <f>B59</f>
        <v>155352.66806722691</v>
      </c>
      <c r="D17" s="583"/>
      <c r="E17" s="583">
        <f>E59</f>
        <v>0</v>
      </c>
      <c r="F17" s="584"/>
      <c r="G17" s="585"/>
      <c r="H17" s="582">
        <f>I59</f>
        <v>0</v>
      </c>
      <c r="I17" s="583">
        <f>G59+F59</f>
        <v>0</v>
      </c>
      <c r="J17" s="583">
        <f>H59+D59+C59</f>
        <v>0</v>
      </c>
      <c r="K17" s="583"/>
      <c r="L17" s="583"/>
      <c r="M17" s="583"/>
      <c r="N17" s="970"/>
      <c r="O17" s="586">
        <f>C17*$C$22+E17*$E$22+H17*$H$22+I17*$I$22+J17*$J$22+D17*$D$22+F17*$F$22+G17*$G$22+K17*$K$22+L17*$L$22</f>
        <v>31381.238949579838</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132049.76785714287</v>
      </c>
      <c r="C20" s="565">
        <f>SUM(C17:C19)</f>
        <v>155352.66806722691</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31381.238949579838</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25.5">
      <c r="A28" s="595"/>
      <c r="B28" s="794">
        <v>12009</v>
      </c>
      <c r="C28" s="794">
        <v>2570</v>
      </c>
      <c r="D28" s="643" t="s">
        <v>865</v>
      </c>
      <c r="E28" s="642" t="s">
        <v>866</v>
      </c>
      <c r="F28" s="642" t="s">
        <v>867</v>
      </c>
      <c r="G28" s="642" t="s">
        <v>868</v>
      </c>
      <c r="H28" s="642" t="s">
        <v>869</v>
      </c>
      <c r="I28" s="642" t="s">
        <v>866</v>
      </c>
      <c r="J28" s="793">
        <v>39142</v>
      </c>
      <c r="K28" s="793">
        <v>39150</v>
      </c>
      <c r="L28" s="642" t="s">
        <v>870</v>
      </c>
      <c r="M28" s="642">
        <v>2000</v>
      </c>
      <c r="N28" s="642">
        <v>9000</v>
      </c>
      <c r="O28" s="642">
        <v>12857.142857142857</v>
      </c>
      <c r="P28" s="642">
        <v>25714.285714285717</v>
      </c>
      <c r="Q28" s="642">
        <v>0</v>
      </c>
      <c r="R28" s="642">
        <v>0</v>
      </c>
      <c r="S28" s="642">
        <v>0</v>
      </c>
      <c r="T28" s="642">
        <v>0</v>
      </c>
      <c r="U28" s="642">
        <v>0</v>
      </c>
      <c r="V28" s="642">
        <v>0</v>
      </c>
      <c r="W28" s="642">
        <v>0</v>
      </c>
      <c r="X28" s="642">
        <v>10</v>
      </c>
      <c r="Y28" s="642" t="s">
        <v>111</v>
      </c>
      <c r="Z28" s="644" t="s">
        <v>111</v>
      </c>
    </row>
    <row r="29" spans="1:26" s="596" customFormat="1" ht="25.5">
      <c r="A29" s="595"/>
      <c r="B29" s="794">
        <v>12009</v>
      </c>
      <c r="C29" s="794">
        <v>2570</v>
      </c>
      <c r="D29" s="643" t="s">
        <v>871</v>
      </c>
      <c r="E29" s="642" t="s">
        <v>872</v>
      </c>
      <c r="F29" s="642" t="s">
        <v>873</v>
      </c>
      <c r="G29" s="642" t="s">
        <v>868</v>
      </c>
      <c r="H29" s="642" t="s">
        <v>869</v>
      </c>
      <c r="I29" s="642" t="s">
        <v>872</v>
      </c>
      <c r="J29" s="793">
        <v>39241</v>
      </c>
      <c r="K29" s="793">
        <v>39253</v>
      </c>
      <c r="L29" s="642" t="s">
        <v>870</v>
      </c>
      <c r="M29" s="642">
        <v>1147</v>
      </c>
      <c r="N29" s="642">
        <v>5161.5</v>
      </c>
      <c r="O29" s="642">
        <v>7373.5714285714284</v>
      </c>
      <c r="P29" s="642">
        <v>14747.142857142859</v>
      </c>
      <c r="Q29" s="642">
        <v>0</v>
      </c>
      <c r="R29" s="642">
        <v>0</v>
      </c>
      <c r="S29" s="642">
        <v>0</v>
      </c>
      <c r="T29" s="642">
        <v>0</v>
      </c>
      <c r="U29" s="642">
        <v>0</v>
      </c>
      <c r="V29" s="642">
        <v>0</v>
      </c>
      <c r="W29" s="642">
        <v>0</v>
      </c>
      <c r="X29" s="642">
        <v>10</v>
      </c>
      <c r="Y29" s="642" t="s">
        <v>111</v>
      </c>
      <c r="Z29" s="644" t="s">
        <v>111</v>
      </c>
    </row>
    <row r="30" spans="1:26" s="596" customFormat="1" ht="25.5">
      <c r="A30" s="595"/>
      <c r="B30" s="794">
        <v>12009</v>
      </c>
      <c r="C30" s="794">
        <v>2570</v>
      </c>
      <c r="D30" s="643" t="s">
        <v>874</v>
      </c>
      <c r="E30" s="642" t="s">
        <v>875</v>
      </c>
      <c r="F30" s="642" t="s">
        <v>876</v>
      </c>
      <c r="G30" s="642" t="s">
        <v>868</v>
      </c>
      <c r="H30" s="642" t="s">
        <v>869</v>
      </c>
      <c r="I30" s="642" t="s">
        <v>875</v>
      </c>
      <c r="J30" s="793">
        <v>41995</v>
      </c>
      <c r="K30" s="793">
        <v>39261</v>
      </c>
      <c r="L30" s="642" t="s">
        <v>870</v>
      </c>
      <c r="M30" s="642">
        <v>1969</v>
      </c>
      <c r="N30" s="642">
        <v>8860.5</v>
      </c>
      <c r="O30" s="642">
        <v>12657.857142857143</v>
      </c>
      <c r="P30" s="642">
        <v>25315.714285714286</v>
      </c>
      <c r="Q30" s="642">
        <v>0</v>
      </c>
      <c r="R30" s="642">
        <v>0</v>
      </c>
      <c r="S30" s="642">
        <v>0</v>
      </c>
      <c r="T30" s="642">
        <v>0</v>
      </c>
      <c r="U30" s="642">
        <v>0</v>
      </c>
      <c r="V30" s="642">
        <v>0</v>
      </c>
      <c r="W30" s="642">
        <v>0</v>
      </c>
      <c r="X30" s="642">
        <v>10</v>
      </c>
      <c r="Y30" s="642" t="s">
        <v>111</v>
      </c>
      <c r="Z30" s="644" t="s">
        <v>111</v>
      </c>
    </row>
    <row r="31" spans="1:26" s="596" customFormat="1" ht="25.5">
      <c r="A31" s="595"/>
      <c r="B31" s="794">
        <v>12009</v>
      </c>
      <c r="C31" s="794">
        <v>2570</v>
      </c>
      <c r="D31" s="643" t="s">
        <v>877</v>
      </c>
      <c r="E31" s="642" t="s">
        <v>878</v>
      </c>
      <c r="F31" s="642" t="s">
        <v>879</v>
      </c>
      <c r="G31" s="642" t="s">
        <v>868</v>
      </c>
      <c r="H31" s="642" t="s">
        <v>869</v>
      </c>
      <c r="I31" s="642" t="s">
        <v>880</v>
      </c>
      <c r="J31" s="793">
        <v>41260</v>
      </c>
      <c r="K31" s="793">
        <v>39492</v>
      </c>
      <c r="L31" s="642" t="s">
        <v>870</v>
      </c>
      <c r="M31" s="642">
        <v>3538</v>
      </c>
      <c r="N31" s="642">
        <v>15921</v>
      </c>
      <c r="O31" s="642">
        <v>22744.285714285714</v>
      </c>
      <c r="P31" s="642">
        <v>45488.571428571435</v>
      </c>
      <c r="Q31" s="642">
        <v>0</v>
      </c>
      <c r="R31" s="642">
        <v>0</v>
      </c>
      <c r="S31" s="642">
        <v>0</v>
      </c>
      <c r="T31" s="642">
        <v>0</v>
      </c>
      <c r="U31" s="642">
        <v>0</v>
      </c>
      <c r="V31" s="642">
        <v>0</v>
      </c>
      <c r="W31" s="642">
        <v>0</v>
      </c>
      <c r="X31" s="642">
        <v>10</v>
      </c>
      <c r="Y31" s="642" t="s">
        <v>111</v>
      </c>
      <c r="Z31" s="644" t="s">
        <v>111</v>
      </c>
    </row>
    <row r="32" spans="1:26" s="596" customFormat="1" ht="25.5">
      <c r="A32" s="595"/>
      <c r="B32" s="794">
        <v>12009</v>
      </c>
      <c r="C32" s="794">
        <v>2570</v>
      </c>
      <c r="D32" s="643" t="s">
        <v>881</v>
      </c>
      <c r="E32" s="642" t="s">
        <v>882</v>
      </c>
      <c r="F32" s="642" t="s">
        <v>883</v>
      </c>
      <c r="G32" s="642" t="s">
        <v>868</v>
      </c>
      <c r="H32" s="642" t="s">
        <v>869</v>
      </c>
      <c r="I32" s="642" t="s">
        <v>882</v>
      </c>
      <c r="J32" s="793">
        <v>39573</v>
      </c>
      <c r="K32" s="793">
        <v>39573</v>
      </c>
      <c r="L32" s="642" t="s">
        <v>870</v>
      </c>
      <c r="M32" s="642">
        <v>2789</v>
      </c>
      <c r="N32" s="642">
        <v>12550.5</v>
      </c>
      <c r="O32" s="642">
        <v>17929.285714285714</v>
      </c>
      <c r="P32" s="642">
        <v>35858.571428571428</v>
      </c>
      <c r="Q32" s="642">
        <v>0</v>
      </c>
      <c r="R32" s="642">
        <v>0</v>
      </c>
      <c r="S32" s="642">
        <v>0</v>
      </c>
      <c r="T32" s="642">
        <v>0</v>
      </c>
      <c r="U32" s="642">
        <v>0</v>
      </c>
      <c r="V32" s="642">
        <v>0</v>
      </c>
      <c r="W32" s="642">
        <v>0</v>
      </c>
      <c r="X32" s="642">
        <v>10</v>
      </c>
      <c r="Y32" s="642" t="s">
        <v>111</v>
      </c>
      <c r="Z32" s="644" t="s">
        <v>111</v>
      </c>
    </row>
    <row r="33" spans="1:26" s="596" customFormat="1" ht="25.5">
      <c r="A33" s="595"/>
      <c r="B33" s="794">
        <v>12009</v>
      </c>
      <c r="C33" s="794">
        <v>2570</v>
      </c>
      <c r="D33" s="643" t="s">
        <v>884</v>
      </c>
      <c r="E33" s="642" t="s">
        <v>885</v>
      </c>
      <c r="F33" s="642" t="s">
        <v>886</v>
      </c>
      <c r="G33" s="642" t="s">
        <v>868</v>
      </c>
      <c r="H33" s="642" t="s">
        <v>869</v>
      </c>
      <c r="I33" s="642" t="s">
        <v>885</v>
      </c>
      <c r="J33" s="793">
        <v>39594</v>
      </c>
      <c r="K33" s="793">
        <v>39594</v>
      </c>
      <c r="L33" s="642" t="s">
        <v>870</v>
      </c>
      <c r="M33" s="642">
        <v>2000</v>
      </c>
      <c r="N33" s="642">
        <v>9000</v>
      </c>
      <c r="O33" s="642">
        <v>12857.142857142857</v>
      </c>
      <c r="P33" s="642">
        <v>25714.285714285717</v>
      </c>
      <c r="Q33" s="642">
        <v>0</v>
      </c>
      <c r="R33" s="642">
        <v>0</v>
      </c>
      <c r="S33" s="642">
        <v>0</v>
      </c>
      <c r="T33" s="642">
        <v>0</v>
      </c>
      <c r="U33" s="642">
        <v>0</v>
      </c>
      <c r="V33" s="642">
        <v>0</v>
      </c>
      <c r="W33" s="642">
        <v>0</v>
      </c>
      <c r="X33" s="642">
        <v>10</v>
      </c>
      <c r="Y33" s="642" t="s">
        <v>111</v>
      </c>
      <c r="Z33" s="644" t="s">
        <v>111</v>
      </c>
    </row>
    <row r="34" spans="1:26" s="596" customFormat="1" ht="25.5">
      <c r="A34" s="595"/>
      <c r="B34" s="794">
        <v>12009</v>
      </c>
      <c r="C34" s="794">
        <v>2570</v>
      </c>
      <c r="D34" s="643" t="s">
        <v>887</v>
      </c>
      <c r="E34" s="642" t="s">
        <v>888</v>
      </c>
      <c r="F34" s="642" t="s">
        <v>889</v>
      </c>
      <c r="G34" s="642" t="s">
        <v>868</v>
      </c>
      <c r="H34" s="642" t="s">
        <v>869</v>
      </c>
      <c r="I34" s="642" t="s">
        <v>890</v>
      </c>
      <c r="J34" s="793">
        <v>39843</v>
      </c>
      <c r="K34" s="793">
        <v>39848</v>
      </c>
      <c r="L34" s="642" t="s">
        <v>870</v>
      </c>
      <c r="M34" s="642">
        <v>2014</v>
      </c>
      <c r="N34" s="642">
        <v>9062.9999999999982</v>
      </c>
      <c r="O34" s="642">
        <v>12947.142857142855</v>
      </c>
      <c r="P34" s="642">
        <v>25894.28571428571</v>
      </c>
      <c r="Q34" s="642">
        <v>0</v>
      </c>
      <c r="R34" s="642">
        <v>0</v>
      </c>
      <c r="S34" s="642">
        <v>0</v>
      </c>
      <c r="T34" s="642">
        <v>0</v>
      </c>
      <c r="U34" s="642">
        <v>0</v>
      </c>
      <c r="V34" s="642">
        <v>0</v>
      </c>
      <c r="W34" s="642">
        <v>0</v>
      </c>
      <c r="X34" s="642">
        <v>10</v>
      </c>
      <c r="Y34" s="642" t="s">
        <v>111</v>
      </c>
      <c r="Z34" s="644" t="s">
        <v>111</v>
      </c>
    </row>
    <row r="35" spans="1:26" s="596" customFormat="1" ht="25.5">
      <c r="A35" s="595"/>
      <c r="B35" s="794">
        <v>12009</v>
      </c>
      <c r="C35" s="794">
        <v>2570</v>
      </c>
      <c r="D35" s="643" t="s">
        <v>891</v>
      </c>
      <c r="E35" s="642" t="s">
        <v>892</v>
      </c>
      <c r="F35" s="642" t="s">
        <v>893</v>
      </c>
      <c r="G35" s="642" t="s">
        <v>868</v>
      </c>
      <c r="H35" s="642" t="s">
        <v>869</v>
      </c>
      <c r="I35" s="642" t="s">
        <v>894</v>
      </c>
      <c r="J35" s="793">
        <v>40443</v>
      </c>
      <c r="K35" s="793">
        <v>40443</v>
      </c>
      <c r="L35" s="642" t="s">
        <v>870</v>
      </c>
      <c r="M35" s="642">
        <v>1008</v>
      </c>
      <c r="N35" s="642">
        <v>4536</v>
      </c>
      <c r="O35" s="642">
        <v>6480</v>
      </c>
      <c r="P35" s="642">
        <v>12960</v>
      </c>
      <c r="Q35" s="642">
        <v>0</v>
      </c>
      <c r="R35" s="642">
        <v>0</v>
      </c>
      <c r="S35" s="642">
        <v>0</v>
      </c>
      <c r="T35" s="642">
        <v>0</v>
      </c>
      <c r="U35" s="642">
        <v>0</v>
      </c>
      <c r="V35" s="642">
        <v>0</v>
      </c>
      <c r="W35" s="642">
        <v>0</v>
      </c>
      <c r="X35" s="642">
        <v>10</v>
      </c>
      <c r="Y35" s="642" t="s">
        <v>111</v>
      </c>
      <c r="Z35" s="644" t="s">
        <v>111</v>
      </c>
    </row>
    <row r="36" spans="1:26" s="596" customFormat="1" ht="25.5">
      <c r="A36" s="595"/>
      <c r="B36" s="794">
        <v>12009</v>
      </c>
      <c r="C36" s="794">
        <v>2570</v>
      </c>
      <c r="D36" s="643" t="s">
        <v>895</v>
      </c>
      <c r="E36" s="642" t="s">
        <v>896</v>
      </c>
      <c r="F36" s="642" t="s">
        <v>897</v>
      </c>
      <c r="G36" s="642" t="s">
        <v>868</v>
      </c>
      <c r="H36" s="642" t="s">
        <v>869</v>
      </c>
      <c r="I36" s="642" t="s">
        <v>896</v>
      </c>
      <c r="J36" s="793">
        <v>40763</v>
      </c>
      <c r="K36" s="793">
        <v>40763</v>
      </c>
      <c r="L36" s="642" t="s">
        <v>870</v>
      </c>
      <c r="M36" s="642">
        <v>1560</v>
      </c>
      <c r="N36" s="642">
        <v>7020</v>
      </c>
      <c r="O36" s="642">
        <v>10028.571428571429</v>
      </c>
      <c r="P36" s="642">
        <v>20057.142857142859</v>
      </c>
      <c r="Q36" s="642">
        <v>0</v>
      </c>
      <c r="R36" s="642">
        <v>0</v>
      </c>
      <c r="S36" s="642">
        <v>0</v>
      </c>
      <c r="T36" s="642">
        <v>0</v>
      </c>
      <c r="U36" s="642">
        <v>0</v>
      </c>
      <c r="V36" s="642">
        <v>0</v>
      </c>
      <c r="W36" s="642">
        <v>0</v>
      </c>
      <c r="X36" s="642">
        <v>16000</v>
      </c>
      <c r="Y36" s="642" t="s">
        <v>32</v>
      </c>
      <c r="Z36" s="644" t="s">
        <v>385</v>
      </c>
    </row>
    <row r="37" spans="1:26" s="596" customFormat="1" ht="38.25">
      <c r="A37" s="595"/>
      <c r="B37" s="794">
        <v>12009</v>
      </c>
      <c r="C37" s="794">
        <v>2570</v>
      </c>
      <c r="D37" s="643" t="s">
        <v>898</v>
      </c>
      <c r="E37" s="642" t="s">
        <v>899</v>
      </c>
      <c r="F37" s="642" t="s">
        <v>900</v>
      </c>
      <c r="G37" s="642" t="s">
        <v>868</v>
      </c>
      <c r="H37" s="642" t="s">
        <v>901</v>
      </c>
      <c r="I37" s="642" t="s">
        <v>899</v>
      </c>
      <c r="J37" s="793">
        <v>41313</v>
      </c>
      <c r="K37" s="793">
        <v>41316</v>
      </c>
      <c r="L37" s="642" t="s">
        <v>870</v>
      </c>
      <c r="M37" s="642">
        <v>1562</v>
      </c>
      <c r="N37" s="642">
        <v>7029</v>
      </c>
      <c r="O37" s="642">
        <v>7907.625</v>
      </c>
      <c r="P37" s="642">
        <v>17572.5</v>
      </c>
      <c r="Q37" s="642">
        <v>0</v>
      </c>
      <c r="R37" s="642">
        <v>0</v>
      </c>
      <c r="S37" s="642">
        <v>0</v>
      </c>
      <c r="T37" s="642">
        <v>0</v>
      </c>
      <c r="U37" s="642">
        <v>0</v>
      </c>
      <c r="V37" s="642">
        <v>0</v>
      </c>
      <c r="W37" s="642">
        <v>0</v>
      </c>
      <c r="X37" s="642">
        <v>10</v>
      </c>
      <c r="Y37" s="642" t="s">
        <v>111</v>
      </c>
      <c r="Z37" s="644" t="s">
        <v>111</v>
      </c>
    </row>
    <row r="38" spans="1:26" s="596" customFormat="1" ht="25.5">
      <c r="A38" s="595"/>
      <c r="B38" s="794">
        <v>12009</v>
      </c>
      <c r="C38" s="794">
        <v>2570</v>
      </c>
      <c r="D38" s="643" t="s">
        <v>902</v>
      </c>
      <c r="E38" s="642"/>
      <c r="F38" s="642" t="s">
        <v>903</v>
      </c>
      <c r="G38" s="642" t="s">
        <v>904</v>
      </c>
      <c r="H38" s="642" t="s">
        <v>869</v>
      </c>
      <c r="I38" s="642" t="s">
        <v>905</v>
      </c>
      <c r="J38" s="793">
        <v>42502</v>
      </c>
      <c r="K38" s="793">
        <v>42502</v>
      </c>
      <c r="L38" s="642" t="s">
        <v>906</v>
      </c>
      <c r="M38" s="642">
        <v>1286</v>
      </c>
      <c r="N38" s="642">
        <v>5787</v>
      </c>
      <c r="O38" s="642">
        <v>8267.1428571428569</v>
      </c>
      <c r="P38" s="642">
        <v>16534.285714285714</v>
      </c>
      <c r="Q38" s="642">
        <v>0</v>
      </c>
      <c r="R38" s="642">
        <v>0</v>
      </c>
      <c r="S38" s="642">
        <v>0</v>
      </c>
      <c r="T38" s="642">
        <v>0</v>
      </c>
      <c r="U38" s="642">
        <v>0</v>
      </c>
      <c r="V38" s="642">
        <v>0</v>
      </c>
      <c r="W38" s="642">
        <v>0</v>
      </c>
      <c r="X38" s="642">
        <v>10</v>
      </c>
      <c r="Y38" s="642" t="s">
        <v>111</v>
      </c>
      <c r="Z38" s="644" t="s">
        <v>111</v>
      </c>
    </row>
    <row r="39" spans="1:26" s="576" customFormat="1">
      <c r="A39" s="598" t="s">
        <v>279</v>
      </c>
      <c r="B39" s="599"/>
      <c r="C39" s="599"/>
      <c r="D39" s="599"/>
      <c r="E39" s="599"/>
      <c r="F39" s="599"/>
      <c r="G39" s="599"/>
      <c r="H39" s="599"/>
      <c r="I39" s="599"/>
      <c r="J39" s="599"/>
      <c r="K39" s="599"/>
      <c r="L39" s="600"/>
      <c r="M39" s="600">
        <f>SUM(M28:M38)</f>
        <v>20873</v>
      </c>
      <c r="N39" s="600">
        <f>SUM(N28:N38)</f>
        <v>93928.5</v>
      </c>
      <c r="O39" s="600">
        <f>SUM(O28:O38)</f>
        <v>132049.76785714287</v>
      </c>
      <c r="P39" s="600">
        <f>SUM(P28:P38)</f>
        <v>265856.78571428574</v>
      </c>
      <c r="Q39" s="600">
        <f>SUM(Q28:Q38)</f>
        <v>0</v>
      </c>
      <c r="R39" s="600">
        <f>SUM(R28:R38)</f>
        <v>0</v>
      </c>
      <c r="S39" s="600">
        <f>SUM(S28:S38)</f>
        <v>0</v>
      </c>
      <c r="T39" s="600">
        <f>SUM(T28:T38)</f>
        <v>0</v>
      </c>
      <c r="U39" s="600">
        <f>SUM(U28:U38)</f>
        <v>0</v>
      </c>
      <c r="V39" s="600">
        <f>SUM(V28:V38)</f>
        <v>0</v>
      </c>
      <c r="W39" s="600">
        <f>SUM(W28:W38)</f>
        <v>0</v>
      </c>
      <c r="X39" s="601"/>
      <c r="Y39" s="601"/>
      <c r="Z39" s="602"/>
    </row>
    <row r="40" spans="1:26" s="576" customFormat="1">
      <c r="A40" s="598" t="s">
        <v>286</v>
      </c>
      <c r="B40" s="599"/>
      <c r="C40" s="599"/>
      <c r="D40" s="599"/>
      <c r="E40" s="599"/>
      <c r="F40" s="599"/>
      <c r="G40" s="599"/>
      <c r="H40" s="599"/>
      <c r="I40" s="599"/>
      <c r="J40" s="599"/>
      <c r="K40" s="599"/>
      <c r="L40" s="600"/>
      <c r="M40" s="600">
        <f>SUMIF($Z$28:$Z$38,"industrie",M28:M38)</f>
        <v>1560</v>
      </c>
      <c r="N40" s="600">
        <f>SUMIF($Z$28:$Z$38,"industrie",N28:N38)</f>
        <v>7020</v>
      </c>
      <c r="O40" s="600">
        <f>SUMIF($Z$28:$Z$38,"industrie",O28:O38)</f>
        <v>10028.571428571429</v>
      </c>
      <c r="P40" s="600">
        <f>SUMIF($Z$28:$Z$38,"industrie",P28:P38)</f>
        <v>20057.142857142859</v>
      </c>
      <c r="Q40" s="600">
        <f>SUMIF($Z$28:$Z$38,"industrie",Q28:Q38)</f>
        <v>0</v>
      </c>
      <c r="R40" s="600">
        <f>SUMIF($Z$28:$Z$38,"industrie",R28:R38)</f>
        <v>0</v>
      </c>
      <c r="S40" s="600">
        <f>SUMIF($Z$28:$Z$38,"industrie",S28:S38)</f>
        <v>0</v>
      </c>
      <c r="T40" s="600">
        <f>SUMIF($Z$28:$Z$38,"industrie",T28:T38)</f>
        <v>0</v>
      </c>
      <c r="U40" s="600">
        <f>SUMIF($Z$28:$Z$38,"industrie",U28:U38)</f>
        <v>0</v>
      </c>
      <c r="V40" s="600">
        <f>SUMIF($Z$28:$Z$38,"industrie",V28:V38)</f>
        <v>0</v>
      </c>
      <c r="W40" s="600">
        <f>SUMIF($Z$28:$Z$38,"industrie",W28:W38)</f>
        <v>0</v>
      </c>
      <c r="X40" s="601"/>
      <c r="Y40" s="601"/>
      <c r="Z40" s="602"/>
    </row>
    <row r="41" spans="1:26" s="576" customFormat="1">
      <c r="A41" s="598" t="s">
        <v>287</v>
      </c>
      <c r="B41" s="599"/>
      <c r="C41" s="599"/>
      <c r="D41" s="599"/>
      <c r="E41" s="599"/>
      <c r="F41" s="599"/>
      <c r="G41" s="599"/>
      <c r="H41" s="599"/>
      <c r="I41" s="599"/>
      <c r="J41" s="599"/>
      <c r="K41" s="599"/>
      <c r="L41" s="600"/>
      <c r="M41" s="600">
        <f ca="1">SUMIF($Z$28:AC38,"tertiair",M28:M38)</f>
        <v>0</v>
      </c>
      <c r="N41" s="600">
        <f ca="1">SUMIF($Z$28:AD38,"tertiair",N28:N38)</f>
        <v>0</v>
      </c>
      <c r="O41" s="600">
        <f ca="1">SUMIF($Z$28:AE38,"tertiair",O28:O38)</f>
        <v>0</v>
      </c>
      <c r="P41" s="600">
        <f ca="1">SUMIF($Z$28:AF38,"tertiair",P28:P38)</f>
        <v>0</v>
      </c>
      <c r="Q41" s="600">
        <f ca="1">SUMIF($Z$28:AG38,"tertiair",Q28:Q38)</f>
        <v>0</v>
      </c>
      <c r="R41" s="600">
        <f ca="1">SUMIF($Z$28:AH38,"tertiair",R28:R38)</f>
        <v>0</v>
      </c>
      <c r="S41" s="600">
        <f ca="1">SUMIF($Z$28:AI38,"tertiair",S28:S38)</f>
        <v>0</v>
      </c>
      <c r="T41" s="600">
        <f ca="1">SUMIF($Z$28:AJ38,"tertiair",T28:T38)</f>
        <v>0</v>
      </c>
      <c r="U41" s="600">
        <f ca="1">SUMIF($Z$28:AK38,"tertiair",U28:U38)</f>
        <v>0</v>
      </c>
      <c r="V41" s="600">
        <f ca="1">SUMIF($Z$28:AL38,"tertiair",V28:V38)</f>
        <v>0</v>
      </c>
      <c r="W41" s="600">
        <f ca="1">SUMIF($Z$28:AM38,"tertiair",W28:W38)</f>
        <v>0</v>
      </c>
      <c r="X41" s="601"/>
      <c r="Y41" s="601"/>
      <c r="Z41" s="602"/>
    </row>
    <row r="42" spans="1:26" s="576" customFormat="1" ht="15.75" thickBot="1">
      <c r="A42" s="603" t="s">
        <v>288</v>
      </c>
      <c r="B42" s="604"/>
      <c r="C42" s="604"/>
      <c r="D42" s="604"/>
      <c r="E42" s="604"/>
      <c r="F42" s="604"/>
      <c r="G42" s="604"/>
      <c r="H42" s="604"/>
      <c r="I42" s="604"/>
      <c r="J42" s="604"/>
      <c r="K42" s="604"/>
      <c r="L42" s="605"/>
      <c r="M42" s="605">
        <f>SUMIF($Z$28:$Z$38,"landbouw",M28:M38)</f>
        <v>19313</v>
      </c>
      <c r="N42" s="605">
        <f>SUMIF($Z$28:$Z$38,"landbouw",N28:N38)</f>
        <v>86908.5</v>
      </c>
      <c r="O42" s="605">
        <f>SUMIF($Z$28:$Z$38,"landbouw",O28:O38)</f>
        <v>122021.19642857142</v>
      </c>
      <c r="P42" s="605">
        <f>SUMIF($Z$28:$Z$38,"landbouw",P28:P38)</f>
        <v>245799.64285714287</v>
      </c>
      <c r="Q42" s="605">
        <f>SUMIF($Z$28:$Z$38,"landbouw",Q28:Q38)</f>
        <v>0</v>
      </c>
      <c r="R42" s="605">
        <f>SUMIF($Z$28:$Z$38,"landbouw",R28:R38)</f>
        <v>0</v>
      </c>
      <c r="S42" s="605">
        <f>SUMIF($Z$28:$Z$38,"landbouw",S28:S38)</f>
        <v>0</v>
      </c>
      <c r="T42" s="605">
        <f>SUMIF($Z$28:$Z$38,"landbouw",T28:T38)</f>
        <v>0</v>
      </c>
      <c r="U42" s="605">
        <f>SUMIF($Z$28:$Z$38,"landbouw",U28:U38)</f>
        <v>0</v>
      </c>
      <c r="V42" s="605">
        <f>SUMIF($Z$28:$Z$38,"landbouw",V28:V38)</f>
        <v>0</v>
      </c>
      <c r="W42" s="605">
        <f>SUMIF($Z$28:$Z$38,"landbouw",W28:W38)</f>
        <v>0</v>
      </c>
      <c r="X42" s="606"/>
      <c r="Y42" s="606"/>
      <c r="Z42" s="607"/>
    </row>
    <row r="43" spans="1:26" s="537" customFormat="1" ht="15.75" thickBot="1">
      <c r="A43" s="608"/>
      <c r="B43" s="609"/>
      <c r="C43" s="609"/>
      <c r="D43" s="609"/>
      <c r="E43" s="609"/>
      <c r="F43" s="609"/>
      <c r="G43" s="609"/>
      <c r="H43" s="609"/>
      <c r="I43" s="609"/>
      <c r="J43" s="609"/>
      <c r="K43" s="609"/>
      <c r="L43" s="592"/>
      <c r="M43" s="592"/>
      <c r="N43" s="592"/>
      <c r="O43" s="593"/>
      <c r="P43" s="593"/>
    </row>
    <row r="44" spans="1:26" s="537" customFormat="1" ht="45">
      <c r="A44" s="610" t="s">
        <v>280</v>
      </c>
      <c r="B44" s="639" t="s">
        <v>89</v>
      </c>
      <c r="C44" s="639" t="s">
        <v>90</v>
      </c>
      <c r="D44" s="639" t="s">
        <v>91</v>
      </c>
      <c r="E44" s="639" t="s">
        <v>92</v>
      </c>
      <c r="F44" s="639" t="s">
        <v>93</v>
      </c>
      <c r="G44" s="639" t="s">
        <v>94</v>
      </c>
      <c r="H44" s="639" t="s">
        <v>95</v>
      </c>
      <c r="I44" s="639" t="s">
        <v>96</v>
      </c>
      <c r="J44" s="639" t="s">
        <v>97</v>
      </c>
      <c r="K44" s="639" t="s">
        <v>98</v>
      </c>
      <c r="L44" s="639" t="s">
        <v>99</v>
      </c>
      <c r="M44" s="640" t="s">
        <v>297</v>
      </c>
      <c r="N44" s="640" t="s">
        <v>100</v>
      </c>
      <c r="O44" s="640" t="s">
        <v>101</v>
      </c>
      <c r="P44" s="640" t="s">
        <v>525</v>
      </c>
      <c r="Q44" s="640" t="s">
        <v>102</v>
      </c>
      <c r="R44" s="640" t="s">
        <v>103</v>
      </c>
      <c r="S44" s="640" t="s">
        <v>104</v>
      </c>
      <c r="T44" s="640" t="s">
        <v>105</v>
      </c>
      <c r="U44" s="640" t="s">
        <v>106</v>
      </c>
      <c r="V44" s="640" t="s">
        <v>107</v>
      </c>
      <c r="W44" s="639" t="s">
        <v>108</v>
      </c>
      <c r="X44" s="639" t="s">
        <v>298</v>
      </c>
      <c r="Y44" s="639" t="s">
        <v>109</v>
      </c>
      <c r="Z44" s="641" t="s">
        <v>299</v>
      </c>
    </row>
    <row r="45" spans="1:26" s="611" customFormat="1" ht="12.75">
      <c r="A45" s="597"/>
      <c r="B45" s="794"/>
      <c r="C45" s="794"/>
      <c r="D45" s="645"/>
      <c r="E45" s="645"/>
      <c r="F45" s="645"/>
      <c r="G45" s="645"/>
      <c r="H45" s="645"/>
      <c r="I45" s="645"/>
      <c r="J45" s="793"/>
      <c r="K45" s="793"/>
      <c r="L45" s="645"/>
      <c r="M45" s="645"/>
      <c r="N45" s="645"/>
      <c r="O45" s="645"/>
      <c r="P45" s="645"/>
      <c r="Q45" s="645"/>
      <c r="R45" s="645"/>
      <c r="S45" s="645"/>
      <c r="T45" s="645"/>
      <c r="U45" s="645"/>
      <c r="V45" s="645"/>
      <c r="W45" s="645"/>
      <c r="X45" s="645"/>
      <c r="Y45" s="645"/>
      <c r="Z45" s="646"/>
    </row>
    <row r="46" spans="1:26" s="576" customFormat="1">
      <c r="A46" s="598" t="s">
        <v>279</v>
      </c>
      <c r="B46" s="599"/>
      <c r="C46" s="599"/>
      <c r="D46" s="599"/>
      <c r="E46" s="599"/>
      <c r="F46" s="599"/>
      <c r="G46" s="599"/>
      <c r="H46" s="599"/>
      <c r="I46" s="599"/>
      <c r="J46" s="599"/>
      <c r="K46" s="599"/>
      <c r="L46" s="600"/>
      <c r="M46" s="600">
        <f>SUM(M45:M45)</f>
        <v>0</v>
      </c>
      <c r="N46" s="600">
        <f>SUM(N45:N45)</f>
        <v>0</v>
      </c>
      <c r="O46" s="600">
        <f>SUM(O45:O45)</f>
        <v>0</v>
      </c>
      <c r="P46" s="600">
        <f>SUM(P45:P45)</f>
        <v>0</v>
      </c>
      <c r="Q46" s="600">
        <f>SUM(Q45:Q45)</f>
        <v>0</v>
      </c>
      <c r="R46" s="600">
        <f>SUM(R45:R45)</f>
        <v>0</v>
      </c>
      <c r="S46" s="600">
        <f>SUM(S45:S45)</f>
        <v>0</v>
      </c>
      <c r="T46" s="600">
        <f>SUM(T45:T45)</f>
        <v>0</v>
      </c>
      <c r="U46" s="600">
        <f>SUM(U45:U45)</f>
        <v>0</v>
      </c>
      <c r="V46" s="600">
        <f>SUM(V45:V45)</f>
        <v>0</v>
      </c>
      <c r="W46" s="600">
        <f>SUM(W45:W45)</f>
        <v>0</v>
      </c>
      <c r="X46" s="601"/>
      <c r="Y46" s="601"/>
      <c r="Z46" s="602"/>
    </row>
    <row r="47" spans="1:26" s="576" customFormat="1">
      <c r="A47" s="598" t="s">
        <v>286</v>
      </c>
      <c r="B47" s="599"/>
      <c r="C47" s="599"/>
      <c r="D47" s="599"/>
      <c r="E47" s="599"/>
      <c r="F47" s="599"/>
      <c r="G47" s="599"/>
      <c r="H47" s="599"/>
      <c r="I47" s="599"/>
      <c r="J47" s="599"/>
      <c r="K47" s="599"/>
      <c r="L47" s="600"/>
      <c r="M47" s="600">
        <f>SUMIF($Z$45:$Z$45,"industrie",M45:M45)</f>
        <v>0</v>
      </c>
      <c r="N47" s="600">
        <f>SUMIF($Z$45:$Z$45,"industrie",N45:N45)</f>
        <v>0</v>
      </c>
      <c r="O47" s="600">
        <f>SUMIF($Z$45:$Z$45,"industrie",O45:O45)</f>
        <v>0</v>
      </c>
      <c r="P47" s="600">
        <f>SUMIF($Z$45:$Z$45,"industrie",P45:P45)</f>
        <v>0</v>
      </c>
      <c r="Q47" s="600">
        <f>SUMIF($Z$45:$Z$45,"industrie",Q45:Q45)</f>
        <v>0</v>
      </c>
      <c r="R47" s="600">
        <f>SUMIF($Z$45:$Z$45,"industrie",R45:R45)</f>
        <v>0</v>
      </c>
      <c r="S47" s="600">
        <f>SUMIF($Z$45:$Z$45,"industrie",S45:S45)</f>
        <v>0</v>
      </c>
      <c r="T47" s="600">
        <f>SUMIF($Z$45:$Z$45,"industrie",T45:T45)</f>
        <v>0</v>
      </c>
      <c r="U47" s="600">
        <f>SUMIF($Z$45:$Z$45,"industrie",U45:U45)</f>
        <v>0</v>
      </c>
      <c r="V47" s="600">
        <f>SUMIF($Z$45:$Z$45,"industrie",V45:V45)</f>
        <v>0</v>
      </c>
      <c r="W47" s="600">
        <f>SUMIF($Z$45:$Z$45,"industrie",W45:W45)</f>
        <v>0</v>
      </c>
      <c r="X47" s="601"/>
      <c r="Y47" s="601"/>
      <c r="Z47" s="602"/>
    </row>
    <row r="48" spans="1:26" s="576" customFormat="1">
      <c r="A48" s="598" t="s">
        <v>287</v>
      </c>
      <c r="B48" s="599"/>
      <c r="C48" s="599"/>
      <c r="D48" s="599"/>
      <c r="E48" s="599"/>
      <c r="F48" s="599"/>
      <c r="G48" s="599"/>
      <c r="H48" s="599"/>
      <c r="I48" s="599"/>
      <c r="J48" s="599"/>
      <c r="K48" s="599"/>
      <c r="L48" s="600"/>
      <c r="M48" s="600">
        <f>SUMIF($Z$45:$Z$46,"tertiair",M45:M46)</f>
        <v>0</v>
      </c>
      <c r="N48" s="600">
        <f>SUMIF($Z$45:$Z$46,"tertiair",N45:N46)</f>
        <v>0</v>
      </c>
      <c r="O48" s="600">
        <f>SUMIF($Z$45:$Z$46,"tertiair",O45:O46)</f>
        <v>0</v>
      </c>
      <c r="P48" s="600">
        <f>SUMIF($Z$45:$Z$46,"tertiair",P45:P46)</f>
        <v>0</v>
      </c>
      <c r="Q48" s="600">
        <f>SUMIF($Z$45:$Z$46,"tertiair",Q45:Q46)</f>
        <v>0</v>
      </c>
      <c r="R48" s="600">
        <f>SUMIF($Z$45:$Z$46,"tertiair",R45:R46)</f>
        <v>0</v>
      </c>
      <c r="S48" s="600">
        <f>SUMIF($Z$45:$Z$46,"tertiair",S45:S46)</f>
        <v>0</v>
      </c>
      <c r="T48" s="600">
        <f>SUMIF($Z$45:$Z$46,"tertiair",T45:T46)</f>
        <v>0</v>
      </c>
      <c r="U48" s="600">
        <f>SUMIF($Z$45:$Z$46,"tertiair",U45:U46)</f>
        <v>0</v>
      </c>
      <c r="V48" s="600">
        <f>SUMIF($Z$45:$Z$46,"tertiair",V45:V46)</f>
        <v>0</v>
      </c>
      <c r="W48" s="600">
        <f>SUMIF($Z$45:$Z$46,"tertiair",W45:W46)</f>
        <v>0</v>
      </c>
      <c r="X48" s="601"/>
      <c r="Y48" s="601"/>
      <c r="Z48" s="602"/>
    </row>
    <row r="49" spans="1:27" s="576" customFormat="1" ht="15.75" thickBot="1">
      <c r="A49" s="603" t="s">
        <v>288</v>
      </c>
      <c r="B49" s="604"/>
      <c r="C49" s="604"/>
      <c r="D49" s="604"/>
      <c r="E49" s="604"/>
      <c r="F49" s="604"/>
      <c r="G49" s="604"/>
      <c r="H49" s="604"/>
      <c r="I49" s="604"/>
      <c r="J49" s="604"/>
      <c r="K49" s="604"/>
      <c r="L49" s="605"/>
      <c r="M49" s="605">
        <f>SUMIF($Z$45:$Z$47,"landbouw",M45:M47)</f>
        <v>0</v>
      </c>
      <c r="N49" s="605">
        <f>SUMIF($Z$45:$Z$47,"landbouw",N45:N47)</f>
        <v>0</v>
      </c>
      <c r="O49" s="605">
        <f>SUMIF($Z$45:$Z$47,"landbouw",O45:O47)</f>
        <v>0</v>
      </c>
      <c r="P49" s="605">
        <f>SUMIF($Z$45:$Z$47,"landbouw",P45:P47)</f>
        <v>0</v>
      </c>
      <c r="Q49" s="605">
        <f>SUMIF($Z$45:$Z$47,"landbouw",Q45:Q47)</f>
        <v>0</v>
      </c>
      <c r="R49" s="605">
        <f>SUMIF($Z$45:$Z$47,"landbouw",R45:R47)</f>
        <v>0</v>
      </c>
      <c r="S49" s="605">
        <f>SUMIF($Z$45:$Z$47,"landbouw",S45:S47)</f>
        <v>0</v>
      </c>
      <c r="T49" s="605">
        <f>SUMIF($Z$45:$Z$47,"landbouw",T45:T47)</f>
        <v>0</v>
      </c>
      <c r="U49" s="605">
        <f>SUMIF($Z$45:$Z$47,"landbouw",U45:U47)</f>
        <v>0</v>
      </c>
      <c r="V49" s="605">
        <f>SUMIF($Z$45:$Z$47,"landbouw",V45:V47)</f>
        <v>0</v>
      </c>
      <c r="W49" s="605">
        <f>SUMIF($Z$45:$Z$47,"landbouw",W45:W47)</f>
        <v>0</v>
      </c>
      <c r="X49" s="606"/>
      <c r="Y49" s="606"/>
      <c r="Z49" s="607"/>
    </row>
    <row r="50" spans="1:27" s="612" customFormat="1">
      <c r="A50" s="608"/>
      <c r="B50" s="592"/>
      <c r="C50" s="592"/>
      <c r="D50" s="592"/>
      <c r="E50" s="592"/>
      <c r="F50" s="592"/>
      <c r="G50" s="592"/>
      <c r="H50" s="592"/>
      <c r="I50" s="592"/>
      <c r="J50" s="592"/>
      <c r="K50" s="592"/>
      <c r="L50" s="592"/>
      <c r="M50" s="592"/>
      <c r="N50" s="592"/>
      <c r="O50" s="592"/>
      <c r="P50" s="592"/>
      <c r="Q50" s="592"/>
      <c r="R50" s="592"/>
      <c r="S50" s="592"/>
      <c r="T50" s="592"/>
      <c r="U50" s="592"/>
      <c r="V50" s="592"/>
      <c r="W50" s="592"/>
      <c r="X50" s="592"/>
      <c r="Y50" s="592"/>
    </row>
    <row r="51" spans="1:27" s="612" customFormat="1" ht="15.75" thickBot="1">
      <c r="A51" s="608"/>
      <c r="B51" s="592"/>
      <c r="C51" s="592"/>
      <c r="D51" s="592"/>
      <c r="E51" s="592"/>
      <c r="F51" s="592"/>
      <c r="G51" s="592"/>
      <c r="H51" s="592"/>
      <c r="I51" s="592"/>
      <c r="J51" s="592"/>
      <c r="K51" s="592"/>
      <c r="L51" s="592"/>
      <c r="M51" s="592"/>
      <c r="N51" s="592"/>
      <c r="O51" s="592"/>
      <c r="P51" s="592"/>
      <c r="Q51" s="592"/>
      <c r="R51" s="592"/>
      <c r="S51" s="592"/>
      <c r="T51" s="592"/>
      <c r="U51" s="592"/>
      <c r="V51" s="592"/>
      <c r="W51" s="592"/>
      <c r="X51" s="592"/>
      <c r="Y51" s="592"/>
      <c r="Z51" s="592"/>
      <c r="AA51" s="592"/>
    </row>
    <row r="52" spans="1:27">
      <c r="A52" s="613" t="s">
        <v>281</v>
      </c>
      <c r="B52" s="614"/>
      <c r="C52" s="614"/>
      <c r="D52" s="614"/>
      <c r="E52" s="614"/>
      <c r="F52" s="614"/>
      <c r="G52" s="614"/>
      <c r="H52" s="614"/>
      <c r="I52" s="615"/>
      <c r="J52" s="616"/>
      <c r="K52" s="616"/>
      <c r="L52" s="617"/>
      <c r="M52" s="617"/>
      <c r="N52" s="617"/>
      <c r="O52" s="617"/>
      <c r="P52" s="617"/>
    </row>
    <row r="53" spans="1:27">
      <c r="A53" s="619"/>
      <c r="B53" s="609"/>
      <c r="C53" s="609"/>
      <c r="D53" s="609"/>
      <c r="E53" s="609"/>
      <c r="F53" s="609"/>
      <c r="G53" s="609"/>
      <c r="H53" s="609"/>
      <c r="I53" s="620"/>
      <c r="J53" s="609"/>
      <c r="K53" s="609"/>
      <c r="L53" s="617"/>
      <c r="M53" s="617"/>
      <c r="N53" s="617"/>
      <c r="O53" s="617"/>
      <c r="P53" s="617"/>
    </row>
    <row r="54" spans="1:27">
      <c r="A54" s="621"/>
      <c r="B54" s="622" t="s">
        <v>282</v>
      </c>
      <c r="C54" s="622" t="s">
        <v>283</v>
      </c>
      <c r="D54" s="622"/>
      <c r="E54" s="622"/>
      <c r="F54" s="622"/>
      <c r="G54" s="622"/>
      <c r="H54" s="622"/>
      <c r="I54" s="623"/>
      <c r="J54" s="622"/>
      <c r="K54" s="622"/>
      <c r="L54" s="622"/>
      <c r="M54" s="622"/>
      <c r="N54" s="622"/>
      <c r="O54" s="622"/>
      <c r="P54" s="617"/>
    </row>
    <row r="55" spans="1:27">
      <c r="A55" s="619" t="s">
        <v>279</v>
      </c>
      <c r="B55" s="624">
        <f>IF(ISERROR(O39/(O39+N39)),0,O39/(O39+N39))</f>
        <v>0.58434719899977738</v>
      </c>
      <c r="C55" s="625">
        <f>IF(ISERROR(N39/(O39+N39)),0,N39/(N39+O39))</f>
        <v>0.41565280100022256</v>
      </c>
      <c r="D55" s="592"/>
      <c r="E55" s="592"/>
      <c r="F55" s="592"/>
      <c r="G55" s="592"/>
      <c r="H55" s="592"/>
      <c r="I55" s="626"/>
      <c r="J55" s="592"/>
      <c r="K55" s="592"/>
      <c r="L55" s="627"/>
      <c r="M55" s="627"/>
      <c r="N55" s="627"/>
      <c r="O55" s="627"/>
      <c r="P55" s="617"/>
    </row>
    <row r="56" spans="1:27">
      <c r="A56" s="619"/>
      <c r="B56" s="628"/>
      <c r="C56" s="628"/>
      <c r="D56" s="628"/>
      <c r="E56" s="628"/>
      <c r="F56" s="628"/>
      <c r="G56" s="628"/>
      <c r="H56" s="628"/>
      <c r="I56" s="629"/>
      <c r="J56" s="628"/>
      <c r="K56" s="628"/>
      <c r="L56" s="630"/>
      <c r="M56" s="630"/>
      <c r="N56" s="630"/>
      <c r="O56" s="630"/>
      <c r="P56" s="617"/>
    </row>
    <row r="57" spans="1:27" ht="30">
      <c r="A57" s="631"/>
      <c r="B57" s="632" t="s">
        <v>525</v>
      </c>
      <c r="C57" s="632" t="s">
        <v>102</v>
      </c>
      <c r="D57" s="632" t="s">
        <v>103</v>
      </c>
      <c r="E57" s="632" t="s">
        <v>104</v>
      </c>
      <c r="F57" s="632" t="s">
        <v>105</v>
      </c>
      <c r="G57" s="632" t="s">
        <v>106</v>
      </c>
      <c r="H57" s="632" t="s">
        <v>107</v>
      </c>
      <c r="I57" s="633" t="s">
        <v>108</v>
      </c>
      <c r="J57" s="622"/>
      <c r="K57" s="622"/>
      <c r="L57" s="630"/>
      <c r="M57" s="630"/>
      <c r="N57" s="630"/>
      <c r="O57" s="617"/>
      <c r="P57" s="617"/>
    </row>
    <row r="58" spans="1:27">
      <c r="A58" s="621" t="s">
        <v>284</v>
      </c>
      <c r="B58" s="634">
        <f t="shared" ref="B58:I58" si="2">$C$55*P39</f>
        <v>110504.11764705883</v>
      </c>
      <c r="C58" s="634">
        <f t="shared" si="2"/>
        <v>0</v>
      </c>
      <c r="D58" s="634">
        <f t="shared" si="2"/>
        <v>0</v>
      </c>
      <c r="E58" s="634">
        <f t="shared" si="2"/>
        <v>0</v>
      </c>
      <c r="F58" s="634">
        <f t="shared" si="2"/>
        <v>0</v>
      </c>
      <c r="G58" s="634">
        <f t="shared" si="2"/>
        <v>0</v>
      </c>
      <c r="H58" s="634">
        <f t="shared" si="2"/>
        <v>0</v>
      </c>
      <c r="I58" s="635">
        <f t="shared" si="2"/>
        <v>0</v>
      </c>
      <c r="J58" s="592"/>
      <c r="K58" s="592"/>
      <c r="L58" s="630"/>
      <c r="M58" s="630"/>
      <c r="N58" s="630"/>
      <c r="O58" s="617"/>
      <c r="P58" s="617"/>
    </row>
    <row r="59" spans="1:27" ht="15.75" thickBot="1">
      <c r="A59" s="636" t="s">
        <v>285</v>
      </c>
      <c r="B59" s="637">
        <f t="shared" ref="B59:I59" si="3">$B$55*P39</f>
        <v>155352.66806722691</v>
      </c>
      <c r="C59" s="637">
        <f t="shared" si="3"/>
        <v>0</v>
      </c>
      <c r="D59" s="637">
        <f t="shared" si="3"/>
        <v>0</v>
      </c>
      <c r="E59" s="637">
        <f t="shared" si="3"/>
        <v>0</v>
      </c>
      <c r="F59" s="637">
        <f t="shared" si="3"/>
        <v>0</v>
      </c>
      <c r="G59" s="637">
        <f t="shared" si="3"/>
        <v>0</v>
      </c>
      <c r="H59" s="637">
        <f t="shared" si="3"/>
        <v>0</v>
      </c>
      <c r="I59" s="638">
        <f t="shared" si="3"/>
        <v>0</v>
      </c>
      <c r="J59" s="592"/>
      <c r="K59" s="592"/>
      <c r="L59" s="630"/>
      <c r="M59" s="630"/>
      <c r="N59" s="630"/>
      <c r="O59" s="617"/>
      <c r="P59" s="617"/>
    </row>
    <row r="60" spans="1:27">
      <c r="J60" s="572"/>
      <c r="K60" s="572"/>
      <c r="L60" s="572"/>
      <c r="M60" s="572"/>
      <c r="N60" s="572"/>
    </row>
    <row r="61" spans="1:27">
      <c r="J61" s="572"/>
      <c r="K61" s="572"/>
      <c r="L61" s="572"/>
      <c r="M61" s="572"/>
      <c r="N6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28168.233432307617</v>
      </c>
      <c r="C4" s="455">
        <f>huishoudens!C8</f>
        <v>0</v>
      </c>
      <c r="D4" s="455">
        <f>huishoudens!D8</f>
        <v>76361.034211035818</v>
      </c>
      <c r="E4" s="455">
        <f>huishoudens!E8</f>
        <v>2195.8593345893178</v>
      </c>
      <c r="F4" s="455">
        <f>huishoudens!F8</f>
        <v>0</v>
      </c>
      <c r="G4" s="455">
        <f>huishoudens!G8</f>
        <v>0</v>
      </c>
      <c r="H4" s="455">
        <f>huishoudens!H8</f>
        <v>0</v>
      </c>
      <c r="I4" s="455">
        <f>huishoudens!I8</f>
        <v>0</v>
      </c>
      <c r="J4" s="455">
        <f>huishoudens!J8</f>
        <v>0</v>
      </c>
      <c r="K4" s="455">
        <f>huishoudens!K8</f>
        <v>0</v>
      </c>
      <c r="L4" s="455">
        <f>huishoudens!L8</f>
        <v>0</v>
      </c>
      <c r="M4" s="455">
        <f>huishoudens!M8</f>
        <v>0</v>
      </c>
      <c r="N4" s="455">
        <f>huishoudens!N8</f>
        <v>8231.6207567662077</v>
      </c>
      <c r="O4" s="455">
        <f>huishoudens!O8</f>
        <v>382.90393634169709</v>
      </c>
      <c r="P4" s="456">
        <f>huishoudens!P8</f>
        <v>684.70735499952639</v>
      </c>
      <c r="Q4" s="457">
        <f>SUM(B4:P4)</f>
        <v>116024.35902604018</v>
      </c>
    </row>
    <row r="5" spans="1:17">
      <c r="A5" s="454" t="s">
        <v>155</v>
      </c>
      <c r="B5" s="455">
        <f ca="1">tertiair!B16</f>
        <v>31739.730843443045</v>
      </c>
      <c r="C5" s="455">
        <f ca="1">tertiair!C16</f>
        <v>0</v>
      </c>
      <c r="D5" s="455">
        <f ca="1">tertiair!D16</f>
        <v>37158.246185518219</v>
      </c>
      <c r="E5" s="455">
        <f>tertiair!E16</f>
        <v>194.39798591285452</v>
      </c>
      <c r="F5" s="455">
        <f ca="1">tertiair!F16</f>
        <v>9135.6904683068169</v>
      </c>
      <c r="G5" s="455">
        <f>tertiair!G16</f>
        <v>0</v>
      </c>
      <c r="H5" s="455">
        <f>tertiair!H16</f>
        <v>0</v>
      </c>
      <c r="I5" s="455">
        <f>tertiair!I16</f>
        <v>0</v>
      </c>
      <c r="J5" s="455">
        <f>tertiair!J16</f>
        <v>0.11772646866966094</v>
      </c>
      <c r="K5" s="455">
        <f>tertiair!K16</f>
        <v>0</v>
      </c>
      <c r="L5" s="455">
        <f ca="1">tertiair!L16</f>
        <v>0</v>
      </c>
      <c r="M5" s="455">
        <f>tertiair!M16</f>
        <v>0</v>
      </c>
      <c r="N5" s="455">
        <f ca="1">tertiair!N16</f>
        <v>4310.5501882629733</v>
      </c>
      <c r="O5" s="455">
        <f>tertiair!O16</f>
        <v>9.7945215316823084</v>
      </c>
      <c r="P5" s="456">
        <f>tertiair!P16</f>
        <v>157.61741491948504</v>
      </c>
      <c r="Q5" s="454">
        <f t="shared" ref="Q5:Q14" ca="1" si="0">SUM(B5:P5)</f>
        <v>82706.145334363755</v>
      </c>
    </row>
    <row r="6" spans="1:17">
      <c r="A6" s="454" t="s">
        <v>193</v>
      </c>
      <c r="B6" s="455">
        <f>'openbare verlichting'!B8</f>
        <v>1224.6849999999999</v>
      </c>
      <c r="C6" s="455"/>
      <c r="D6" s="455"/>
      <c r="E6" s="455"/>
      <c r="F6" s="455"/>
      <c r="G6" s="455"/>
      <c r="H6" s="455"/>
      <c r="I6" s="455"/>
      <c r="J6" s="455"/>
      <c r="K6" s="455"/>
      <c r="L6" s="455"/>
      <c r="M6" s="455"/>
      <c r="N6" s="455"/>
      <c r="O6" s="455"/>
      <c r="P6" s="456"/>
      <c r="Q6" s="454">
        <f t="shared" si="0"/>
        <v>1224.6849999999999</v>
      </c>
    </row>
    <row r="7" spans="1:17">
      <c r="A7" s="454" t="s">
        <v>111</v>
      </c>
      <c r="B7" s="455">
        <f>landbouw!B8</f>
        <v>10748.593927792801</v>
      </c>
      <c r="C7" s="455">
        <f>landbouw!C8</f>
        <v>122021.19642857142</v>
      </c>
      <c r="D7" s="455">
        <f>landbouw!D8</f>
        <v>45494.921580889757</v>
      </c>
      <c r="E7" s="455">
        <f>landbouw!E8</f>
        <v>400.8479451708692</v>
      </c>
      <c r="F7" s="455">
        <f>landbouw!F8</f>
        <v>34872.592121944886</v>
      </c>
      <c r="G7" s="455">
        <f>landbouw!G8</f>
        <v>0</v>
      </c>
      <c r="H7" s="455">
        <f>landbouw!H8</f>
        <v>0</v>
      </c>
      <c r="I7" s="455">
        <f>landbouw!I8</f>
        <v>0</v>
      </c>
      <c r="J7" s="455">
        <f>landbouw!J8</f>
        <v>2821.5589708556486</v>
      </c>
      <c r="K7" s="455">
        <f>landbouw!K8</f>
        <v>0</v>
      </c>
      <c r="L7" s="455">
        <f>landbouw!L8</f>
        <v>0</v>
      </c>
      <c r="M7" s="455">
        <f>landbouw!M8</f>
        <v>0</v>
      </c>
      <c r="N7" s="455">
        <f>landbouw!N8</f>
        <v>0</v>
      </c>
      <c r="O7" s="455">
        <f>landbouw!O8</f>
        <v>0</v>
      </c>
      <c r="P7" s="456">
        <f>landbouw!P8</f>
        <v>0</v>
      </c>
      <c r="Q7" s="454">
        <f t="shared" si="0"/>
        <v>216359.71097522535</v>
      </c>
    </row>
    <row r="8" spans="1:17">
      <c r="A8" s="454" t="s">
        <v>626</v>
      </c>
      <c r="B8" s="455">
        <f>industrie!B18</f>
        <v>93717.162127344418</v>
      </c>
      <c r="C8" s="455">
        <f>industrie!C18</f>
        <v>10028.571428571429</v>
      </c>
      <c r="D8" s="455">
        <f>industrie!D18</f>
        <v>329489.54422309145</v>
      </c>
      <c r="E8" s="455">
        <f>industrie!E18</f>
        <v>29.525175628204245</v>
      </c>
      <c r="F8" s="455">
        <f>industrie!F18</f>
        <v>664.3524775050588</v>
      </c>
      <c r="G8" s="455">
        <f>industrie!G18</f>
        <v>0</v>
      </c>
      <c r="H8" s="455">
        <f>industrie!H18</f>
        <v>0</v>
      </c>
      <c r="I8" s="455">
        <f>industrie!I18</f>
        <v>0</v>
      </c>
      <c r="J8" s="455">
        <f>industrie!J18</f>
        <v>3.375647705145544</v>
      </c>
      <c r="K8" s="455">
        <f>industrie!K18</f>
        <v>0</v>
      </c>
      <c r="L8" s="455">
        <f>industrie!L18</f>
        <v>0</v>
      </c>
      <c r="M8" s="455">
        <f>industrie!M18</f>
        <v>0</v>
      </c>
      <c r="N8" s="455">
        <f>industrie!N18</f>
        <v>69.045178904717929</v>
      </c>
      <c r="O8" s="455">
        <f>industrie!O18</f>
        <v>0</v>
      </c>
      <c r="P8" s="456">
        <f>industrie!P18</f>
        <v>0</v>
      </c>
      <c r="Q8" s="454">
        <f t="shared" si="0"/>
        <v>434001.57625875046</v>
      </c>
    </row>
    <row r="9" spans="1:17" s="460" customFormat="1">
      <c r="A9" s="458" t="s">
        <v>552</v>
      </c>
      <c r="B9" s="459">
        <f>transport!B14</f>
        <v>44.167717995245873</v>
      </c>
      <c r="C9" s="459">
        <f>transport!C14</f>
        <v>0</v>
      </c>
      <c r="D9" s="459">
        <f>transport!D14</f>
        <v>170.49492103017786</v>
      </c>
      <c r="E9" s="459">
        <f>transport!E14</f>
        <v>91.936224587964318</v>
      </c>
      <c r="F9" s="459">
        <f>transport!F14</f>
        <v>0</v>
      </c>
      <c r="G9" s="459">
        <f>transport!G14</f>
        <v>43479.945741636519</v>
      </c>
      <c r="H9" s="459">
        <f>transport!H14</f>
        <v>10887.010905361951</v>
      </c>
      <c r="I9" s="459">
        <f>transport!I14</f>
        <v>0</v>
      </c>
      <c r="J9" s="459">
        <f>transport!J14</f>
        <v>0</v>
      </c>
      <c r="K9" s="459">
        <f>transport!K14</f>
        <v>0</v>
      </c>
      <c r="L9" s="459">
        <f>transport!L14</f>
        <v>0</v>
      </c>
      <c r="M9" s="459">
        <f>transport!M14</f>
        <v>3204.808253803928</v>
      </c>
      <c r="N9" s="459">
        <f>transport!N14</f>
        <v>0</v>
      </c>
      <c r="O9" s="459">
        <f>transport!O14</f>
        <v>0</v>
      </c>
      <c r="P9" s="459">
        <f>transport!P14</f>
        <v>0</v>
      </c>
      <c r="Q9" s="458">
        <f>SUM(B9:P9)</f>
        <v>57878.363764415793</v>
      </c>
    </row>
    <row r="10" spans="1:17">
      <c r="A10" s="454" t="s">
        <v>542</v>
      </c>
      <c r="B10" s="455">
        <f>transport!B54</f>
        <v>0</v>
      </c>
      <c r="C10" s="455">
        <f>transport!C54</f>
        <v>0</v>
      </c>
      <c r="D10" s="455">
        <f>transport!D54</f>
        <v>0</v>
      </c>
      <c r="E10" s="455">
        <f>transport!E54</f>
        <v>0</v>
      </c>
      <c r="F10" s="455">
        <f>transport!F54</f>
        <v>0</v>
      </c>
      <c r="G10" s="455">
        <f>transport!G54</f>
        <v>1206.4051686907744</v>
      </c>
      <c r="H10" s="455">
        <f>transport!H54</f>
        <v>0</v>
      </c>
      <c r="I10" s="455">
        <f>transport!I54</f>
        <v>0</v>
      </c>
      <c r="J10" s="455">
        <f>transport!J54</f>
        <v>0</v>
      </c>
      <c r="K10" s="455">
        <f>transport!K54</f>
        <v>0</v>
      </c>
      <c r="L10" s="455">
        <f>transport!L54</f>
        <v>0</v>
      </c>
      <c r="M10" s="455">
        <f>transport!M54</f>
        <v>65.466415640386174</v>
      </c>
      <c r="N10" s="455">
        <f>transport!N54</f>
        <v>0</v>
      </c>
      <c r="O10" s="455">
        <f>transport!O54</f>
        <v>0</v>
      </c>
      <c r="P10" s="456">
        <f>transport!P54</f>
        <v>0</v>
      </c>
      <c r="Q10" s="454">
        <f t="shared" si="0"/>
        <v>1271.8715843311606</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758.46004226081004</v>
      </c>
      <c r="C14" s="462"/>
      <c r="D14" s="462">
        <f>'SEAP template'!E25</f>
        <v>1722.4074796611599</v>
      </c>
      <c r="E14" s="462"/>
      <c r="F14" s="462"/>
      <c r="G14" s="462"/>
      <c r="H14" s="462"/>
      <c r="I14" s="462"/>
      <c r="J14" s="462"/>
      <c r="K14" s="462"/>
      <c r="L14" s="462"/>
      <c r="M14" s="462"/>
      <c r="N14" s="462"/>
      <c r="O14" s="462"/>
      <c r="P14" s="463"/>
      <c r="Q14" s="454">
        <f t="shared" si="0"/>
        <v>2480.8675219219699</v>
      </c>
    </row>
    <row r="15" spans="1:17" s="466" customFormat="1">
      <c r="A15" s="464" t="s">
        <v>546</v>
      </c>
      <c r="B15" s="465">
        <f ca="1">SUM(B4:B14)</f>
        <v>166401.03309114394</v>
      </c>
      <c r="C15" s="465">
        <f t="shared" ref="C15:Q15" ca="1" si="1">SUM(C4:C14)</f>
        <v>132049.76785714284</v>
      </c>
      <c r="D15" s="465">
        <f t="shared" ca="1" si="1"/>
        <v>490396.64860122657</v>
      </c>
      <c r="E15" s="465">
        <f t="shared" si="1"/>
        <v>2912.5666658892096</v>
      </c>
      <c r="F15" s="465">
        <f t="shared" ca="1" si="1"/>
        <v>44672.635067756768</v>
      </c>
      <c r="G15" s="465">
        <f t="shared" si="1"/>
        <v>44686.350910327295</v>
      </c>
      <c r="H15" s="465">
        <f t="shared" si="1"/>
        <v>10887.010905361951</v>
      </c>
      <c r="I15" s="465">
        <f t="shared" si="1"/>
        <v>0</v>
      </c>
      <c r="J15" s="465">
        <f t="shared" si="1"/>
        <v>2825.052345029464</v>
      </c>
      <c r="K15" s="465">
        <f t="shared" si="1"/>
        <v>0</v>
      </c>
      <c r="L15" s="465">
        <f t="shared" ca="1" si="1"/>
        <v>0</v>
      </c>
      <c r="M15" s="465">
        <f t="shared" si="1"/>
        <v>3270.274669444314</v>
      </c>
      <c r="N15" s="465">
        <f t="shared" ca="1" si="1"/>
        <v>12611.2161239339</v>
      </c>
      <c r="O15" s="465">
        <f t="shared" si="1"/>
        <v>392.69845787337943</v>
      </c>
      <c r="P15" s="465">
        <f t="shared" si="1"/>
        <v>842.32476991901149</v>
      </c>
      <c r="Q15" s="465">
        <f t="shared" ca="1" si="1"/>
        <v>911947.57946504862</v>
      </c>
    </row>
    <row r="17" spans="1:17">
      <c r="A17" s="467" t="s">
        <v>547</v>
      </c>
      <c r="B17" s="784">
        <f ca="1">huishoudens!B10</f>
        <v>0.21794263052669935</v>
      </c>
      <c r="C17" s="784">
        <f ca="1">huishoudens!C10</f>
        <v>0.23764705882352949</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6139.0588915272392</v>
      </c>
      <c r="C22" s="455">
        <f t="shared" ref="C22:C32" ca="1" si="3">C4*$C$17</f>
        <v>0</v>
      </c>
      <c r="D22" s="455">
        <f t="shared" ref="D22:D32" si="4">D4*$D$17</f>
        <v>15424.928910629236</v>
      </c>
      <c r="E22" s="455">
        <f t="shared" ref="E22:E32" si="5">E4*$E$17</f>
        <v>498.46006895177516</v>
      </c>
      <c r="F22" s="455">
        <f t="shared" ref="F22:F32" si="6">F4*$F$17</f>
        <v>0</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22062.447871108252</v>
      </c>
    </row>
    <row r="23" spans="1:17">
      <c r="A23" s="454" t="s">
        <v>155</v>
      </c>
      <c r="B23" s="455">
        <f t="shared" ca="1" si="2"/>
        <v>6917.4404322293913</v>
      </c>
      <c r="C23" s="455">
        <f t="shared" ca="1" si="3"/>
        <v>0</v>
      </c>
      <c r="D23" s="455">
        <f t="shared" ca="1" si="4"/>
        <v>7505.9657294746803</v>
      </c>
      <c r="E23" s="455">
        <f t="shared" si="5"/>
        <v>44.128342802217979</v>
      </c>
      <c r="F23" s="455">
        <f t="shared" ca="1" si="6"/>
        <v>2439.2293550379204</v>
      </c>
      <c r="G23" s="455">
        <f t="shared" si="7"/>
        <v>0</v>
      </c>
      <c r="H23" s="455">
        <f t="shared" si="8"/>
        <v>0</v>
      </c>
      <c r="I23" s="455">
        <f t="shared" si="9"/>
        <v>0</v>
      </c>
      <c r="J23" s="455">
        <f t="shared" si="10"/>
        <v>4.1675169909059971E-2</v>
      </c>
      <c r="K23" s="455">
        <f t="shared" si="11"/>
        <v>0</v>
      </c>
      <c r="L23" s="455">
        <f t="shared" ca="1" si="12"/>
        <v>0</v>
      </c>
      <c r="M23" s="455">
        <f t="shared" si="13"/>
        <v>0</v>
      </c>
      <c r="N23" s="455">
        <f t="shared" ca="1" si="14"/>
        <v>0</v>
      </c>
      <c r="O23" s="455">
        <f t="shared" si="15"/>
        <v>0</v>
      </c>
      <c r="P23" s="456">
        <f t="shared" si="16"/>
        <v>0</v>
      </c>
      <c r="Q23" s="454">
        <f t="shared" ref="Q23:Q31" ca="1" si="17">SUM(B23:P23)</f>
        <v>16906.80553471412</v>
      </c>
    </row>
    <row r="24" spans="1:17">
      <c r="A24" s="454" t="s">
        <v>193</v>
      </c>
      <c r="B24" s="455">
        <f t="shared" ca="1" si="2"/>
        <v>266.91107046659079</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266.91107046659079</v>
      </c>
    </row>
    <row r="25" spans="1:17">
      <c r="A25" s="454" t="s">
        <v>111</v>
      </c>
      <c r="B25" s="455">
        <f t="shared" ca="1" si="2"/>
        <v>2342.5768350864705</v>
      </c>
      <c r="C25" s="455">
        <f t="shared" ca="1" si="3"/>
        <v>28997.978445378158</v>
      </c>
      <c r="D25" s="455">
        <f t="shared" si="4"/>
        <v>9189.9741593397321</v>
      </c>
      <c r="E25" s="455">
        <f t="shared" si="5"/>
        <v>90.992483553787309</v>
      </c>
      <c r="F25" s="455">
        <f t="shared" si="6"/>
        <v>9310.9820965592844</v>
      </c>
      <c r="G25" s="455">
        <f t="shared" si="7"/>
        <v>0</v>
      </c>
      <c r="H25" s="455">
        <f t="shared" si="8"/>
        <v>0</v>
      </c>
      <c r="I25" s="455">
        <f t="shared" si="9"/>
        <v>0</v>
      </c>
      <c r="J25" s="455">
        <f t="shared" si="10"/>
        <v>998.83187568289952</v>
      </c>
      <c r="K25" s="455">
        <f t="shared" si="11"/>
        <v>0</v>
      </c>
      <c r="L25" s="455">
        <f t="shared" si="12"/>
        <v>0</v>
      </c>
      <c r="M25" s="455">
        <f t="shared" si="13"/>
        <v>0</v>
      </c>
      <c r="N25" s="455">
        <f t="shared" si="14"/>
        <v>0</v>
      </c>
      <c r="O25" s="455">
        <f t="shared" si="15"/>
        <v>0</v>
      </c>
      <c r="P25" s="456">
        <f t="shared" si="16"/>
        <v>0</v>
      </c>
      <c r="Q25" s="454">
        <f t="shared" ca="1" si="17"/>
        <v>50931.335895600343</v>
      </c>
    </row>
    <row r="26" spans="1:17">
      <c r="A26" s="454" t="s">
        <v>626</v>
      </c>
      <c r="B26" s="455">
        <f t="shared" ca="1" si="2"/>
        <v>20424.964839530607</v>
      </c>
      <c r="C26" s="455">
        <f t="shared" ca="1" si="3"/>
        <v>2383.2605042016817</v>
      </c>
      <c r="D26" s="455">
        <f t="shared" si="4"/>
        <v>66556.88793306447</v>
      </c>
      <c r="E26" s="455">
        <f t="shared" si="5"/>
        <v>6.7022148676023638</v>
      </c>
      <c r="F26" s="455">
        <f t="shared" si="6"/>
        <v>177.38211149385072</v>
      </c>
      <c r="G26" s="455">
        <f t="shared" si="7"/>
        <v>0</v>
      </c>
      <c r="H26" s="455">
        <f t="shared" si="8"/>
        <v>0</v>
      </c>
      <c r="I26" s="455">
        <f t="shared" si="9"/>
        <v>0</v>
      </c>
      <c r="J26" s="455">
        <f t="shared" si="10"/>
        <v>1.1949792876215226</v>
      </c>
      <c r="K26" s="455">
        <f t="shared" si="11"/>
        <v>0</v>
      </c>
      <c r="L26" s="455">
        <f t="shared" si="12"/>
        <v>0</v>
      </c>
      <c r="M26" s="455">
        <f t="shared" si="13"/>
        <v>0</v>
      </c>
      <c r="N26" s="455">
        <f t="shared" si="14"/>
        <v>0</v>
      </c>
      <c r="O26" s="455">
        <f t="shared" si="15"/>
        <v>0</v>
      </c>
      <c r="P26" s="456">
        <f t="shared" si="16"/>
        <v>0</v>
      </c>
      <c r="Q26" s="454">
        <f t="shared" ca="1" si="17"/>
        <v>89550.392582445842</v>
      </c>
    </row>
    <row r="27" spans="1:17" s="460" customFormat="1">
      <c r="A27" s="458" t="s">
        <v>552</v>
      </c>
      <c r="B27" s="778">
        <f t="shared" ca="1" si="2"/>
        <v>9.6260286442453218</v>
      </c>
      <c r="C27" s="459">
        <f t="shared" ca="1" si="3"/>
        <v>0</v>
      </c>
      <c r="D27" s="459">
        <f t="shared" si="4"/>
        <v>34.439974048095934</v>
      </c>
      <c r="E27" s="459">
        <f t="shared" si="5"/>
        <v>20.869522981467902</v>
      </c>
      <c r="F27" s="459">
        <f t="shared" si="6"/>
        <v>0</v>
      </c>
      <c r="G27" s="459">
        <f t="shared" si="7"/>
        <v>11609.145513016951</v>
      </c>
      <c r="H27" s="459">
        <f t="shared" si="8"/>
        <v>2710.8657154351258</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14384.946754125885</v>
      </c>
    </row>
    <row r="28" spans="1:17" ht="16.5" customHeight="1">
      <c r="A28" s="454" t="s">
        <v>542</v>
      </c>
      <c r="B28" s="455">
        <f t="shared" ca="1" si="2"/>
        <v>0</v>
      </c>
      <c r="C28" s="455">
        <f t="shared" ca="1" si="3"/>
        <v>0</v>
      </c>
      <c r="D28" s="455">
        <f t="shared" si="4"/>
        <v>0</v>
      </c>
      <c r="E28" s="455">
        <f t="shared" si="5"/>
        <v>0</v>
      </c>
      <c r="F28" s="455">
        <f t="shared" si="6"/>
        <v>0</v>
      </c>
      <c r="G28" s="455">
        <f t="shared" si="7"/>
        <v>322.11018004043677</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322.11018004043677</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165.30077675971251</v>
      </c>
      <c r="C32" s="455">
        <f t="shared" ca="1" si="3"/>
        <v>0</v>
      </c>
      <c r="D32" s="455">
        <f t="shared" si="4"/>
        <v>347.92631089155429</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513.22708765126686</v>
      </c>
    </row>
    <row r="33" spans="1:17" s="466" customFormat="1">
      <c r="A33" s="464" t="s">
        <v>546</v>
      </c>
      <c r="B33" s="465">
        <f ca="1">SUM(B22:B32)</f>
        <v>36265.878874244263</v>
      </c>
      <c r="C33" s="465">
        <f t="shared" ref="C33:Q33" ca="1" si="19">SUM(C22:C32)</f>
        <v>31381.238949579838</v>
      </c>
      <c r="D33" s="465">
        <f t="shared" ca="1" si="19"/>
        <v>99060.123017447768</v>
      </c>
      <c r="E33" s="465">
        <f t="shared" si="19"/>
        <v>661.1526331568507</v>
      </c>
      <c r="F33" s="465">
        <f t="shared" ca="1" si="19"/>
        <v>11927.593563091055</v>
      </c>
      <c r="G33" s="465">
        <f t="shared" si="19"/>
        <v>11931.255693057388</v>
      </c>
      <c r="H33" s="465">
        <f t="shared" si="19"/>
        <v>2710.8657154351258</v>
      </c>
      <c r="I33" s="465">
        <f t="shared" si="19"/>
        <v>0</v>
      </c>
      <c r="J33" s="465">
        <f t="shared" si="19"/>
        <v>1000.0685301404301</v>
      </c>
      <c r="K33" s="465">
        <f t="shared" si="19"/>
        <v>0</v>
      </c>
      <c r="L33" s="465">
        <f t="shared" ca="1" si="19"/>
        <v>0</v>
      </c>
      <c r="M33" s="465">
        <f t="shared" si="19"/>
        <v>0</v>
      </c>
      <c r="N33" s="465">
        <f t="shared" ca="1" si="19"/>
        <v>0</v>
      </c>
      <c r="O33" s="465">
        <f t="shared" si="19"/>
        <v>0</v>
      </c>
      <c r="P33" s="465">
        <f t="shared" si="19"/>
        <v>0</v>
      </c>
      <c r="Q33" s="465">
        <f t="shared" ca="1" si="19"/>
        <v>194938.17697615272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9377.2973013775281</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93928.5</v>
      </c>
      <c r="D8" s="1026">
        <f>'SEAP template'!D76</f>
        <v>110504.11764705883</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22321.831764705883</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9377.2973013775281</v>
      </c>
      <c r="C10" s="1028">
        <f>SUM(C4:C9)</f>
        <v>93928.5</v>
      </c>
      <c r="D10" s="1028">
        <f t="shared" ref="D10:H10" si="0">SUM(D8:D9)</f>
        <v>110504.11764705883</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22321.831764705883</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0.21794263052669935</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132049.76785714287</v>
      </c>
      <c r="D17" s="1027">
        <f>'SEAP template'!D87</f>
        <v>155352.66806722691</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31381.238949579838</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132049.76785714287</v>
      </c>
      <c r="D20" s="1028">
        <f t="shared" ref="D20:H20" si="2">SUM(D17:D19)</f>
        <v>155352.66806722691</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31381.238949579838</v>
      </c>
    </row>
    <row r="21" spans="1:16">
      <c r="B21" s="890"/>
    </row>
    <row r="22" spans="1:16">
      <c r="A22" s="467" t="s">
        <v>773</v>
      </c>
      <c r="B22" s="784" t="s">
        <v>771</v>
      </c>
      <c r="C22" s="784">
        <f ca="1">'EF ele_warmte'!B22</f>
        <v>0.23764705882352949</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0.21794263052669935</v>
      </c>
      <c r="C17" s="504">
        <f ca="1">'EF ele_warmte'!B22</f>
        <v>0.23764705882352949</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2</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3.1266666666666669</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2020-06-20T15:18:00Z</dcterms:modified>
</cp:coreProperties>
</file>