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I9" i="18" s="1"/>
  <c r="I77" i="14" s="1"/>
  <c r="I9" i="59" s="1"/>
  <c r="T38" i="18"/>
  <c r="S38" i="18"/>
  <c r="E9" i="18" s="1"/>
  <c r="F77" i="14" s="1"/>
  <c r="F9" i="59" s="1"/>
  <c r="R38" i="18"/>
  <c r="Q38" i="18"/>
  <c r="P38" i="18"/>
  <c r="O38" i="18"/>
  <c r="N38" i="18"/>
  <c r="B9" i="18" s="1"/>
  <c r="M38" i="18"/>
  <c r="W34" i="18"/>
  <c r="V34" i="18"/>
  <c r="U34" i="18"/>
  <c r="T34" i="18"/>
  <c r="L6" i="17" s="1"/>
  <c r="L5" i="17" s="1"/>
  <c r="S34" i="18"/>
  <c r="R34" i="18"/>
  <c r="Q34" i="18"/>
  <c r="P34" i="18"/>
  <c r="O34" i="18"/>
  <c r="N34" i="18"/>
  <c r="M34" i="18"/>
  <c r="W33" i="18"/>
  <c r="V33" i="18"/>
  <c r="U33" i="18"/>
  <c r="T33" i="18"/>
  <c r="S33" i="18"/>
  <c r="R33" i="18"/>
  <c r="Q33" i="18"/>
  <c r="P33" i="18"/>
  <c r="O33" i="18"/>
  <c r="C13" i="15" s="1"/>
  <c r="N33" i="18"/>
  <c r="M33" i="18"/>
  <c r="W32" i="18"/>
  <c r="V32" i="18"/>
  <c r="U32" i="18"/>
  <c r="T32" i="18"/>
  <c r="S32" i="18"/>
  <c r="F16" i="16" s="1"/>
  <c r="R32" i="18"/>
  <c r="Q32" i="18"/>
  <c r="P32" i="18"/>
  <c r="D16" i="16" s="1"/>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13" i="14" l="1"/>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7" i="49"/>
  <c r="C10" i="13"/>
  <c r="C12" i="13" s="1"/>
  <c r="D41" i="14" s="1"/>
  <c r="D46" i="14" s="1"/>
  <c r="D61" i="14" s="1"/>
  <c r="D63" i="14" s="1"/>
  <c r="C22" i="59"/>
  <c r="C29" i="20"/>
  <c r="C20" i="16"/>
  <c r="C22" i="16" s="1"/>
  <c r="D43" i="14" s="1"/>
  <c r="C18" i="15"/>
  <c r="C20" i="15" s="1"/>
  <c r="D40" i="14" s="1"/>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<sst xmlns="http://schemas.openxmlformats.org/spreadsheetml/2006/main" count="2393" uniqueCount="878">
  <si>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</si>
  <si>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</si>
  <si>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</si>
  <si>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</si>
  <si>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</si>
  <si>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</si>
  <si>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</si>
  <si>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</si>
  <si>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</si>
  <si>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</si>
  <si>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</si>
  <si>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</si>
  <si>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</si>
  <si>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</si>
  <si>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</si>
  <si>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</si>
  <si>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</si>
  <si>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</si>
  <si>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</si>
  <si>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</si>
  <si>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</si>
  <si>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</si>
  <si>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</si>
  <si>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</si>
  <si>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</si>
  <si>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</si>
  <si>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</si>
  <si>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</si>
  <si>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</si>
  <si>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</si>
  <si>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</si>
  <si>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</si>
  <si>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</si>
  <si>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</si>
  <si>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</si>
  <si>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</si>
  <si>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</si>
  <si>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</si>
  <si>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</si>
  <si>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</si>
  <si>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</si>
  <si>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</si>
  <si>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</si>
  <si>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</si>
  <si>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</si>
  <si>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</si>
  <si>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</si>
  <si>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</si>
  <si>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</si>
  <si>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</si>
  <si>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</si>
  <si>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</si>
  <si>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</si>
  <si>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</si>
  <si>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</si>
  <si>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</si>
  <si>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</si>
  <si>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</si>
  <si>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</si>
  <si>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</si>
  <si>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</si>
  <si>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</si>
  <si>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</si>
  <si>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</si>
  <si>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</si>
  <si>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</si>
  <si>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</si>
  <si>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</si>
  <si>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</si>
  <si>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</si>
  <si>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</si>
  <si>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</si>
  <si>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</si>
  <si>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</si>
  <si>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</si>
  <si>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</si>
  <si>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</si>
  <si>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</si>
  <si>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</si>
  <si>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</si>
  <si>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</si>
  <si>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</si>
  <si>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</si>
  <si>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</si>
  <si>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</si>
  <si>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</si>
  <si>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</si>
  <si>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</si>
  <si>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</si>
  <si>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</si>
  <si>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</si>
  <si>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</si>
  <si>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</si>
  <si>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</si>
  <si>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</si>
  <si>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</si>
  <si>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</si>
  <si>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</si>
  <si>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</si>
  <si>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</si>
  <si>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</si>
  <si>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</si>
  <si>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</si>
  <si>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</si>
  <si>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</si>
  <si>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</si>
  <si>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</si>
  <si>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</si>
  <si>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</si>
  <si>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</si>
  <si>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</si>
  <si>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</si>
  <si>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</si>
  <si>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</si>
  <si>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</si>
  <si>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</si>
  <si>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</si>
  <si>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</si>
  <si>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</si>
  <si>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</si>
  <si>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</si>
  <si>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</si>
  <si>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</si>
  <si>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</si>
  <si>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</si>
  <si>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</si>
  <si>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</si>
  <si>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</si>
  <si>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</si>
  <si>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</si>
  <si>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</si>
  <si>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</si>
  <si>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</si>
  <si>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</si>
  <si>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</si>
  <si>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</si>
  <si>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</si>
  <si>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</si>
  <si>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</si>
  <si>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</si>
  <si>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</si>
  <si>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</si>
  <si>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</si>
  <si>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</si>
  <si>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</si>
  <si>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</si>
  <si>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</si>
  <si>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</si>
  <si>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</si>
  <si>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</si>
  <si>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</si>
  <si>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</si>
  <si>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</si>
  <si>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</si>
  <si>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</si>
  <si>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</si>
  <si>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</si>
  <si>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</si>
  <si>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</si>
  <si>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</si>
  <si>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</si>
  <si>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</si>
  <si>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</si>
  <si>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</si>
  <si>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</si>
  <si>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</si>
  <si>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</si>
  <si>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</si>
  <si>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</si>
  <si>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</si>
  <si>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</si>
  <si>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</si>
  <si>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</si>
  <si>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</si>
  <si>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</si>
  <si>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</si>
  <si>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</si>
  <si>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</si>
  <si>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</si>
  <si>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</si>
  <si>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</si>
  <si>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</si>
  <si>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</si>
  <si>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</si>
  <si>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</si>
  <si>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</si>
  <si>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</si>
  <si>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</si>
  <si>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</si>
  <si>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</si>
  <si>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</si>
  <si>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</si>
  <si>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</si>
  <si>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</si>
  <si>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</si>
  <si>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</si>
  <si>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</si>
  <si>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</si>
  <si>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</si>
  <si>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</si>
  <si>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</si>
  <si>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</si>
  <si>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</si>
  <si>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</si>
  <si>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</si>
  <si>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</si>
  <si>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</si>
  <si>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</si>
  <si>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</si>
  <si>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</si>
  <si>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</si>
  <si>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</si>
  <si>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</si>
  <si>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</si>
  <si>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</si>
  <si>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</si>
  <si>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</si>
  <si>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</si>
  <si>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</si>
  <si>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</si>
  <si>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</si>
  <si>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</si>
  <si>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</si>
  <si>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</si>
  <si>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</si>
  <si>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</si>
  <si>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</si>
  <si>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</si>
  <si>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</si>
  <si>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</si>
  <si>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</si>
  <si>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</si>
  <si>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</si>
  <si>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</si>
  <si>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</si>
  <si>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</si>
  <si>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</si>
  <si>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</si>
  <si>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</si>
  <si>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</si>
  <si>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</si>
  <si>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</si>
  <si>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</si>
  <si>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</si>
  <si>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</si>
  <si>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</si>
  <si>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</si>
  <si>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</si>
  <si>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</si>
  <si>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</si>
  <si>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</si>
  <si>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</si>
  <si>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</si>
  <si>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</si>
  <si>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</si>
  <si>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</si>
  <si>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</si>
  <si>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</si>
  <si>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</si>
  <si>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</si>
  <si>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</si>
  <si>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</si>
  <si>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</si>
  <si>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</si>
  <si>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</si>
  <si>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</si>
  <si>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</si>
  <si>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</si>
  <si>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</si>
  <si>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</si>
  <si>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</si>
  <si>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</si>
  <si>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</si>
  <si>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</si>
  <si>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</si>
  <si>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</si>
  <si>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</si>
  <si>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</si>
  <si>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</si>
  <si>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</si>
  <si>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</si>
  <si>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</si>
  <si>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</si>
  <si>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</si>
  <si>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</si>
  <si>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</si>
  <si>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</si>
  <si>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</si>
  <si>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</si>
  <si>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</si>
  <si>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</si>
  <si>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</si>
  <si>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</si>
  <si>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</si>
  <si>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</si>
  <si>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</si>
  <si>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</si>
  <si>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</si>
  <si>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</si>
  <si>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</si>
  <si>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</si>
  <si>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</si>
  <si>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</si>
  <si>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</si>
  <si>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</si>
  <si>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</si>
  <si>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</si>
  <si>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</si>
  <si>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</si>
  <si>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</si>
  <si>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</si>
  <si>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</si>
  <si>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</si>
  <si>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</si>
  <si>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</si>
  <si>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</si>
  <si>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</si>
  <si>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</si>
  <si>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</si>
  <si>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</si>
  <si>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</si>
  <si>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</si>
  <si>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</si>
  <si>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</si>
  <si>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</si>
  <si>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</si>
  <si>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</si>
  <si>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</si>
  <si>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</si>
  <si>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</si>
  <si>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</si>
  <si>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</si>
  <si>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</si>
  <si>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</si>
  <si>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</si>
  <si>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</si>
  <si>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</si>
  <si>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</si>
  <si>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</si>
  <si>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</si>
  <si>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</si>
  <si>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</si>
  <si>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</si>
  <si>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</si>
  <si>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</si>
  <si>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</si>
  <si>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</si>
  <si>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</si>
  <si>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</si>
  <si>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</si>
  <si>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</si>
  <si>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</si>
  <si>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</si>
  <si>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</si>
  <si>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</si>
  <si>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</si>
  <si>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</si>
  <si>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</si>
  <si>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</si>
  <si>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</si>
  <si>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</si>
  <si>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</si>
  <si>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</si>
  <si>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</si>
  <si>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</si>
  <si>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</si>
  <si>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</si>
  <si>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</si>
  <si>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</si>
  <si>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</si>
  <si>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</si>
  <si>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</si>
  <si>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</si>
  <si>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</si>
  <si>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</si>
  <si>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</si>
  <si>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</si>
  <si>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</si>
  <si>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</si>
  <si>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</si>
  <si>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</si>
  <si>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</si>
  <si>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</si>
  <si>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</si>
  <si>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</si>
  <si>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</si>
  <si>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</si>
  <si>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</si>
  <si>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</si>
  <si>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</si>
  <si>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</si>
  <si>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</si>
  <si>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</si>
  <si>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</si>
  <si>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</si>
  <si>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</si>
  <si>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</si>
  <si>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</si>
  <si>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</si>
  <si>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</si>
  <si>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</si>
  <si>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</si>
  <si>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</si>
  <si>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</si>
  <si>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</si>
  <si>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</si>
  <si>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</si>
  <si>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</si>
  <si>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</si>
  <si>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</si>
  <si>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</si>
  <si>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</si>
  <si>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</si>
  <si>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</si>
  <si>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</si>
  <si>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</si>
  <si>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</si>
  <si>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</si>
  <si>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</si>
  <si>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</si>
  <si>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</si>
  <si>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</si>
  <si>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</si>
  <si>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</si>
  <si>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</si>
  <si>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</si>
  <si>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</si>
  <si>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</si>
  <si>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</si>
  <si>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</si>
  <si>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</si>
  <si>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</si>
  <si>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</si>
  <si>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</si>
  <si>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</si>
  <si>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</si>
  <si>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</si>
  <si>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</si>
  <si>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</si>
  <si>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</si>
  <si>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</si>
  <si>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</si>
  <si>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</si>
  <si>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</si>
  <si>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</si>
  <si>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</si>
  <si>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</si>
  <si>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</si>
  <si>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</si>
  <si>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</si>
  <si>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</si>
  <si>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</si>
  <si>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</si>
  <si>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</si>
  <si>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</si>
  <si>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</si>
  <si>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</si>
  <si>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</si>
  <si>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</si>
  <si>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</si>
  <si>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</si>
  <si>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</si>
  <si>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</si>
  <si>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</si>
  <si>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</si>
  <si>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</si>
  <si>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</si>
  <si>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</si>
  <si>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</si>
  <si>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</si>
  <si>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</si>
  <si>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</si>
  <si>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</si>
  <si>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</si>
  <si>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</si>
  <si>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</si>
  <si>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</si>
  <si>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</si>
  <si>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</si>
  <si>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</si>
  <si>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</si>
  <si>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</si>
  <si>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</si>
  <si>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</si>
  <si>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</si>
  <si>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</si>
  <si>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</si>
  <si>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</si>
  <si>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</si>
  <si>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</si>
  <si>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</si>
  <si>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</si>
  <si>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</si>
  <si>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</si>
  <si>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</si>
  <si>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</si>
  <si>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</si>
  <si>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</si>
  <si>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</si>
  <si>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</si>
  <si>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</si>
  <si>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</si>
  <si>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</si>
  <si>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</si>
  <si>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</si>
  <si>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</si>
  <si>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</si>
  <si>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</si>
  <si>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</si>
  <si>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</si>
  <si>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</si>
  <si>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</si>
  <si>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</si>
  <si>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</si>
  <si>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</si>
  <si>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</si>
  <si>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</si>
  <si>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</si>
  <si>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</si>
  <si>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</si>
  <si>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</si>
  <si>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</si>
  <si>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</si>
  <si>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</si>
  <si>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</si>
  <si>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</si>
  <si>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</si>
  <si>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</si>
  <si>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</si>
  <si>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</si>
  <si>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</si>
  <si>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</si>
  <si>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</si>
  <si>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</si>
  <si>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</si>
  <si>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</si>
  <si>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</si>
  <si>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</si>
  <si>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</si>
  <si>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</si>
  <si>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</si>
  <si>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</si>
  <si>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</si>
  <si>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</si>
  <si>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</si>
  <si>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</si>
  <si>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</si>
  <si>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</si>
  <si>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</si>
  <si>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</si>
  <si>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</si>
  <si>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</si>
  <si>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</si>
  <si>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</si>
  <si>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</si>
  <si>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</si>
  <si>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</si>
  <si>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</si>
  <si>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</si>
  <si>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</si>
  <si>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</si>
  <si>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</si>
  <si>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</si>
  <si>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</si>
  <si>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</si>
  <si>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</si>
  <si>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</si>
  <si>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</si>
  <si>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</si>
  <si>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</si>
  <si>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</si>
  <si>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</si>
  <si>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</si>
  <si>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</si>
  <si>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</si>
  <si>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</si>
  <si>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</si>
  <si>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</si>
  <si>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</si>
  <si>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</si>
  <si>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</si>
  <si>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</si>
  <si>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</si>
  <si>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</si>
  <si>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</si>
  <si>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</si>
  <si>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</si>
  <si>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</si>
  <si>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</si>
  <si>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</si>
  <si>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</si>
  <si>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</si>
  <si>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</si>
  <si>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</si>
  <si>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</si>
  <si>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</si>
  <si>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</si>
  <si>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</si>
  <si>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</si>
  <si>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</si>
  <si>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</si>
  <si>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</si>
  <si>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</si>
  <si>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</si>
  <si>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</si>
  <si>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</si>
  <si>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</si>
  <si>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</si>
  <si>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</si>
  <si>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</si>
  <si>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</si>
  <si>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</si>
  <si>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</si>
  <si>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</si>
  <si>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</si>
  <si>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</si>
  <si>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</si>
  <si>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</si>
  <si>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</si>
  <si>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</si>
  <si>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</si>
  <si>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</si>
  <si>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</si>
  <si>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</si>
  <si>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</si>
  <si>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</si>
  <si>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</si>
  <si>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</si>
  <si>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</si>
  <si>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</si>
  <si>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</si>
  <si>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</si>
  <si>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</si>
  <si>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</si>
  <si>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</si>
  <si>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</si>
  <si>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</si>
  <si>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</si>
  <si>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</si>
  <si>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</si>
  <si>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</si>
  <si>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</si>
  <si>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</si>
  <si>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</si>
  <si>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</si>
  <si>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</si>
  <si>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</si>
  <si>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</si>
  <si>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</si>
  <si>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</si>
  <si>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</si>
  <si>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</si>
  <si>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</si>
  <si>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</si>
  <si>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</si>
  <si>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</si>
  <si>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</si>
  <si>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</si>
  <si>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</si>
  <si>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</si>
  <si>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</si>
  <si>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</si>
  <si>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</si>
  <si>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</si>
  <si>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</si>
  <si>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</si>
  <si>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</si>
  <si>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</si>
  <si>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</si>
  <si>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</si>
  <si>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</si>
  <si>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</si>
  <si>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</si>
  <si>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</si>
  <si>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</si>
  <si>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</si>
  <si>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</si>
  <si>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</si>
  <si>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</si>
  <si>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</si>
  <si>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</si>
  <si>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</si>
  <si>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</si>
  <si>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</si>
  <si>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</si>
  <si>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</si>
  <si>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</si>
  <si>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</si>
  <si>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</si>
  <si>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</si>
  <si>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</si>
  <si>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</si>
  <si>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</si>
  <si>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</si>
  <si>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</si>
  <si>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</si>
  <si>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</si>
  <si>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</si>
  <si>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</si>
  <si>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</si>
  <si>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</si>
  <si>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</si>
  <si>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</si>
  <si>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</si>
  <si>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</si>
  <si>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</si>
  <si>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</si>
  <si>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</si>
  <si>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</si>
  <si>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</si>
  <si>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</si>
  <si>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</si>
  <si>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</si>
  <si>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</si>
  <si>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</si>
  <si>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</si>
  <si>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</si>
  <si>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</si>
  <si>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</si>
  <si>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</si>
  <si>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</si>
  <si>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</si>
  <si>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</si>
  <si>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</si>
  <si>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</si>
  <si>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</si>
  <si>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</si>
  <si>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</si>
  <si>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</si>
  <si>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</si>
  <si>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</si>
  <si>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</si>
  <si>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</si>
  <si>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</si>
  <si>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</si>
  <si>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</si>
  <si>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</si>
  <si>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</si>
  <si>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</si>
  <si>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</si>
  <si>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</si>
  <si>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</si>
  <si>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</si>
  <si>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</si>
  <si>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</si>
  <si>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</si>
  <si>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</si>
  <si>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</si>
  <si>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</si>
  <si>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</si>
  <si>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</si>
  <si>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</si>
  <si>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</si>
  <si>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</si>
  <si>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</si>
  <si>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</si>
  <si>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</si>
  <si>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</si>
  <si>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</si>
  <si>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</si>
  <si>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</si>
  <si>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</si>
  <si>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</si>
  <si>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</si>
  <si>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</si>
  <si>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</si>
  <si>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</si>
  <si>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</si>
  <si>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</si>
  <si>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</si>
  <si>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</si>
  <si>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</si>
  <si>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</si>
  <si>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</si>
  <si>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</si>
  <si>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</si>
  <si>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</si>
  <si>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</si>
  <si>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</si>
  <si>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</si>
  <si>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</si>
  <si>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</si>
  <si>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</si>
  <si>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</si>
  <si>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</si>
  <si>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</si>
  <si>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</si>
  <si>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</si>
  <si>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</si>
  <si>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</si>
  <si>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</si>
  <si>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</si>
  <si>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</si>
  <si>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</si>
  <si>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</si>
  <si>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</si>
  <si>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</si>
  <si>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</si>
  <si>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</si>
  <si>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</si>
  <si>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</si>
  <si>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</si>
  <si>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</si>
  <si>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</si>
  <si>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</si>
  <si>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</si>
  <si>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</si>
  <si>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</si>
  <si>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</si>
  <si>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</si>
  <si>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</si>
  <si>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</si>
  <si>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</si>
  <si>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</si>
  <si>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</si>
  <si>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</si>
  <si>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</si>
  <si>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</si>
  <si>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</si>
  <si>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</si>
  <si>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</si>
  <si>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</si>
  <si>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</si>
  <si>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</si>
  <si>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</si>
  <si>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</si>
  <si>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</si>
  <si>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</si>
  <si>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</si>
  <si>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</si>
  <si>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</si>
  <si>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</si>
  <si>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</si>
  <si>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</si>
  <si>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</si>
  <si>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</si>
  <si>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</si>
  <si>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</si>
  <si>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</si>
  <si>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</si>
  <si>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</si>
  <si>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</si>
  <si>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</si>
  <si>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</si>
  <si>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</si>
  <si>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</si>
  <si>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</si>
  <si>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</si>
  <si>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</si>
  <si>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</si>
  <si>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</si>
  <si>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</si>
  <si>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</si>
  <si>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</si>
  <si>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</si>
  <si>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</si>
  <si>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</si>
  <si>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</si>
  <si>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</si>
  <si>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</si>
  <si>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</si>
  <si>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</si>
  <si>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12002</t>
  </si>
  <si>
    <t>BERLAAR</t>
  </si>
  <si>
    <t>referentietaak LNE (2017); Jaarverslag De Lijn</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</si>
  <si>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</si>
  <si>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</si>
  <si>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</si>
  <si>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</si>
  <si>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</si>
  <si>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</si>
  <si>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</si>
  <si>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</si>
  <si>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</si>
  <si>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IVERLEK (via EANDIS)</t>
  </si>
  <si>
    <t>Beltomex bvba</t>
  </si>
  <si>
    <t>Huttestraat 10 , 2590 Berlaar</t>
  </si>
  <si>
    <t>WKK-0302 Beltomex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</si>
</sst>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92910.00347422903</c:v>
                </c:pt>
                <c:pt idx="1">
                  <c:v>25893.524447804721</c:v>
                </c:pt>
                <c:pt idx="2">
                  <c:v>622.78899999999999</c:v>
                </c:pt>
                <c:pt idx="3">
                  <c:v>37320.31818733838</c:v>
                </c:pt>
                <c:pt idx="4">
                  <c:v>3646.7273663270735</c:v>
                </c:pt>
                <c:pt idx="5">
                  <c:v>42432.990443400835</c:v>
                </c:pt>
                <c:pt idx="6">
                  <c:v>465.8415996398009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92910.00347422903</c:v>
                </c:pt>
                <c:pt idx="1">
                  <c:v>25893.524447804721</c:v>
                </c:pt>
                <c:pt idx="2">
                  <c:v>622.78899999999999</c:v>
                </c:pt>
                <c:pt idx="3">
                  <c:v>37320.31818733838</c:v>
                </c:pt>
                <c:pt idx="4">
                  <c:v>3646.7273663270735</c:v>
                </c:pt>
                <c:pt idx="5">
                  <c:v>42432.990443400835</c:v>
                </c:pt>
                <c:pt idx="6">
                  <c:v>465.8415996398009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16714.163352995343</c:v>
                </c:pt>
                <c:pt idx="1">
                  <c:v>5348.7542108583648</c:v>
                </c:pt>
                <c:pt idx="2">
                  <c:v>131.01286037788472</c:v>
                </c:pt>
                <c:pt idx="3">
                  <c:v>8968.3409307978472</c:v>
                </c:pt>
                <c:pt idx="4">
                  <c:v>764.87537197639961</c:v>
                </c:pt>
                <c:pt idx="5">
                  <c:v>10530.794927025941</c:v>
                </c:pt>
                <c:pt idx="6">
                  <c:v>117.97757209051053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16714.163352995343</c:v>
                </c:pt>
                <c:pt idx="1">
                  <c:v>5348.7542108583648</c:v>
                </c:pt>
                <c:pt idx="2">
                  <c:v>131.01286037788472</c:v>
                </c:pt>
                <c:pt idx="3">
                  <c:v>8968.3409307978472</c:v>
                </c:pt>
                <c:pt idx="4">
                  <c:v>764.87537197639961</c:v>
                </c:pt>
                <c:pt idx="5">
                  <c:v>10530.794927025941</c:v>
                </c:pt>
                <c:pt idx="6">
                  <c:v>117.97757209051053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12002</v>
      </c>
      <c r="B6" s="392"/>
      <c r="C6" s="393"/>
    </row>
    <row r="7" spans="1:7" s="390" customFormat="1" ht="15.75" customHeight="1">
      <c r="A7" s="394" t="str">
        <f>txtMunicipality</f>
        <v>BERLAAR</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0.21036476299016957</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0.21036476299016957</v>
      </c>
      <c r="C29" s="505">
        <f ca="1">'EF ele_warmte'!B22</f>
        <v>0.23764705882352943</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4797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1325.9</v>
      </c>
      <c r="C14" s="332"/>
      <c r="D14" s="332"/>
      <c r="E14" s="332"/>
      <c r="F14" s="332"/>
    </row>
    <row r="15" spans="1:6">
      <c r="A15" s="1310" t="s">
        <v>183</v>
      </c>
      <c r="B15" s="1311">
        <v>17</v>
      </c>
      <c r="C15" s="332"/>
      <c r="D15" s="332"/>
      <c r="E15" s="332"/>
      <c r="F15" s="332"/>
    </row>
    <row r="16" spans="1:6">
      <c r="A16" s="1310" t="s">
        <v>6</v>
      </c>
      <c r="B16" s="1311">
        <v>683</v>
      </c>
      <c r="C16" s="332"/>
      <c r="D16" s="332"/>
      <c r="E16" s="332"/>
      <c r="F16" s="332"/>
    </row>
    <row r="17" spans="1:6">
      <c r="A17" s="1310" t="s">
        <v>7</v>
      </c>
      <c r="B17" s="1311">
        <v>82</v>
      </c>
      <c r="C17" s="332"/>
      <c r="D17" s="332"/>
      <c r="E17" s="332"/>
      <c r="F17" s="332"/>
    </row>
    <row r="18" spans="1:6">
      <c r="A18" s="1310" t="s">
        <v>8</v>
      </c>
      <c r="B18" s="1311">
        <v>441</v>
      </c>
      <c r="C18" s="332"/>
      <c r="D18" s="332"/>
      <c r="E18" s="332"/>
      <c r="F18" s="332"/>
    </row>
    <row r="19" spans="1:6">
      <c r="A19" s="1310" t="s">
        <v>9</v>
      </c>
      <c r="B19" s="1311">
        <v>387</v>
      </c>
      <c r="C19" s="332"/>
      <c r="D19" s="332"/>
      <c r="E19" s="332"/>
      <c r="F19" s="332"/>
    </row>
    <row r="20" spans="1:6">
      <c r="A20" s="1310" t="s">
        <v>10</v>
      </c>
      <c r="B20" s="1311">
        <v>219</v>
      </c>
      <c r="C20" s="332"/>
      <c r="D20" s="332"/>
      <c r="E20" s="332"/>
      <c r="F20" s="332"/>
    </row>
    <row r="21" spans="1:6">
      <c r="A21" s="1310" t="s">
        <v>11</v>
      </c>
      <c r="B21" s="1311">
        <v>429</v>
      </c>
      <c r="C21" s="332"/>
      <c r="D21" s="332"/>
      <c r="E21" s="332"/>
      <c r="F21" s="332"/>
    </row>
    <row r="22" spans="1:6">
      <c r="A22" s="1310" t="s">
        <v>12</v>
      </c>
      <c r="B22" s="1311">
        <v>2207</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462</v>
      </c>
      <c r="C26" s="332"/>
      <c r="D26" s="332"/>
      <c r="E26" s="332"/>
      <c r="F26" s="332"/>
    </row>
    <row r="27" spans="1:6">
      <c r="A27" s="1310" t="s">
        <v>17</v>
      </c>
      <c r="B27" s="1311">
        <v>2</v>
      </c>
      <c r="C27" s="332"/>
      <c r="D27" s="332"/>
      <c r="E27" s="332"/>
      <c r="F27" s="332"/>
    </row>
    <row r="28" spans="1:6" s="43" customFormat="1">
      <c r="A28" s="1312" t="s">
        <v>18</v>
      </c>
      <c r="B28" s="1313">
        <v>0</v>
      </c>
      <c r="C28" s="338"/>
      <c r="D28" s="338"/>
      <c r="E28" s="338"/>
      <c r="F28" s="338"/>
    </row>
    <row r="29" spans="1:6">
      <c r="A29" s="1312" t="s">
        <v>699</v>
      </c>
      <c r="B29" s="1313">
        <v>159</v>
      </c>
      <c r="C29" s="338"/>
      <c r="D29" s="338"/>
      <c r="E29" s="338"/>
      <c r="F29" s="338"/>
    </row>
    <row r="30" spans="1:6">
      <c r="A30" s="1305" t="s">
        <v>700</v>
      </c>
      <c r="B30" s="1314">
        <v>65</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3349.9611044981998</v>
      </c>
    </row>
    <row r="39" spans="1:6">
      <c r="A39" s="1310" t="s">
        <v>29</v>
      </c>
      <c r="B39" s="1310" t="s">
        <v>30</v>
      </c>
      <c r="C39" s="1311">
        <v>3359</v>
      </c>
      <c r="D39" s="1311">
        <v>54662135.4592852</v>
      </c>
      <c r="E39" s="1311">
        <v>4637</v>
      </c>
      <c r="F39" s="1311">
        <v>15520533.438732</v>
      </c>
    </row>
    <row r="40" spans="1:6">
      <c r="A40" s="1310" t="s">
        <v>29</v>
      </c>
      <c r="B40" s="1310" t="s">
        <v>28</v>
      </c>
      <c r="C40" s="1311">
        <v>0</v>
      </c>
      <c r="D40" s="1311">
        <v>0</v>
      </c>
      <c r="E40" s="1311">
        <v>0</v>
      </c>
      <c r="F40" s="1311">
        <v>0</v>
      </c>
    </row>
    <row r="41" spans="1:6">
      <c r="A41" s="1310" t="s">
        <v>31</v>
      </c>
      <c r="B41" s="1310" t="s">
        <v>32</v>
      </c>
      <c r="C41" s="1311">
        <v>48</v>
      </c>
      <c r="D41" s="1311">
        <v>1227970.8156379999</v>
      </c>
      <c r="E41" s="1311">
        <v>104</v>
      </c>
      <c r="F41" s="1311">
        <v>699518.02364006301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v>
      </c>
      <c r="D44" s="1311">
        <v>86107.955149229107</v>
      </c>
      <c r="E44" s="1311">
        <v>15</v>
      </c>
      <c r="F44" s="1311">
        <v>175732.558163674</v>
      </c>
    </row>
    <row r="45" spans="1:6">
      <c r="A45" s="1310" t="s">
        <v>31</v>
      </c>
      <c r="B45" s="1310" t="s">
        <v>36</v>
      </c>
      <c r="C45" s="1311">
        <v>0</v>
      </c>
      <c r="D45" s="1311">
        <v>0</v>
      </c>
      <c r="E45" s="1311">
        <v>4</v>
      </c>
      <c r="F45" s="1311">
        <v>107978.038901711</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1</v>
      </c>
      <c r="D48" s="1311">
        <v>0</v>
      </c>
      <c r="E48" s="1311">
        <v>1</v>
      </c>
      <c r="F48" s="1311">
        <v>16684.4942032416</v>
      </c>
    </row>
    <row r="49" spans="1:6">
      <c r="A49" s="1310" t="s">
        <v>31</v>
      </c>
      <c r="B49" s="1310" t="s">
        <v>39</v>
      </c>
      <c r="C49" s="1311">
        <v>3</v>
      </c>
      <c r="D49" s="1311">
        <v>152083.734876509</v>
      </c>
      <c r="E49" s="1311">
        <v>3</v>
      </c>
      <c r="F49" s="1311">
        <v>20777.067452569601</v>
      </c>
    </row>
    <row r="50" spans="1:6">
      <c r="A50" s="1310" t="s">
        <v>31</v>
      </c>
      <c r="B50" s="1310" t="s">
        <v>40</v>
      </c>
      <c r="C50" s="1311">
        <v>5</v>
      </c>
      <c r="D50" s="1311">
        <v>527460.15520437702</v>
      </c>
      <c r="E50" s="1311">
        <v>8</v>
      </c>
      <c r="F50" s="1311">
        <v>308846.15164276003</v>
      </c>
    </row>
    <row r="51" spans="1:6">
      <c r="A51" s="1310" t="s">
        <v>41</v>
      </c>
      <c r="B51" s="1310" t="s">
        <v>42</v>
      </c>
      <c r="C51" s="1311">
        <v>9</v>
      </c>
      <c r="D51" s="1311">
        <v>70054013.170468703</v>
      </c>
      <c r="E51" s="1311">
        <v>47</v>
      </c>
      <c r="F51" s="1311">
        <v>1012038.5090180699</v>
      </c>
    </row>
    <row r="52" spans="1:6">
      <c r="A52" s="1310" t="s">
        <v>41</v>
      </c>
      <c r="B52" s="1310" t="s">
        <v>28</v>
      </c>
      <c r="C52" s="1311">
        <v>0</v>
      </c>
      <c r="D52" s="1311">
        <v>0</v>
      </c>
      <c r="E52" s="1311">
        <v>0</v>
      </c>
      <c r="F52" s="1311">
        <v>0</v>
      </c>
    </row>
    <row r="53" spans="1:6">
      <c r="A53" s="1310" t="s">
        <v>43</v>
      </c>
      <c r="B53" s="1310" t="s">
        <v>44</v>
      </c>
      <c r="C53" s="1311">
        <v>61</v>
      </c>
      <c r="D53" s="1311">
        <v>825170.98022290901</v>
      </c>
      <c r="E53" s="1311">
        <v>166</v>
      </c>
      <c r="F53" s="1311">
        <v>563922.05062637804</v>
      </c>
    </row>
    <row r="54" spans="1:6">
      <c r="A54" s="1310" t="s">
        <v>45</v>
      </c>
      <c r="B54" s="1310" t="s">
        <v>46</v>
      </c>
      <c r="C54" s="1311">
        <v>0</v>
      </c>
      <c r="D54" s="1311">
        <v>0</v>
      </c>
      <c r="E54" s="1311">
        <v>1</v>
      </c>
      <c r="F54" s="1311">
        <v>622789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38</v>
      </c>
      <c r="D57" s="1311">
        <v>838716.12639518594</v>
      </c>
      <c r="E57" s="1311">
        <v>63</v>
      </c>
      <c r="F57" s="1311">
        <v>869959.99305862898</v>
      </c>
    </row>
    <row r="58" spans="1:6">
      <c r="A58" s="1310" t="s">
        <v>48</v>
      </c>
      <c r="B58" s="1310" t="s">
        <v>50</v>
      </c>
      <c r="C58" s="1311">
        <v>22</v>
      </c>
      <c r="D58" s="1311">
        <v>3714621.4447690598</v>
      </c>
      <c r="E58" s="1311">
        <v>31</v>
      </c>
      <c r="F58" s="1311">
        <v>1407012.68838279</v>
      </c>
    </row>
    <row r="59" spans="1:6">
      <c r="A59" s="1310" t="s">
        <v>48</v>
      </c>
      <c r="B59" s="1310" t="s">
        <v>51</v>
      </c>
      <c r="C59" s="1311">
        <v>77</v>
      </c>
      <c r="D59" s="1311">
        <v>2717232.8103346801</v>
      </c>
      <c r="E59" s="1311">
        <v>136</v>
      </c>
      <c r="F59" s="1311">
        <v>3924822.2156874398</v>
      </c>
    </row>
    <row r="60" spans="1:6">
      <c r="A60" s="1310" t="s">
        <v>48</v>
      </c>
      <c r="B60" s="1310" t="s">
        <v>52</v>
      </c>
      <c r="C60" s="1311">
        <v>41</v>
      </c>
      <c r="D60" s="1311">
        <v>2921103.9172083898</v>
      </c>
      <c r="E60" s="1311">
        <v>53</v>
      </c>
      <c r="F60" s="1311">
        <v>941317.20127078798</v>
      </c>
    </row>
    <row r="61" spans="1:6">
      <c r="A61" s="1310" t="s">
        <v>48</v>
      </c>
      <c r="B61" s="1310" t="s">
        <v>53</v>
      </c>
      <c r="C61" s="1311">
        <v>128</v>
      </c>
      <c r="D61" s="1311">
        <v>3933297.3212138698</v>
      </c>
      <c r="E61" s="1311">
        <v>247</v>
      </c>
      <c r="F61" s="1311">
        <v>3075102.6148501299</v>
      </c>
    </row>
    <row r="62" spans="1:6">
      <c r="A62" s="1310" t="s">
        <v>48</v>
      </c>
      <c r="B62" s="1310" t="s">
        <v>54</v>
      </c>
      <c r="C62" s="1311">
        <v>6</v>
      </c>
      <c r="D62" s="1311">
        <v>754568.34592095099</v>
      </c>
      <c r="E62" s="1311">
        <v>10</v>
      </c>
      <c r="F62" s="1311">
        <v>415054.21228316502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20387.663061086201</v>
      </c>
      <c r="E65" s="1311">
        <v>2</v>
      </c>
      <c r="F65" s="1311">
        <v>44702</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0</v>
      </c>
      <c r="D68" s="1314">
        <v>0</v>
      </c>
      <c r="E68" s="1314">
        <v>6</v>
      </c>
      <c r="F68" s="1314">
        <v>25218.321024144199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44949227</v>
      </c>
      <c r="E73" s="453"/>
      <c r="F73" s="332"/>
    </row>
    <row r="74" spans="1:6">
      <c r="A74" s="1310" t="s">
        <v>63</v>
      </c>
      <c r="B74" s="1310" t="s">
        <v>648</v>
      </c>
      <c r="C74" s="1324" t="s">
        <v>650</v>
      </c>
      <c r="D74" s="1325">
        <v>3256509.4271676908</v>
      </c>
      <c r="E74" s="453"/>
      <c r="F74" s="332"/>
    </row>
    <row r="75" spans="1:6">
      <c r="A75" s="1310" t="s">
        <v>64</v>
      </c>
      <c r="B75" s="1310" t="s">
        <v>647</v>
      </c>
      <c r="C75" s="1324" t="s">
        <v>651</v>
      </c>
      <c r="D75" s="1325">
        <v>6275202</v>
      </c>
      <c r="E75" s="453"/>
      <c r="F75" s="332"/>
    </row>
    <row r="76" spans="1:6">
      <c r="A76" s="1310" t="s">
        <v>64</v>
      </c>
      <c r="B76" s="1310" t="s">
        <v>648</v>
      </c>
      <c r="C76" s="1324" t="s">
        <v>652</v>
      </c>
      <c r="D76" s="1325">
        <v>33668.427167690999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129213.145664618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2757.5287509413465</v>
      </c>
      <c r="C91" s="332"/>
      <c r="D91" s="332"/>
      <c r="E91" s="332"/>
      <c r="F91" s="332"/>
    </row>
    <row r="92" spans="1:6">
      <c r="A92" s="1305" t="s">
        <v>68</v>
      </c>
      <c r="B92" s="1306">
        <v>530.57942319604342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2012</v>
      </c>
      <c r="C97" s="332"/>
      <c r="D97" s="332"/>
      <c r="E97" s="332"/>
      <c r="F97" s="332"/>
    </row>
    <row r="98" spans="1:6">
      <c r="A98" s="1310" t="s">
        <v>71</v>
      </c>
      <c r="B98" s="1311">
        <v>4</v>
      </c>
      <c r="C98" s="332"/>
      <c r="D98" s="332"/>
      <c r="E98" s="332"/>
      <c r="F98" s="332"/>
    </row>
    <row r="99" spans="1:6">
      <c r="A99" s="1310" t="s">
        <v>72</v>
      </c>
      <c r="B99" s="1311">
        <v>39</v>
      </c>
      <c r="C99" s="332"/>
      <c r="D99" s="332"/>
      <c r="E99" s="332"/>
      <c r="F99" s="332"/>
    </row>
    <row r="100" spans="1:6">
      <c r="A100" s="1310" t="s">
        <v>73</v>
      </c>
      <c r="B100" s="1311">
        <v>182</v>
      </c>
      <c r="C100" s="332"/>
      <c r="D100" s="332"/>
      <c r="E100" s="332"/>
      <c r="F100" s="332"/>
    </row>
    <row r="101" spans="1:6">
      <c r="A101" s="1310" t="s">
        <v>74</v>
      </c>
      <c r="B101" s="1311">
        <v>46</v>
      </c>
      <c r="C101" s="332"/>
      <c r="D101" s="332"/>
      <c r="E101" s="332"/>
      <c r="F101" s="332"/>
    </row>
    <row r="102" spans="1:6">
      <c r="A102" s="1310" t="s">
        <v>75</v>
      </c>
      <c r="B102" s="1311">
        <v>34</v>
      </c>
      <c r="C102" s="332"/>
      <c r="D102" s="332"/>
      <c r="E102" s="332"/>
      <c r="F102" s="332"/>
    </row>
    <row r="103" spans="1:6">
      <c r="A103" s="1310" t="s">
        <v>76</v>
      </c>
      <c r="B103" s="1311">
        <v>111</v>
      </c>
      <c r="C103" s="332"/>
      <c r="D103" s="332"/>
      <c r="E103" s="332"/>
      <c r="F103" s="332"/>
    </row>
    <row r="104" spans="1:6">
      <c r="A104" s="1310" t="s">
        <v>77</v>
      </c>
      <c r="B104" s="1311">
        <v>1499</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31</v>
      </c>
      <c r="C123" s="1311">
        <v>32</v>
      </c>
      <c r="D123" s="332"/>
      <c r="E123" s="332"/>
      <c r="F123" s="332"/>
    </row>
    <row r="124" spans="1:6" s="43" customFormat="1">
      <c r="A124" s="1312" t="s">
        <v>88</v>
      </c>
      <c r="B124" s="1333">
        <v>1</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87</v>
      </c>
      <c r="C129" s="332"/>
      <c r="D129" s="332"/>
      <c r="E129" s="332"/>
      <c r="F129" s="332"/>
    </row>
    <row r="130" spans="1:6">
      <c r="A130" s="1310" t="s">
        <v>294</v>
      </c>
      <c r="B130" s="1311">
        <v>1</v>
      </c>
      <c r="C130" s="332"/>
      <c r="D130" s="332"/>
      <c r="E130" s="332"/>
      <c r="F130" s="332"/>
    </row>
    <row r="131" spans="1:6">
      <c r="A131" s="1310" t="s">
        <v>295</v>
      </c>
      <c r="B131" s="1311">
        <v>0</v>
      </c>
      <c r="C131" s="332"/>
      <c r="D131" s="332"/>
      <c r="E131" s="332"/>
      <c r="F131" s="332"/>
    </row>
    <row r="132" spans="1:6">
      <c r="A132" s="1305" t="s">
        <v>296</v>
      </c>
      <c r="B132" s="1306">
        <v>20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32474.219785810688</v>
      </c>
      <c r="C3" s="43" t="s">
        <v>169</v>
      </c>
      <c r="D3" s="43"/>
      <c r="E3" s="154"/>
      <c r="F3" s="43"/>
      <c r="G3" s="43"/>
      <c r="H3" s="43"/>
      <c r="I3" s="43"/>
      <c r="J3" s="43"/>
      <c r="K3" s="96"/>
    </row>
    <row r="4" spans="1:11">
      <c r="A4" s="360" t="s">
        <v>170</v>
      </c>
      <c r="B4" s="49">
        <f>IF(ISERROR('SEAP template'!B78+'SEAP template'!C78),0,'SEAP template'!B78+'SEAP template'!C78)</f>
        <v>26193.108174137389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5443.3058823529418</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0.21036476299016957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7776.1512605042026</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32721.428571428572</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0.23764705882352943</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622.78899999999999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622.78899999999999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0.21036476299016957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131.01286037788472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15520.533438732</v>
      </c>
      <c r="C5" s="17">
        <f>IF(ISERROR('Eigen informatie GS &amp; warmtenet'!B59),0,'Eigen informatie GS &amp; warmtenet'!B59)</f>
        <v>0</v>
      </c>
      <c r="D5" s="30">
        <f>(SUM(HH_hh_gas_kWh,HH_rest_gas_kWh)/1000)*0.903</f>
        <v>49359.908319734539</v>
      </c>
      <c r="E5" s="17">
        <f>B46*B57</f>
        <v>5774.3116499361558</v>
      </c>
      <c r="F5" s="17">
        <f>B51*B62</f>
        <v>5946.1906645065246</v>
      </c>
      <c r="G5" s="18"/>
      <c r="H5" s="17"/>
      <c r="I5" s="17"/>
      <c r="J5" s="17">
        <f>B50*B61+C50*C61</f>
        <v>0</v>
      </c>
      <c r="K5" s="17"/>
      <c r="L5" s="17"/>
      <c r="M5" s="17"/>
      <c r="N5" s="17">
        <f>B48*B59+C48*C59</f>
        <v>12765.689780052413</v>
      </c>
      <c r="O5" s="17">
        <f>B69*B70*B71</f>
        <v>238.07498632644379</v>
      </c>
      <c r="P5" s="17">
        <f>B77*B78*B79/1000-B77*B78*B79/1000/B80</f>
        <v>547.76588399962122</v>
      </c>
    </row>
    <row r="6" spans="1:16">
      <c r="A6" s="16" t="s">
        <v>612</v>
      </c>
      <c r="B6" s="786">
        <f>kWh_PV_kleiner_dan_10kW</f>
        <v>2757.5287509413465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18278.062189673346</v>
      </c>
      <c r="C8" s="21">
        <f>C5</f>
        <v>0</v>
      </c>
      <c r="D8" s="21">
        <f>D5</f>
        <v>49359.908319734539</v>
      </c>
      <c r="E8" s="21">
        <f>E5</f>
        <v>5774.3116499361558</v>
      </c>
      <c r="F8" s="21">
        <f>F5</f>
        <v>5946.1906645065246</v>
      </c>
      <c r="G8" s="21"/>
      <c r="H8" s="21"/>
      <c r="I8" s="21"/>
      <c r="J8" s="21">
        <f>J5</f>
        <v>0</v>
      </c>
      <c r="K8" s="21"/>
      <c r="L8" s="21">
        <f>L5</f>
        <v>0</v>
      </c>
      <c r="M8" s="21">
        <f>M5</f>
        <v>0</v>
      </c>
      <c r="N8" s="21">
        <f>N5</f>
        <v>12765.689780052413</v>
      </c>
      <c r="O8" s="21">
        <f>O5</f>
        <v>238.07498632644379</v>
      </c>
      <c r="P8" s="21">
        <f>P5</f>
        <v>547.76588399962122</v>
      </c>
    </row>
    <row r="9" spans="1:16">
      <c r="B9" s="19"/>
      <c r="C9" s="19"/>
      <c r="D9" s="258"/>
      <c r="E9" s="19"/>
      <c r="F9" s="19"/>
      <c r="G9" s="19"/>
      <c r="H9" s="19"/>
      <c r="I9" s="19"/>
      <c r="J9" s="19"/>
      <c r="K9" s="19"/>
      <c r="L9" s="19"/>
      <c r="M9" s="19"/>
      <c r="N9" s="19"/>
      <c r="O9" s="19"/>
      <c r="P9" s="19"/>
    </row>
    <row r="10" spans="1:16">
      <c r="A10" s="24" t="s">
        <v>213</v>
      </c>
      <c r="B10" s="25">
        <f ca="1">'EF ele_warmte'!B12</f>
        <v>0.21036476299016957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3845.0602204502134</v>
      </c>
      <c r="C12" s="23">
        <f ca="1">C10*C8</f>
        <v>0</v>
      </c>
      <c r="D12" s="23">
        <f>D8*D10</f>
        <v>9970.7014805863782</v>
      </c>
      <c r="E12" s="23">
        <f>E10*E8</f>
        <v>1310.7687445355075</v>
      </c>
      <c r="F12" s="23">
        <f>F10*F8</f>
        <v>1587.6329074232422</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2012</v>
      </c>
      <c r="C18" s="166" t="s">
        <v>110</v>
      </c>
      <c r="D18" s="228"/>
      <c r="E18" s="15"/>
    </row>
    <row r="19" spans="1:7">
      <c r="A19" s="171" t="s">
        <v>71</v>
      </c>
      <c r="B19" s="37">
        <f>aantalw2001_ander</f>
        <v>4</v>
      </c>
      <c r="C19" s="166" t="s">
        <v>110</v>
      </c>
      <c r="D19" s="229"/>
      <c r="E19" s="15"/>
    </row>
    <row r="20" spans="1:7">
      <c r="A20" s="171" t="s">
        <v>72</v>
      </c>
      <c r="B20" s="37">
        <f>aantalw2001_propaan</f>
        <v>39</v>
      </c>
      <c r="C20" s="167">
        <f>IF(ISERROR(B20/SUM($B$20,$B$21,$B$22)*100),0,B20/SUM($B$20,$B$21,$B$22)*100)</f>
        <v>14.606741573033707</v>
      </c>
      <c r="D20" s="229"/>
      <c r="E20" s="15"/>
    </row>
    <row r="21" spans="1:7">
      <c r="A21" s="171" t="s">
        <v>73</v>
      </c>
      <c r="B21" s="37">
        <f>aantalw2001_elektriciteit</f>
        <v>182</v>
      </c>
      <c r="C21" s="167">
        <f>IF(ISERROR(B21/SUM($B$20,$B$21,$B$22)*100),0,B21/SUM($B$20,$B$21,$B$22)*100)</f>
        <v>68.164794007490642</v>
      </c>
      <c r="D21" s="229"/>
      <c r="E21" s="15"/>
    </row>
    <row r="22" spans="1:7">
      <c r="A22" s="171" t="s">
        <v>74</v>
      </c>
      <c r="B22" s="37">
        <f>aantalw2001_hout</f>
        <v>46</v>
      </c>
      <c r="C22" s="167">
        <f>IF(ISERROR(B22/SUM($B$20,$B$21,$B$22)*100),0,B22/SUM($B$20,$B$21,$B$22)*100)</f>
        <v>17.228464419475657</v>
      </c>
      <c r="D22" s="229"/>
      <c r="E22" s="15"/>
    </row>
    <row r="23" spans="1:7">
      <c r="A23" s="171" t="s">
        <v>75</v>
      </c>
      <c r="B23" s="37">
        <f>aantalw2001_niet_gespec</f>
        <v>34</v>
      </c>
      <c r="C23" s="166" t="s">
        <v>110</v>
      </c>
      <c r="D23" s="228"/>
      <c r="E23" s="15"/>
    </row>
    <row r="24" spans="1:7">
      <c r="A24" s="171" t="s">
        <v>76</v>
      </c>
      <c r="B24" s="37">
        <f>aantalw2001_steenkool</f>
        <v>111</v>
      </c>
      <c r="C24" s="166" t="s">
        <v>110</v>
      </c>
      <c r="D24" s="229"/>
      <c r="E24" s="15"/>
    </row>
    <row r="25" spans="1:7">
      <c r="A25" s="171" t="s">
        <v>77</v>
      </c>
      <c r="B25" s="37">
        <f>aantalw2001_stookolie</f>
        <v>1499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4797</v>
      </c>
      <c r="C28" s="36"/>
      <c r="D28" s="228"/>
    </row>
    <row r="29" spans="1:7" s="15" customFormat="1">
      <c r="A29" s="230" t="s">
        <v>839</v>
      </c>
      <c r="B29" s="37">
        <f>SUM(HH_hh_gas_aantal,HH_rest_gas_aantal)</f>
        <v>3359</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3359</v>
      </c>
      <c r="C32" s="167">
        <f>IF(ISERROR(B32/SUM($B$32,$B$34,$B$35,$B$36,$B$38,$B$39)*100),0,B32/SUM($B$32,$B$34,$B$35,$B$36,$B$38,$B$39)*100)</f>
        <v>70.790305584826129</v>
      </c>
      <c r="D32" s="233"/>
      <c r="G32" s="15"/>
    </row>
    <row r="33" spans="1:7">
      <c r="A33" s="171" t="s">
        <v>71</v>
      </c>
      <c r="B33" s="34" t="s">
        <v>110</v>
      </c>
      <c r="C33" s="167"/>
      <c r="D33" s="233"/>
      <c r="G33" s="15"/>
    </row>
    <row r="34" spans="1:7">
      <c r="A34" s="171" t="s">
        <v>72</v>
      </c>
      <c r="B34" s="33">
        <f>IF((($B$28-$B$32-$B$39-$B$77-$B$38)*C20/100)&lt;0,0,($B$28-$B$32-$B$39-$B$77-$B$38)*C20/100)</f>
        <v>160.57191011235952</v>
      </c>
      <c r="C34" s="167">
        <f>IF(ISERROR(B34/SUM($B$32,$B$34,$B$35,$B$36,$B$38,$B$39)*100),0,B34/SUM($B$32,$B$34,$B$35,$B$36,$B$38,$B$39)*100)</f>
        <v>3.3840233954132675</v>
      </c>
      <c r="D34" s="233"/>
      <c r="G34" s="15"/>
    </row>
    <row r="35" spans="1:7">
      <c r="A35" s="171" t="s">
        <v>73</v>
      </c>
      <c r="B35" s="33">
        <f>IF((($B$28-$B$32-$B$39-$B$77-$B$38)*C21/100)&lt;0,0,($B$28-$B$32-$B$39-$B$77-$B$38)*C21/100)</f>
        <v>749.33558052434455</v>
      </c>
      <c r="C35" s="167">
        <f>IF(ISERROR(B35/SUM($B$32,$B$34,$B$35,$B$36,$B$38,$B$39)*100),0,B35/SUM($B$32,$B$34,$B$35,$B$36,$B$38,$B$39)*100)</f>
        <v>15.792109178595249</v>
      </c>
      <c r="D35" s="233"/>
      <c r="G35" s="15"/>
    </row>
    <row r="36" spans="1:7">
      <c r="A36" s="171" t="s">
        <v>74</v>
      </c>
      <c r="B36" s="33">
        <f>IF((($B$28-$B$32-$B$39-$B$77-$B$38)*C22/100)&lt;0,0,($B$28-$B$32-$B$39-$B$77-$B$38)*C22/100)</f>
        <v>189.39250936329591</v>
      </c>
      <c r="C36" s="167">
        <f>IF(ISERROR(B36/SUM($B$32,$B$34,$B$35,$B$36,$B$38,$B$39)*100),0,B36/SUM($B$32,$B$34,$B$35,$B$36,$B$38,$B$39)*100)</f>
        <v>3.9914122099746243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286.70000000000005</v>
      </c>
      <c r="C39" s="167">
        <f>IF(ISERROR(B39/SUM($B$32,$B$34,$B$35,$B$36,$B$38,$B$39)*100),0,B39/SUM($B$32,$B$34,$B$35,$B$36,$B$38,$B$39)*100)</f>
        <v>6.0421496311907283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3359</v>
      </c>
      <c r="C44" s="34" t="s">
        <v>110</v>
      </c>
      <c r="D44" s="174"/>
    </row>
    <row r="45" spans="1:7">
      <c r="A45" s="171" t="s">
        <v>71</v>
      </c>
      <c r="B45" s="33" t="str">
        <f t="shared" si="0"/>
        <v>-</v>
      </c>
      <c r="C45" s="34" t="s">
        <v>110</v>
      </c>
      <c r="D45" s="174"/>
    </row>
    <row r="46" spans="1:7">
      <c r="A46" s="171" t="s">
        <v>72</v>
      </c>
      <c r="B46" s="33">
        <f t="shared" si="0"/>
        <v>160.57191011235952</v>
      </c>
      <c r="C46" s="34" t="s">
        <v>110</v>
      </c>
      <c r="D46" s="174"/>
    </row>
    <row r="47" spans="1:7">
      <c r="A47" s="171" t="s">
        <v>73</v>
      </c>
      <c r="B47" s="33">
        <f t="shared" si="0"/>
        <v>749.33558052434455</v>
      </c>
      <c r="C47" s="34" t="s">
        <v>110</v>
      </c>
      <c r="D47" s="174"/>
    </row>
    <row r="48" spans="1:7">
      <c r="A48" s="171" t="s">
        <v>74</v>
      </c>
      <c r="B48" s="33">
        <f t="shared" si="0"/>
        <v>189.39250936329591</v>
      </c>
      <c r="C48" s="33">
        <f>B48*10</f>
        <v>1893.925093632959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286.70000000000005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120</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10633.268925532941</v>
      </c>
      <c r="C5" s="17">
        <f>IF(ISERROR('Eigen informatie GS &amp; warmtenet'!B60),0,'Eigen informatie GS &amp; warmtenet'!B60)</f>
        <v>0</v>
      </c>
      <c r="D5" s="30">
        <f>SUM(D6:D12)</f>
        <v>13436.22458915545</v>
      </c>
      <c r="E5" s="17">
        <f>SUM(E6:E12)</f>
        <v>26.990073805545137</v>
      </c>
      <c r="F5" s="17">
        <f>SUM(F6:F12)</f>
        <v>1466.8238140427793</v>
      </c>
      <c r="G5" s="18"/>
      <c r="H5" s="17"/>
      <c r="I5" s="17"/>
      <c r="J5" s="17">
        <f>SUM(J6:J12)</f>
        <v>8.5915683918290735E-3</v>
      </c>
      <c r="K5" s="17"/>
      <c r="L5" s="17"/>
      <c r="M5" s="17"/>
      <c r="N5" s="17">
        <f>SUM(N6:N12)</f>
        <v>325.31119293377537</v>
      </c>
      <c r="O5" s="17">
        <f>B38*B39*B40</f>
        <v>4.8972607658411542</v>
      </c>
      <c r="P5" s="17">
        <f>B46*B47*B48/1000-B46*B47*B48/1000/B49</f>
        <v>0</v>
      </c>
      <c r="R5" s="32"/>
    </row>
    <row r="6" spans="1:18">
      <c r="A6" s="32" t="s">
        <v>53</v>
      </c>
      <c r="B6" s="37">
        <f>B26</f>
        <v>3075.1026148501301</v>
      </c>
      <c r="C6" s="33"/>
      <c r="D6" s="37">
        <f>IF(ISERROR(TER_kantoor_gas_kWh/1000),0,TER_kantoor_gas_kWh/1000)*0.903</f>
        <v>3551.7674810561248</v>
      </c>
      <c r="E6" s="33">
        <f>$C$26*'E Balans VL '!I12/100/3.6*1000000</f>
        <v>0.73672149250043828</v>
      </c>
      <c r="F6" s="33">
        <f>$C$26*('E Balans VL '!L12+'E Balans VL '!N12)/100/3.6*1000000</f>
        <v>291.60836916173002</v>
      </c>
      <c r="G6" s="34"/>
      <c r="H6" s="33"/>
      <c r="I6" s="33"/>
      <c r="J6" s="33">
        <f>$C$26*('E Balans VL '!D12+'E Balans VL '!E12)/100/3.6*1000000</f>
        <v>0</v>
      </c>
      <c r="K6" s="33"/>
      <c r="L6" s="33"/>
      <c r="M6" s="33"/>
      <c r="N6" s="33">
        <f>$C$26*'E Balans VL '!Y12/100/3.6*1000000</f>
        <v>1.561993072671584</v>
      </c>
      <c r="O6" s="33"/>
      <c r="P6" s="33"/>
      <c r="R6" s="32"/>
    </row>
    <row r="7" spans="1:18">
      <c r="A7" s="32" t="s">
        <v>52</v>
      </c>
      <c r="B7" s="37">
        <f t="shared" ref="B7:B12" si="0">B27</f>
        <v>941.31720127078802</v>
      </c>
      <c r="C7" s="33"/>
      <c r="D7" s="37">
        <f>IF(ISERROR(TER_horeca_gas_kWh/1000),0,TER_horeca_gas_kWh/1000)*0.903</f>
        <v>2637.7568372391761</v>
      </c>
      <c r="E7" s="33">
        <f>$C$27*'E Balans VL '!I9/100/3.6*1000000</f>
        <v>0</v>
      </c>
      <c r="F7" s="33">
        <f>$C$27*('E Balans VL '!L9+'E Balans VL '!N9)/100/3.6*1000000</f>
        <v>77.185797759933223</v>
      </c>
      <c r="G7" s="34"/>
      <c r="H7" s="33"/>
      <c r="I7" s="33"/>
      <c r="J7" s="33">
        <f>$C$27*('E Balans VL '!D9+'E Balans VL '!E9)/100/3.6*1000000</f>
        <v>0</v>
      </c>
      <c r="K7" s="33"/>
      <c r="L7" s="33"/>
      <c r="M7" s="33"/>
      <c r="N7" s="33">
        <f>$C$27*'E Balans VL '!Y9/100/3.6*1000000</f>
        <v>0.28855154154121132</v>
      </c>
      <c r="O7" s="33"/>
      <c r="P7" s="33"/>
      <c r="R7" s="32"/>
    </row>
    <row r="8" spans="1:18">
      <c r="A8" s="6" t="s">
        <v>51</v>
      </c>
      <c r="B8" s="37">
        <f t="shared" si="0"/>
        <v>3924.8222156874399</v>
      </c>
      <c r="C8" s="33"/>
      <c r="D8" s="37">
        <f>IF(ISERROR(TER_handel_gas_kWh/1000),0,TER_handel_gas_kWh/1000)*0.903</f>
        <v>2453.661227732216</v>
      </c>
      <c r="E8" s="33">
        <f>$C$28*'E Balans VL '!I13/100/3.6*1000000</f>
        <v>13.793604964383221</v>
      </c>
      <c r="F8" s="33">
        <f>$C$28*('E Balans VL '!L13+'E Balans VL '!N13)/100/3.6*1000000</f>
        <v>359.11418441249577</v>
      </c>
      <c r="G8" s="34"/>
      <c r="H8" s="33"/>
      <c r="I8" s="33"/>
      <c r="J8" s="33">
        <f>$C$28*('E Balans VL '!D13+'E Balans VL '!E13)/100/3.6*1000000</f>
        <v>0</v>
      </c>
      <c r="K8" s="33"/>
      <c r="L8" s="33"/>
      <c r="M8" s="33"/>
      <c r="N8" s="33">
        <f>$C$28*'E Balans VL '!Y13/100/3.6*1000000</f>
        <v>1.4214016366019679</v>
      </c>
      <c r="O8" s="33"/>
      <c r="P8" s="33"/>
      <c r="R8" s="32"/>
    </row>
    <row r="9" spans="1:18">
      <c r="A9" s="32" t="s">
        <v>50</v>
      </c>
      <c r="B9" s="37">
        <f t="shared" si="0"/>
        <v>1407.01268838279</v>
      </c>
      <c r="C9" s="33"/>
      <c r="D9" s="37">
        <f>IF(ISERROR(TER_gezond_gas_kWh/1000),0,TER_gezond_gas_kWh/1000)*0.903</f>
        <v>3354.3031646264612</v>
      </c>
      <c r="E9" s="33">
        <f>$C$29*'E Balans VL '!I10/100/3.6*1000000</f>
        <v>0</v>
      </c>
      <c r="F9" s="33">
        <f>$C$29*('E Balans VL '!L10+'E Balans VL '!N10)/100/3.6*1000000</f>
        <v>172.47391869450431</v>
      </c>
      <c r="G9" s="34"/>
      <c r="H9" s="33"/>
      <c r="I9" s="33"/>
      <c r="J9" s="33">
        <f>$C$29*('E Balans VL '!D10+'E Balans VL '!E10)/100/3.6*1000000</f>
        <v>0</v>
      </c>
      <c r="K9" s="33"/>
      <c r="L9" s="33"/>
      <c r="M9" s="33"/>
      <c r="N9" s="33">
        <f>$C$29*'E Balans VL '!Y10/100/3.6*1000000</f>
        <v>10.37573809322781</v>
      </c>
      <c r="O9" s="33"/>
      <c r="P9" s="33"/>
      <c r="R9" s="32"/>
    </row>
    <row r="10" spans="1:18">
      <c r="A10" s="32" t="s">
        <v>49</v>
      </c>
      <c r="B10" s="37">
        <f t="shared" si="0"/>
        <v>869.95999305862904</v>
      </c>
      <c r="C10" s="33"/>
      <c r="D10" s="37">
        <f>IF(ISERROR(TER_ander_gas_kWh/1000),0,TER_ander_gas_kWh/1000)*0.903</f>
        <v>757.36066213485287</v>
      </c>
      <c r="E10" s="33">
        <f>$C$30*'E Balans VL '!I14/100/3.6*1000000</f>
        <v>12.459747348661477</v>
      </c>
      <c r="F10" s="33">
        <f>$C$30*('E Balans VL '!L14+'E Balans VL '!N14)/100/3.6*1000000</f>
        <v>517.9167639613247</v>
      </c>
      <c r="G10" s="34"/>
      <c r="H10" s="33"/>
      <c r="I10" s="33"/>
      <c r="J10" s="33">
        <f>$C$30*('E Balans VL '!D14+'E Balans VL '!E14)/100/3.6*1000000</f>
        <v>8.5915683918290735E-3</v>
      </c>
      <c r="K10" s="33"/>
      <c r="L10" s="33"/>
      <c r="M10" s="33"/>
      <c r="N10" s="33">
        <f>$C$30*'E Balans VL '!Y14/100/3.6*1000000</f>
        <v>310.49476358912381</v>
      </c>
      <c r="O10" s="33"/>
      <c r="P10" s="33"/>
      <c r="R10" s="32"/>
    </row>
    <row r="11" spans="1:18">
      <c r="A11" s="32" t="s">
        <v>54</v>
      </c>
      <c r="B11" s="37">
        <f t="shared" si="0"/>
        <v>415.05421228316504</v>
      </c>
      <c r="C11" s="33"/>
      <c r="D11" s="37">
        <f>IF(ISERROR(TER_onderwijs_gas_kWh/1000),0,TER_onderwijs_gas_kWh/1000)*0.903</f>
        <v>681.3752163666187</v>
      </c>
      <c r="E11" s="33">
        <f>$C$31*'E Balans VL '!I11/100/3.6*1000000</f>
        <v>0</v>
      </c>
      <c r="F11" s="33">
        <f>$C$31*('E Balans VL '!L11+'E Balans VL '!N11)/100/3.6*1000000</f>
        <v>48.524780052791407</v>
      </c>
      <c r="G11" s="34"/>
      <c r="H11" s="33"/>
      <c r="I11" s="33"/>
      <c r="J11" s="33">
        <f>$C$31*('E Balans VL '!D11+'E Balans VL '!E11)/100/3.6*1000000</f>
        <v>0</v>
      </c>
      <c r="K11" s="33"/>
      <c r="L11" s="33"/>
      <c r="M11" s="33"/>
      <c r="N11" s="33">
        <f>$C$31*'E Balans VL '!Y11/100/3.6*1000000</f>
        <v>1.168745000608955</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energieproductie'!N40+'lokale energieproductie'!N33</f>
        <v>0</v>
      </c>
      <c r="C13" s="247">
        <f ca="1">'lokale energieproductie'!O40+'lokale energieproductie'!O33</f>
        <v>0</v>
      </c>
      <c r="D13" s="310">
        <f ca="1">('lokale energieproductie'!P33+'lokale energieproductie'!P40)*(-1)</f>
        <v>0</v>
      </c>
      <c r="E13" s="248"/>
      <c r="F13" s="310">
        <f ca="1">('lokale energieproductie'!S33+'lokale energieproductie'!S40)*(-1)</f>
        <v>0</v>
      </c>
      <c r="G13" s="249"/>
      <c r="H13" s="248"/>
      <c r="I13" s="248"/>
      <c r="J13" s="248"/>
      <c r="K13" s="248"/>
      <c r="L13" s="310">
        <f ca="1">('lokale energieproductie'!U33+'lokale energieproductie'!T33+'lokale energieproductie'!U40+'lokale energieproductie'!T40)*(-1)</f>
        <v>0</v>
      </c>
      <c r="M13" s="248"/>
      <c r="N13" s="310">
        <f ca="1">('lokale energieproductie'!Q33+'lokale energieproductie'!R33+'lokale energieproductie'!V33+'lokale energieproductie'!Q40+'lokale energieproductie'!R40+'lokale energieproductie'!V40)*(-1)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10633.268925532941</v>
      </c>
      <c r="C16" s="21">
        <f t="shared" ca="1" si="1"/>
        <v>0</v>
      </c>
      <c r="D16" s="21">
        <f t="shared" ca="1" si="1"/>
        <v>13436.22458915545</v>
      </c>
      <c r="E16" s="21">
        <f t="shared" si="1"/>
        <v>26.990073805545137</v>
      </c>
      <c r="F16" s="21">
        <f t="shared" ca="1" si="1"/>
        <v>1466.8238140427793</v>
      </c>
      <c r="G16" s="21">
        <f t="shared" si="1"/>
        <v>0</v>
      </c>
      <c r="H16" s="21">
        <f t="shared" si="1"/>
        <v>0</v>
      </c>
      <c r="I16" s="21">
        <f t="shared" si="1"/>
        <v>0</v>
      </c>
      <c r="J16" s="21">
        <f t="shared" si="1"/>
        <v>8.5915683918290735E-3</v>
      </c>
      <c r="K16" s="21">
        <f t="shared" si="1"/>
        <v>0</v>
      </c>
      <c r="L16" s="21">
        <f t="shared" ca="1" si="1"/>
        <v>0</v>
      </c>
      <c r="M16" s="21">
        <f t="shared" si="1"/>
        <v>0</v>
      </c>
      <c r="N16" s="21">
        <f t="shared" ca="1" si="1"/>
        <v>325.31119293377537</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0.21036476299016957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2236.8650973304721</v>
      </c>
      <c r="C20" s="23">
        <f t="shared" ref="C20:P20" ca="1" si="2">C16*C18</f>
        <v>0</v>
      </c>
      <c r="D20" s="23">
        <f t="shared" ca="1" si="2"/>
        <v>2714.1173670094013</v>
      </c>
      <c r="E20" s="23">
        <f t="shared" si="2"/>
        <v>6.1267467538587459</v>
      </c>
      <c r="F20" s="23">
        <f t="shared" ca="1" si="2"/>
        <v>391.64195834942211</v>
      </c>
      <c r="G20" s="23">
        <f t="shared" si="2"/>
        <v>0</v>
      </c>
      <c r="H20" s="23">
        <f t="shared" si="2"/>
        <v>0</v>
      </c>
      <c r="I20" s="23">
        <f t="shared" si="2"/>
        <v>0</v>
      </c>
      <c r="J20" s="23">
        <f t="shared" si="2"/>
        <v>3.0414152107074918E-3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3075.1026148501301</v>
      </c>
      <c r="C26" s="39">
        <f>IF(ISERROR(B26*3.6/1000000/'E Balans VL '!Z12*100),0,B26*3.6/1000000/'E Balans VL '!Z12*100)</f>
        <v>8.6726037022793717E-2</v>
      </c>
      <c r="D26" s="237" t="s">
        <v>702</v>
      </c>
      <c r="F26" s="6"/>
    </row>
    <row r="27" spans="1:18">
      <c r="A27" s="231" t="s">
        <v>52</v>
      </c>
      <c r="B27" s="33">
        <f>IF(ISERROR(TER_horeca_ele_kWh/1000),0,TER_horeca_ele_kWh/1000)</f>
        <v>941.31720127078802</v>
      </c>
      <c r="C27" s="39">
        <f>IF(ISERROR(B27*3.6/1000000/'E Balans VL '!Z9*100),0,B27*3.6/1000000/'E Balans VL '!Z9*100)</f>
        <v>6.9787106696239984E-2</v>
      </c>
      <c r="D27" s="237" t="s">
        <v>702</v>
      </c>
      <c r="F27" s="6"/>
    </row>
    <row r="28" spans="1:18">
      <c r="A28" s="171" t="s">
        <v>51</v>
      </c>
      <c r="B28" s="33">
        <f>IF(ISERROR(TER_handel_ele_kWh/1000),0,TER_handel_ele_kWh/1000)</f>
        <v>3924.8222156874399</v>
      </c>
      <c r="C28" s="39">
        <f>IF(ISERROR(B28*3.6/1000000/'E Balans VL '!Z13*100),0,B28*3.6/1000000/'E Balans VL '!Z13*100)</f>
        <v>0.11757834196877467</v>
      </c>
      <c r="D28" s="237" t="s">
        <v>702</v>
      </c>
      <c r="F28" s="6"/>
    </row>
    <row r="29" spans="1:18">
      <c r="A29" s="231" t="s">
        <v>50</v>
      </c>
      <c r="B29" s="33">
        <f>IF(ISERROR(TER_gezond_ele_kWh/1000),0,TER_gezond_ele_kWh/1000)</f>
        <v>1407.01268838279</v>
      </c>
      <c r="C29" s="39">
        <f>IF(ISERROR(B29*3.6/1000000/'E Balans VL '!Z10*100),0,B29*3.6/1000000/'E Balans VL '!Z10*100)</f>
        <v>0.13912596610325689</v>
      </c>
      <c r="D29" s="237" t="s">
        <v>702</v>
      </c>
      <c r="F29" s="6"/>
    </row>
    <row r="30" spans="1:18">
      <c r="A30" s="231" t="s">
        <v>49</v>
      </c>
      <c r="B30" s="33">
        <f>IF(ISERROR(TER_ander_ele_kWh/1000),0,TER_ander_ele_kWh/1000)</f>
        <v>869.95999305862904</v>
      </c>
      <c r="C30" s="39">
        <f>IF(ISERROR(B30*3.6/1000000/'E Balans VL '!Z14*100),0,B30*3.6/1000000/'E Balans VL '!Z14*100)</f>
        <v>3.5187310819777773E-2</v>
      </c>
      <c r="D30" s="237" t="s">
        <v>702</v>
      </c>
      <c r="F30" s="6"/>
    </row>
    <row r="31" spans="1:18">
      <c r="A31" s="231" t="s">
        <v>54</v>
      </c>
      <c r="B31" s="33">
        <f>IF(ISERROR(TER_onderwijs_ele_kWh/1000),0,TER_onderwijs_ele_kWh/1000)</f>
        <v>415.05421228316504</v>
      </c>
      <c r="C31" s="39">
        <f>IF(ISERROR(B31*3.6/1000000/'E Balans VL '!Z11*100),0,B31*3.6/1000000/'E Balans VL '!Z11*100)</f>
        <v>0.11403354435909588</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1329.5363340040192</v>
      </c>
      <c r="C5" s="17">
        <f>IF(ISERROR('Eigen informatie GS &amp; warmtenet'!B61),0,'Eigen informatie GS &amp; warmtenet'!B61)</f>
        <v>0</v>
      </c>
      <c r="D5" s="30">
        <f>SUM(D6:D15)</f>
        <v>1800.2412627639078</v>
      </c>
      <c r="E5" s="17">
        <f>SUM(E6:E15)</f>
        <v>4.5012741159647067</v>
      </c>
      <c r="F5" s="17">
        <f>SUM(F6:F15)</f>
        <v>451.12374504088194</v>
      </c>
      <c r="G5" s="18"/>
      <c r="H5" s="17"/>
      <c r="I5" s="17"/>
      <c r="J5" s="17">
        <f>SUM(J6:J15)</f>
        <v>0.18986428891621482</v>
      </c>
      <c r="K5" s="17"/>
      <c r="L5" s="17"/>
      <c r="M5" s="17"/>
      <c r="N5" s="17">
        <f>SUM(N6:N15)</f>
        <v>61.134886113382834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175.73255816367399</v>
      </c>
      <c r="C8" s="33"/>
      <c r="D8" s="37">
        <f>IF( ISERROR(IND_metaal_Gas_kWH/1000),0,IND_metaal_Gas_kWH/1000)*0.903</f>
        <v>77.755483499753893</v>
      </c>
      <c r="E8" s="33">
        <f>C30*'E Balans VL '!I18/100/3.6*1000000</f>
        <v>0.88607421995951519</v>
      </c>
      <c r="F8" s="33">
        <f>C30*'E Balans VL '!L18/100/3.6*1000000+C30*'E Balans VL '!N18/100/3.6*1000000</f>
        <v>12.006407474618703</v>
      </c>
      <c r="G8" s="34"/>
      <c r="H8" s="33"/>
      <c r="I8" s="33"/>
      <c r="J8" s="40">
        <f>C30*'E Balans VL '!D18/100/3.6*1000000+C30*'E Balans VL '!E18/100/3.6*1000000</f>
        <v>0.15580190299241903</v>
      </c>
      <c r="K8" s="33"/>
      <c r="L8" s="33"/>
      <c r="M8" s="33"/>
      <c r="N8" s="33">
        <f>C30*'E Balans VL '!Y18/100/3.6*1000000</f>
        <v>2.3354867408848894</v>
      </c>
      <c r="O8" s="33"/>
      <c r="P8" s="33"/>
      <c r="R8" s="32"/>
    </row>
    <row r="9" spans="1:18">
      <c r="A9" s="6" t="s">
        <v>32</v>
      </c>
      <c r="B9" s="37">
        <f t="shared" si="0"/>
        <v>699.51802364006301</v>
      </c>
      <c r="C9" s="33"/>
      <c r="D9" s="37">
        <f>IF( ISERROR(IND_andere_gas_kWh/1000),0,IND_andere_gas_kWh/1000)*0.903</f>
        <v>1108.857646521114</v>
      </c>
      <c r="E9" s="33">
        <f>C31*'E Balans VL '!I19/100/3.6*1000000</f>
        <v>2.205046136915457</v>
      </c>
      <c r="F9" s="33">
        <f>C31*'E Balans VL '!L19/100/3.6*1000000+C31*'E Balans VL '!N19/100/3.6*1000000</f>
        <v>428.21551324576734</v>
      </c>
      <c r="G9" s="34"/>
      <c r="H9" s="33"/>
      <c r="I9" s="33"/>
      <c r="J9" s="40">
        <f>C31*'E Balans VL '!D19/100/3.6*1000000+C31*'E Balans VL '!E19/100/3.6*1000000</f>
        <v>0</v>
      </c>
      <c r="K9" s="33"/>
      <c r="L9" s="33"/>
      <c r="M9" s="33"/>
      <c r="N9" s="33">
        <f>C31*'E Balans VL '!Y19/100/3.6*1000000</f>
        <v>29.331740551394748</v>
      </c>
      <c r="O9" s="33"/>
      <c r="P9" s="33"/>
      <c r="R9" s="32"/>
    </row>
    <row r="10" spans="1:18">
      <c r="A10" s="6" t="s">
        <v>40</v>
      </c>
      <c r="B10" s="37">
        <f t="shared" si="0"/>
        <v>308.84615164276005</v>
      </c>
      <c r="C10" s="33"/>
      <c r="D10" s="37">
        <f>IF( ISERROR(IND_voed_gas_kWh/1000),0,IND_voed_gas_kWh/1000)*0.903</f>
        <v>476.29652014955241</v>
      </c>
      <c r="E10" s="33">
        <f>C32*'E Balans VL '!I20/100/3.6*1000000</f>
        <v>0.49221402837525696</v>
      </c>
      <c r="F10" s="33">
        <f>C32*'E Balans VL '!L20/100/3.6*1000000+C32*'E Balans VL '!N20/100/3.6*1000000</f>
        <v>5.0179996918460485</v>
      </c>
      <c r="G10" s="34"/>
      <c r="H10" s="33"/>
      <c r="I10" s="33"/>
      <c r="J10" s="40">
        <f>C32*'E Balans VL '!D20/100/3.6*1000000+C32*'E Balans VL '!E20/100/3.6*1000000</f>
        <v>0</v>
      </c>
      <c r="K10" s="33"/>
      <c r="L10" s="33"/>
      <c r="M10" s="33"/>
      <c r="N10" s="33">
        <f>C32*'E Balans VL '!Y20/100/3.6*1000000</f>
        <v>9.7549039614261517</v>
      </c>
      <c r="O10" s="33"/>
      <c r="P10" s="33"/>
      <c r="R10" s="32"/>
    </row>
    <row r="11" spans="1:18">
      <c r="A11" s="6" t="s">
        <v>39</v>
      </c>
      <c r="B11" s="37">
        <f t="shared" si="0"/>
        <v>20.7770674525696</v>
      </c>
      <c r="C11" s="33"/>
      <c r="D11" s="37">
        <f>IF( ISERROR(IND_textiel_gas_kWh/1000),0,IND_textiel_gas_kWh/1000)*0.903</f>
        <v>137.33161259348762</v>
      </c>
      <c r="E11" s="33">
        <f>C33*'E Balans VL '!I21/100/3.6*1000000</f>
        <v>3.0143728308332257E-2</v>
      </c>
      <c r="F11" s="33">
        <f>C33*'E Balans VL '!L21/100/3.6*1000000+C33*'E Balans VL '!N21/100/3.6*1000000</f>
        <v>0.4066205596691948</v>
      </c>
      <c r="G11" s="34"/>
      <c r="H11" s="33"/>
      <c r="I11" s="33"/>
      <c r="J11" s="40">
        <f>C33*'E Balans VL '!D21/100/3.6*1000000+C33*'E Balans VL '!E21/100/3.6*1000000</f>
        <v>0</v>
      </c>
      <c r="K11" s="33"/>
      <c r="L11" s="33"/>
      <c r="M11" s="33"/>
      <c r="N11" s="33">
        <f>C33*'E Balans VL '!Y21/100/3.6*1000000</f>
        <v>1.0122115718401115</v>
      </c>
      <c r="O11" s="33"/>
      <c r="P11" s="33"/>
      <c r="R11" s="32"/>
    </row>
    <row r="12" spans="1:18">
      <c r="A12" s="6" t="s">
        <v>36</v>
      </c>
      <c r="B12" s="37">
        <f t="shared" si="0"/>
        <v>107.978038901711</v>
      </c>
      <c r="C12" s="33"/>
      <c r="D12" s="37">
        <f>IF( ISERROR(IND_min_gas_kWh/1000),0,IND_min_gas_kWh/1000)*0.903</f>
        <v>0</v>
      </c>
      <c r="E12" s="33">
        <f>C34*'E Balans VL '!I22/100/3.6*1000000</f>
        <v>0.46725021307967723</v>
      </c>
      <c r="F12" s="33">
        <f>C34*'E Balans VL '!L22/100/3.6*1000000+C34*'E Balans VL '!N22/100/3.6*1000000</f>
        <v>4.1227348165273821</v>
      </c>
      <c r="G12" s="34"/>
      <c r="H12" s="33"/>
      <c r="I12" s="33"/>
      <c r="J12" s="40">
        <f>C34*'E Balans VL '!D22/100/3.6*1000000+C34*'E Balans VL '!E22/100/3.6*1000000</f>
        <v>0</v>
      </c>
      <c r="K12" s="33"/>
      <c r="L12" s="33"/>
      <c r="M12" s="33"/>
      <c r="N12" s="33">
        <f>C34*'E Balans VL '!Y22/100/3.6*1000000</f>
        <v>18.418621077327892</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16.684494203241599</v>
      </c>
      <c r="C15" s="33"/>
      <c r="D15" s="37">
        <f>IF( ISERROR(IND_rest_gas_kWh/1000),0,IND_rest_gas_kWh/1000)*0.903</f>
        <v>0</v>
      </c>
      <c r="E15" s="33">
        <f>C37*'E Balans VL '!I15/100/3.6*1000000</f>
        <v>0.42054578932646813</v>
      </c>
      <c r="F15" s="33">
        <f>C37*'E Balans VL '!L15/100/3.6*1000000+C37*'E Balans VL '!N15/100/3.6*1000000</f>
        <v>1.3544692524532649</v>
      </c>
      <c r="G15" s="34"/>
      <c r="H15" s="33"/>
      <c r="I15" s="33"/>
      <c r="J15" s="40">
        <f>C37*'E Balans VL '!D15/100/3.6*1000000+C37*'E Balans VL '!E15/100/3.6*1000000</f>
        <v>3.4062385923795777E-2</v>
      </c>
      <c r="K15" s="33"/>
      <c r="L15" s="33"/>
      <c r="M15" s="33"/>
      <c r="N15" s="33">
        <f>C37*'E Balans VL '!Y15/100/3.6*1000000</f>
        <v>0.28192221050904431</v>
      </c>
      <c r="O15" s="33"/>
      <c r="P15" s="33"/>
      <c r="R15" s="32"/>
    </row>
    <row r="16" spans="1:18">
      <c r="A16" s="16" t="s">
        <v>479</v>
      </c>
      <c r="B16" s="247">
        <f>'lokale energieproductie'!N39+'lokale energieproductie'!N32</f>
        <v>0</v>
      </c>
      <c r="C16" s="247">
        <f>'lokale energieproductie'!O39+'lokale energieproductie'!O32</f>
        <v>0</v>
      </c>
      <c r="D16" s="310">
        <f>('lokale energieproductie'!P32+'lokale energieproductie'!P39)*(-1)</f>
        <v>0</v>
      </c>
      <c r="E16" s="248"/>
      <c r="F16" s="310">
        <f>('lokale energieproductie'!S32+'lokale energieproductie'!S39)*(-1)</f>
        <v>0</v>
      </c>
      <c r="G16" s="249"/>
      <c r="H16" s="248"/>
      <c r="I16" s="248"/>
      <c r="J16" s="248"/>
      <c r="K16" s="248"/>
      <c r="L16" s="310">
        <f>('lokale energieproductie'!T32+'lokale energieproductie'!U32+'lokale energieproductie'!T39+'lokale energieproductie'!U39)*(-1)</f>
        <v>0</v>
      </c>
      <c r="M16" s="248"/>
      <c r="N16" s="310">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1329.5363340040192</v>
      </c>
      <c r="C18" s="21">
        <f>C5+C16</f>
        <v>0</v>
      </c>
      <c r="D18" s="21">
        <f>MAX((D5+D16),0)</f>
        <v>1800.2412627639078</v>
      </c>
      <c r="E18" s="21">
        <f>MAX((E5+E16),0)</f>
        <v>4.5012741159647067</v>
      </c>
      <c r="F18" s="21">
        <f>MAX((F5+F16),0)</f>
        <v>451.12374504088194</v>
      </c>
      <c r="G18" s="21"/>
      <c r="H18" s="21"/>
      <c r="I18" s="21"/>
      <c r="J18" s="21">
        <f>MAX((J5+J16),0)</f>
        <v>0.18986428891621482</v>
      </c>
      <c r="K18" s="21"/>
      <c r="L18" s="21">
        <f>MAX((L5+L16),0)</f>
        <v>0</v>
      </c>
      <c r="M18" s="21"/>
      <c r="N18" s="21">
        <f>MAX((N5+N16),0)</f>
        <v>61.134886113382834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0.21036476299016957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279.6875957895744</v>
      </c>
      <c r="C22" s="23">
        <f ca="1">C18*C20</f>
        <v>0</v>
      </c>
      <c r="D22" s="23">
        <f>D18*D20</f>
        <v>363.64873507830941</v>
      </c>
      <c r="E22" s="23">
        <f>E18*E20</f>
        <v>1.0217892243239886</v>
      </c>
      <c r="F22" s="23">
        <f>F18*F20</f>
        <v>120.45003992591549</v>
      </c>
      <c r="G22" s="23"/>
      <c r="H22" s="23"/>
      <c r="I22" s="23"/>
      <c r="J22" s="23">
        <f>J18*J20</f>
        <v>6.7211958276340036E-2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175.73255816367399</v>
      </c>
      <c r="C30" s="39">
        <f>IF(ISERROR(B30*3.6/1000000/'E Balans VL '!Z18*100),0,B30*3.6/1000000/'E Balans VL '!Z18*100)</f>
        <v>8.7229681302131695E-3</v>
      </c>
      <c r="D30" s="237" t="s">
        <v>702</v>
      </c>
    </row>
    <row r="31" spans="1:18">
      <c r="A31" s="6" t="s">
        <v>32</v>
      </c>
      <c r="B31" s="37">
        <f>IF( ISERROR(IND_ander_ele_kWh/1000),0,IND_ander_ele_kWh/1000)</f>
        <v>699.51802364006301</v>
      </c>
      <c r="C31" s="39">
        <f>IF(ISERROR(B31*3.6/1000000/'E Balans VL '!Z19*100),0,B31*3.6/1000000/'E Balans VL '!Z19*100)</f>
        <v>2.3605148745704758E-2</v>
      </c>
      <c r="D31" s="237" t="s">
        <v>702</v>
      </c>
    </row>
    <row r="32" spans="1:18">
      <c r="A32" s="171" t="s">
        <v>40</v>
      </c>
      <c r="B32" s="37">
        <f>IF( ISERROR(IND_voed_ele_kWh/1000),0,IND_voed_ele_kWh/1000)</f>
        <v>308.84615164276005</v>
      </c>
      <c r="C32" s="39">
        <f>IF(ISERROR(B32*3.6/1000000/'E Balans VL '!Z20*100),0,B32*3.6/1000000/'E Balans VL '!Z20*100)</f>
        <v>7.2530397188201191E-3</v>
      </c>
      <c r="D32" s="237" t="s">
        <v>702</v>
      </c>
    </row>
    <row r="33" spans="1:5">
      <c r="A33" s="171" t="s">
        <v>39</v>
      </c>
      <c r="B33" s="37">
        <f>IF( ISERROR(IND_textiel_ele_kWh/1000),0,IND_textiel_ele_kWh/1000)</f>
        <v>20.7770674525696</v>
      </c>
      <c r="C33" s="39">
        <f>IF(ISERROR(B33*3.6/1000000/'E Balans VL '!Z21*100),0,B33*3.6/1000000/'E Balans VL '!Z21*100)</f>
        <v>2.2802568167681471E-3</v>
      </c>
      <c r="D33" s="237" t="s">
        <v>702</v>
      </c>
    </row>
    <row r="34" spans="1:5">
      <c r="A34" s="171" t="s">
        <v>36</v>
      </c>
      <c r="B34" s="37">
        <f>IF( ISERROR(IND_min_ele_kWh/1000),0,IND_min_ele_kWh/1000)</f>
        <v>107.978038901711</v>
      </c>
      <c r="C34" s="39">
        <f>IF(ISERROR(B34*3.6/1000000/'E Balans VL '!Z22*100),0,B34*3.6/1000000/'E Balans VL '!Z22*100)</f>
        <v>1.5318926285615674E-2</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16.684494203241599</v>
      </c>
      <c r="C37" s="39">
        <f>IF(ISERROR(B37*3.6/1000000/'E Balans VL '!Z15*100),0,B37*3.6/1000000/'E Balans VL '!Z15*100)</f>
        <v>6.2525629258747609E-5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1012.0385090180699</v>
      </c>
      <c r="C5" s="17">
        <f>'Eigen informatie GS &amp; warmtenet'!B62</f>
        <v>0</v>
      </c>
      <c r="D5" s="30">
        <f>IF(ISERROR(SUM(LB_lb_gas_kWh,LB_rest_gas_kWh)/1000),0,SUM(LB_lb_gas_kWh,LB_rest_gas_kWh)/1000)*0.903</f>
        <v>63258.773892933248</v>
      </c>
      <c r="E5" s="17">
        <f>B17*'E Balans VL '!I25/3.6*1000000/100</f>
        <v>37.742011606255517</v>
      </c>
      <c r="F5" s="17">
        <f>B17*('E Balans VL '!L25/3.6*1000000+'E Balans VL '!N25/3.6*1000000)/100</f>
        <v>3283.4439903281013</v>
      </c>
      <c r="G5" s="18"/>
      <c r="H5" s="17"/>
      <c r="I5" s="17"/>
      <c r="J5" s="17">
        <f>('E Balans VL '!D25+'E Balans VL '!E25)/3.6*1000000*landbouw!B17/100</f>
        <v>265.66510495737799</v>
      </c>
      <c r="K5" s="17"/>
      <c r="L5" s="17">
        <f>L6*(-1)</f>
        <v>0</v>
      </c>
      <c r="M5" s="17"/>
      <c r="N5" s="17">
        <f>N6*(-1)</f>
        <v>0</v>
      </c>
      <c r="O5" s="17"/>
      <c r="P5" s="17"/>
      <c r="R5" s="32"/>
    </row>
    <row r="6" spans="1:18">
      <c r="A6" s="16" t="s">
        <v>479</v>
      </c>
      <c r="B6" s="17" t="s">
        <v>210</v>
      </c>
      <c r="C6" s="17">
        <f>'lokale energieproductie'!O41+'lokale energieproductie'!O34</f>
        <v>32721.428571428572</v>
      </c>
      <c r="D6" s="310">
        <f>('lokale energieproductie'!P34+'lokale energieproductie'!P41)*(-1)</f>
        <v>-65442.857142857145</v>
      </c>
      <c r="E6" s="248"/>
      <c r="F6" s="310">
        <f>('lokale energieproductie'!S34+'lokale energieproductie'!S41)*(-1)</f>
        <v>0</v>
      </c>
      <c r="G6" s="249"/>
      <c r="H6" s="248"/>
      <c r="I6" s="248"/>
      <c r="J6" s="248"/>
      <c r="K6" s="248"/>
      <c r="L6" s="310">
        <f>('lokale energieproductie'!T34+'lokale energieproductie'!U34+'lokale energieproductie'!T41+'lokale energieproductie'!U41)*(-1)</f>
        <v>0</v>
      </c>
      <c r="M6" s="248"/>
      <c r="N6" s="310">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1012.0385090180699</v>
      </c>
      <c r="C8" s="21">
        <f>C5+C6</f>
        <v>32721.428571428572</v>
      </c>
      <c r="D8" s="21">
        <f>MAX((D5+D6),0)</f>
        <v>0</v>
      </c>
      <c r="E8" s="21">
        <f>MAX((E5+E6),0)</f>
        <v>37.742011606255517</v>
      </c>
      <c r="F8" s="21">
        <f>MAX((F5+F6),0)</f>
        <v>3283.4439903281013</v>
      </c>
      <c r="G8" s="21"/>
      <c r="H8" s="21"/>
      <c r="I8" s="21"/>
      <c r="J8" s="21">
        <f>MAX((J5+J6),0)</f>
        <v>265.66510495737799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0.21036476299016957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212.89724108651086</v>
      </c>
      <c r="C12" s="23">
        <f ca="1">C8*C10</f>
        <v>7776.1512605042026</v>
      </c>
      <c r="D12" s="23">
        <f>D8*D10</f>
        <v>0</v>
      </c>
      <c r="E12" s="23">
        <f>E8*E10</f>
        <v>8.5674366346200017</v>
      </c>
      <c r="F12" s="23">
        <f>F8*F10</f>
        <v>876.67954541760309</v>
      </c>
      <c r="G12" s="23"/>
      <c r="H12" s="23"/>
      <c r="I12" s="23"/>
      <c r="J12" s="23">
        <f>J8*J10</f>
        <v>94.045447154911798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0.13900084828056758</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168.84242212637727</v>
      </c>
      <c r="C26" s="247">
        <f>B26*'GWP N2O_CH4'!B5</f>
        <v>3545.6908646539227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41.879934071341189</v>
      </c>
      <c r="C27" s="247">
        <f>B27*'GWP N2O_CH4'!B5</f>
        <v>879.47861549816503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1.770315182826868</v>
      </c>
      <c r="C28" s="247">
        <f>B28*'GWP N2O_CH4'!B4</f>
        <v>548.79770667632908</v>
      </c>
      <c r="D28" s="50"/>
    </row>
    <row r="29" spans="1:4">
      <c r="A29" s="41" t="s">
        <v>276</v>
      </c>
      <c r="B29" s="247">
        <f>B34*'ha_N2O bodem landbouw'!B4</f>
        <v>8.6073315746938857</v>
      </c>
      <c r="C29" s="247">
        <f>B29*'GWP N2O_CH4'!B4</f>
        <v>2668.2727881551045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1.9616354467924695E-3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1.2456999704135604E-4</v>
      </c>
      <c r="C5" s="440" t="s">
        <v>210</v>
      </c>
      <c r="D5" s="425">
        <f>SUM(D6:D11)</f>
        <v>4.8821779747954582E-4</v>
      </c>
      <c r="E5" s="425">
        <f>SUM(E6:E11)</f>
        <v>2.6280871241719317E-4</v>
      </c>
      <c r="F5" s="438" t="s">
        <v>210</v>
      </c>
      <c r="G5" s="425">
        <f>SUM(G6:G11)</f>
        <v>0.11223907394302002</v>
      </c>
      <c r="H5" s="425">
        <f>SUM(H6:H11)</f>
        <v>3.1158820416844094E-2</v>
      </c>
      <c r="I5" s="440" t="s">
        <v>210</v>
      </c>
      <c r="J5" s="440" t="s">
        <v>210</v>
      </c>
      <c r="K5" s="440" t="s">
        <v>210</v>
      </c>
      <c r="L5" s="440" t="s">
        <v>210</v>
      </c>
      <c r="M5" s="425">
        <f>SUM(M6:M11)</f>
        <v>8.4852747294407796E-3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1.0930966305942115E-4</v>
      </c>
      <c r="C6" s="426"/>
      <c r="D6" s="893">
        <f>vkm_GW_PW*SUMIFS(TableVerdeelsleutelVkm[CNG],TableVerdeelsleutelVkm[Voertuigtype],"Lichte voertuigen")*SUMIFS(TableECFTransport[EnergieConsumptieFactor (PJ per km)],TableECFTransport[Index],CONCATENATE($A6,"_CNG_CNG"))</f>
        <v>3.9479314495452207E-4</v>
      </c>
      <c r="E6" s="893">
        <f>vkm_GW_PW*SUMIFS(TableVerdeelsleutelVkm[LPG],TableVerdeelsleutelVkm[Voertuigtype],"Lichte voertuigen")*SUMIFS(TableECFTransport[EnergieConsumptieFactor (PJ per km)],TableECFTransport[Index],CONCATENATE($A6,"_LPG_LPG"))</f>
        <v>2.1455994046460232E-4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6.6769731495345014E-2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2.5269662434723106E-2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5.5159061018467976E-3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3.1108797516959552E-2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3.2749920515644933E-7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1.7514740271257791E-3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1.5260333981934898E-5</v>
      </c>
      <c r="C8" s="426"/>
      <c r="D8" s="428">
        <f>vkm_NGW_PW*SUMIFS(TableVerdeelsleutelVkm[CNG],TableVerdeelsleutelVkm[Voertuigtype],"Lichte voertuigen")*SUMIFS(TableECFTransport[EnergieConsumptieFactor (PJ per km)],TableECFTransport[Index],CONCATENATE($A8,"_CNG_CNG"))</f>
        <v>9.3424652525023739E-5</v>
      </c>
      <c r="E8" s="428">
        <f>vkm_NGW_PW*SUMIFS(TableVerdeelsleutelVkm[LPG],TableVerdeelsleutelVkm[Voertuigtype],"Lichte voertuigen")*SUMIFS(TableECFTransport[EnergieConsumptieFactor (PJ per km)],TableECFTransport[Index],CONCATENATE($A8,"_LPG_LPG"))</f>
        <v>4.8248771952590856E-5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1.3972856265743561E-2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5.8888245548496879E-3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1.1960669930012062E-3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3.8768866497189761E-4</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5.9280661417714775E-9</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2.182760746699746E-5</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34.602776955932235</v>
      </c>
      <c r="C14" s="21"/>
      <c r="D14" s="21">
        <f t="shared" ref="D14:M14" si="0">((D5)*10^9/3600)+D12</f>
        <v>135.61605485542938</v>
      </c>
      <c r="E14" s="21">
        <f t="shared" si="0"/>
        <v>73.002420115886991</v>
      </c>
      <c r="F14" s="21"/>
      <c r="G14" s="21">
        <f t="shared" si="0"/>
        <v>31177.520539727782</v>
      </c>
      <c r="H14" s="21">
        <f t="shared" si="0"/>
        <v>8655.2278935678041</v>
      </c>
      <c r="I14" s="21"/>
      <c r="J14" s="21"/>
      <c r="K14" s="21"/>
      <c r="L14" s="21"/>
      <c r="M14" s="21">
        <f t="shared" si="0"/>
        <v>2357.0207581779946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0.21036476299016957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7.2792049731363857</v>
      </c>
      <c r="C18" s="23"/>
      <c r="D18" s="23">
        <f t="shared" ref="D18:M18" si="1">D14*D16</f>
        <v>27.394443080796737</v>
      </c>
      <c r="E18" s="23">
        <f t="shared" si="1"/>
        <v>16.571549366306346</v>
      </c>
      <c r="F18" s="23"/>
      <c r="G18" s="23">
        <f t="shared" si="1"/>
        <v>8324.3979841073178</v>
      </c>
      <c r="H18" s="23">
        <f t="shared" si="1"/>
        <v>2155.1517454983832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1.5907088371754229E-3</v>
      </c>
      <c r="H50" s="321">
        <f t="shared" si="2"/>
        <v>0</v>
      </c>
      <c r="I50" s="321">
        <f t="shared" si="2"/>
        <v>0</v>
      </c>
      <c r="J50" s="321">
        <f t="shared" si="2"/>
        <v>0</v>
      </c>
      <c r="K50" s="321">
        <f t="shared" si="2"/>
        <v>0</v>
      </c>
      <c r="L50" s="321">
        <f t="shared" si="2"/>
        <v>0</v>
      </c>
      <c r="M50" s="321">
        <f t="shared" si="2"/>
        <v>8.6320921527860463E-5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1.5907088371754229E-3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8.6320921527860463E-5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441.86356588206189</v>
      </c>
      <c r="H54" s="21">
        <f t="shared" si="3"/>
        <v>0</v>
      </c>
      <c r="I54" s="21">
        <f t="shared" si="3"/>
        <v>0</v>
      </c>
      <c r="J54" s="21">
        <f t="shared" si="3"/>
        <v>0</v>
      </c>
      <c r="K54" s="21">
        <f t="shared" si="3"/>
        <v>0</v>
      </c>
      <c r="L54" s="21">
        <f t="shared" si="3"/>
        <v>0</v>
      </c>
      <c r="M54" s="21">
        <f t="shared" si="3"/>
        <v>23.97803375773902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0.21036476299016957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117.97757209051053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11256.057925532941</v>
      </c>
      <c r="D10" s="689">
        <f ca="1">tertiair!C16</f>
        <v>0</v>
      </c>
      <c r="E10" s="689">
        <f ca="1">tertiair!D16</f>
        <v>13436.22458915545</v>
      </c>
      <c r="F10" s="689">
        <f>tertiair!E16</f>
        <v>26.990073805545137</v>
      </c>
      <c r="G10" s="689">
        <f ca="1">tertiair!F16</f>
        <v>1466.8238140427793</v>
      </c>
      <c r="H10" s="689">
        <f>tertiair!G16</f>
        <v>0</v>
      </c>
      <c r="I10" s="689">
        <f>tertiair!H16</f>
        <v>0</v>
      </c>
      <c r="J10" s="689">
        <f>tertiair!I16</f>
        <v>0</v>
      </c>
      <c r="K10" s="689">
        <f>tertiair!J16</f>
        <v>8.5915683918290735E-3</v>
      </c>
      <c r="L10" s="689">
        <f>tertiair!K16</f>
        <v>0</v>
      </c>
      <c r="M10" s="689">
        <f ca="1">tertiair!L16</f>
        <v>0</v>
      </c>
      <c r="N10" s="689">
        <f>tertiair!M16</f>
        <v>0</v>
      </c>
      <c r="O10" s="689">
        <f ca="1">tertiair!N16</f>
        <v>325.31119293377537</v>
      </c>
      <c r="P10" s="689">
        <f>tertiair!O16</f>
        <v>4.8972607658411542</v>
      </c>
      <c r="Q10" s="690">
        <f>tertiair!P16</f>
        <v>0</v>
      </c>
      <c r="R10" s="692">
        <f ca="1">SUM(C10:Q10)</f>
        <v>26516.313447804721</v>
      </c>
      <c r="S10" s="67"/>
    </row>
    <row r="11" spans="1:19" s="451" customFormat="1">
      <c r="A11" s="811" t="s">
        <v>224</v>
      </c>
      <c r="B11" s="816"/>
      <c r="C11" s="689">
        <f>huishoudens!B8</f>
        <v>18278.062189673346</v>
      </c>
      <c r="D11" s="689">
        <f>huishoudens!C8</f>
        <v>0</v>
      </c>
      <c r="E11" s="689">
        <f>huishoudens!D8</f>
        <v>49359.908319734539</v>
      </c>
      <c r="F11" s="689">
        <f>huishoudens!E8</f>
        <v>5774.3116499361558</v>
      </c>
      <c r="G11" s="689">
        <f>huishoudens!F8</f>
        <v>5946.1906645065246</v>
      </c>
      <c r="H11" s="689">
        <f>huishoudens!G8</f>
        <v>0</v>
      </c>
      <c r="I11" s="689">
        <f>huishoudens!H8</f>
        <v>0</v>
      </c>
      <c r="J11" s="689">
        <f>huishoudens!I8</f>
        <v>0</v>
      </c>
      <c r="K11" s="689">
        <f>huishoudens!J8</f>
        <v>0</v>
      </c>
      <c r="L11" s="689">
        <f>huishoudens!K8</f>
        <v>0</v>
      </c>
      <c r="M11" s="689">
        <f>huishoudens!L8</f>
        <v>0</v>
      </c>
      <c r="N11" s="689">
        <f>huishoudens!M8</f>
        <v>0</v>
      </c>
      <c r="O11" s="689">
        <f>huishoudens!N8</f>
        <v>12765.689780052413</v>
      </c>
      <c r="P11" s="689">
        <f>huishoudens!O8</f>
        <v>238.07498632644379</v>
      </c>
      <c r="Q11" s="690">
        <f>huishoudens!P8</f>
        <v>547.76588399962122</v>
      </c>
      <c r="R11" s="692">
        <f>SUM(C11:Q11)</f>
        <v>92910.00347422903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1329.5363340040192</v>
      </c>
      <c r="D13" s="689">
        <f>industrie!C18</f>
        <v>0</v>
      </c>
      <c r="E13" s="689">
        <f>industrie!D18</f>
        <v>1800.2412627639078</v>
      </c>
      <c r="F13" s="689">
        <f>industrie!E18</f>
        <v>4.5012741159647067</v>
      </c>
      <c r="G13" s="689">
        <f>industrie!F18</f>
        <v>451.12374504088194</v>
      </c>
      <c r="H13" s="689">
        <f>industrie!G18</f>
        <v>0</v>
      </c>
      <c r="I13" s="689">
        <f>industrie!H18</f>
        <v>0</v>
      </c>
      <c r="J13" s="689">
        <f>industrie!I18</f>
        <v>0</v>
      </c>
      <c r="K13" s="689">
        <f>industrie!J18</f>
        <v>0.18986428891621482</v>
      </c>
      <c r="L13" s="689">
        <f>industrie!K18</f>
        <v>0</v>
      </c>
      <c r="M13" s="689">
        <f>industrie!L18</f>
        <v>0</v>
      </c>
      <c r="N13" s="689">
        <f>industrie!M18</f>
        <v>0</v>
      </c>
      <c r="O13" s="689">
        <f>industrie!N18</f>
        <v>61.134886113382834</v>
      </c>
      <c r="P13" s="689">
        <f>industrie!O18</f>
        <v>0</v>
      </c>
      <c r="Q13" s="690">
        <f>industrie!P18</f>
        <v>0</v>
      </c>
      <c r="R13" s="692">
        <f>SUM(C13:Q13)</f>
        <v>3646.7273663270735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30863.656449210306</v>
      </c>
      <c r="D16" s="725">
        <f t="shared" ref="D16:R16" ca="1" si="0">SUM(D9:D15)</f>
        <v>0</v>
      </c>
      <c r="E16" s="725">
        <f t="shared" ca="1" si="0"/>
        <v>64596.374171653893</v>
      </c>
      <c r="F16" s="725">
        <f t="shared" si="0"/>
        <v>5805.8029978576651</v>
      </c>
      <c r="G16" s="725">
        <f t="shared" ca="1" si="0"/>
        <v>7864.1382235901856</v>
      </c>
      <c r="H16" s="725">
        <f t="shared" si="0"/>
        <v>0</v>
      </c>
      <c r="I16" s="725">
        <f t="shared" si="0"/>
        <v>0</v>
      </c>
      <c r="J16" s="725">
        <f t="shared" si="0"/>
        <v>0</v>
      </c>
      <c r="K16" s="725">
        <f t="shared" si="0"/>
        <v>0.19845585730804388</v>
      </c>
      <c r="L16" s="725">
        <f t="shared" si="0"/>
        <v>0</v>
      </c>
      <c r="M16" s="725">
        <f t="shared" ca="1" si="0"/>
        <v>0</v>
      </c>
      <c r="N16" s="725">
        <f t="shared" si="0"/>
        <v>0</v>
      </c>
      <c r="O16" s="725">
        <f t="shared" ca="1" si="0"/>
        <v>13152.135859099571</v>
      </c>
      <c r="P16" s="725">
        <f t="shared" si="0"/>
        <v>242.97224709228496</v>
      </c>
      <c r="Q16" s="725">
        <f t="shared" si="0"/>
        <v>547.76588399962122</v>
      </c>
      <c r="R16" s="725">
        <f t="shared" ca="1" si="0"/>
        <v>123073.04428836083</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441.86356588206189</v>
      </c>
      <c r="I19" s="689">
        <f>transport!H54</f>
        <v>0</v>
      </c>
      <c r="J19" s="689">
        <f>transport!I54</f>
        <v>0</v>
      </c>
      <c r="K19" s="689">
        <f>transport!J54</f>
        <v>0</v>
      </c>
      <c r="L19" s="689">
        <f>transport!K54</f>
        <v>0</v>
      </c>
      <c r="M19" s="689">
        <f>transport!L54</f>
        <v>0</v>
      </c>
      <c r="N19" s="689">
        <f>transport!M54</f>
        <v>23.97803375773902</v>
      </c>
      <c r="O19" s="689">
        <f>transport!N54</f>
        <v>0</v>
      </c>
      <c r="P19" s="689">
        <f>transport!O54</f>
        <v>0</v>
      </c>
      <c r="Q19" s="690">
        <f>transport!P54</f>
        <v>0</v>
      </c>
      <c r="R19" s="692">
        <f>SUM(C19:Q19)</f>
        <v>465.8415996398009</v>
      </c>
      <c r="S19" s="67"/>
    </row>
    <row r="20" spans="1:19" s="451" customFormat="1">
      <c r="A20" s="811" t="s">
        <v>306</v>
      </c>
      <c r="B20" s="816"/>
      <c r="C20" s="689">
        <f>transport!B14</f>
        <v>34.602776955932235</v>
      </c>
      <c r="D20" s="689">
        <f>transport!C14</f>
        <v>0</v>
      </c>
      <c r="E20" s="689">
        <f>transport!D14</f>
        <v>135.61605485542938</v>
      </c>
      <c r="F20" s="689">
        <f>transport!E14</f>
        <v>73.002420115886991</v>
      </c>
      <c r="G20" s="689">
        <f>transport!F14</f>
        <v>0</v>
      </c>
      <c r="H20" s="689">
        <f>transport!G14</f>
        <v>31177.520539727782</v>
      </c>
      <c r="I20" s="689">
        <f>transport!H14</f>
        <v>8655.2278935678041</v>
      </c>
      <c r="J20" s="689">
        <f>transport!I14</f>
        <v>0</v>
      </c>
      <c r="K20" s="689">
        <f>transport!J14</f>
        <v>0</v>
      </c>
      <c r="L20" s="689">
        <f>transport!K14</f>
        <v>0</v>
      </c>
      <c r="M20" s="689">
        <f>transport!L14</f>
        <v>0</v>
      </c>
      <c r="N20" s="689">
        <f>transport!M14</f>
        <v>2357.0207581779946</v>
      </c>
      <c r="O20" s="689">
        <f>transport!N14</f>
        <v>0</v>
      </c>
      <c r="P20" s="689">
        <f>transport!O14</f>
        <v>0</v>
      </c>
      <c r="Q20" s="690">
        <f>transport!P14</f>
        <v>0</v>
      </c>
      <c r="R20" s="692">
        <f>SUM(C20:Q20)</f>
        <v>42432.990443400835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34.602776955932235</v>
      </c>
      <c r="D22" s="814">
        <f t="shared" ref="D22:R22" si="1">SUM(D18:D21)</f>
        <v>0</v>
      </c>
      <c r="E22" s="814">
        <f t="shared" si="1"/>
        <v>135.61605485542938</v>
      </c>
      <c r="F22" s="814">
        <f t="shared" si="1"/>
        <v>73.002420115886991</v>
      </c>
      <c r="G22" s="814">
        <f t="shared" si="1"/>
        <v>0</v>
      </c>
      <c r="H22" s="814">
        <f t="shared" si="1"/>
        <v>31619.384105609843</v>
      </c>
      <c r="I22" s="814">
        <f t="shared" si="1"/>
        <v>8655.2278935678041</v>
      </c>
      <c r="J22" s="814">
        <f t="shared" si="1"/>
        <v>0</v>
      </c>
      <c r="K22" s="814">
        <f t="shared" si="1"/>
        <v>0</v>
      </c>
      <c r="L22" s="814">
        <f t="shared" si="1"/>
        <v>0</v>
      </c>
      <c r="M22" s="814">
        <f t="shared" si="1"/>
        <v>0</v>
      </c>
      <c r="N22" s="814">
        <f t="shared" si="1"/>
        <v>2380.9987919357336</v>
      </c>
      <c r="O22" s="814">
        <f t="shared" si="1"/>
        <v>0</v>
      </c>
      <c r="P22" s="814">
        <f t="shared" si="1"/>
        <v>0</v>
      </c>
      <c r="Q22" s="814">
        <f t="shared" si="1"/>
        <v>0</v>
      </c>
      <c r="R22" s="814">
        <f t="shared" si="1"/>
        <v>42898.832043040638</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1012.0385090180699</v>
      </c>
      <c r="D24" s="689">
        <f>+landbouw!C8</f>
        <v>32721.428571428572</v>
      </c>
      <c r="E24" s="689">
        <f>+landbouw!D8</f>
        <v>0</v>
      </c>
      <c r="F24" s="689">
        <f>+landbouw!E8</f>
        <v>37.742011606255517</v>
      </c>
      <c r="G24" s="689">
        <f>+landbouw!F8</f>
        <v>3283.4439903281013</v>
      </c>
      <c r="H24" s="689">
        <f>+landbouw!G8</f>
        <v>0</v>
      </c>
      <c r="I24" s="689">
        <f>+landbouw!H8</f>
        <v>0</v>
      </c>
      <c r="J24" s="689">
        <f>+landbouw!I8</f>
        <v>0</v>
      </c>
      <c r="K24" s="689">
        <f>+landbouw!J8</f>
        <v>265.66510495737799</v>
      </c>
      <c r="L24" s="689">
        <f>+landbouw!K8</f>
        <v>0</v>
      </c>
      <c r="M24" s="689">
        <f>+landbouw!L8</f>
        <v>0</v>
      </c>
      <c r="N24" s="689">
        <f>+landbouw!M8</f>
        <v>0</v>
      </c>
      <c r="O24" s="689">
        <f>+landbouw!N8</f>
        <v>0</v>
      </c>
      <c r="P24" s="689">
        <f>+landbouw!O8</f>
        <v>0</v>
      </c>
      <c r="Q24" s="690">
        <f>+landbouw!P8</f>
        <v>0</v>
      </c>
      <c r="R24" s="692">
        <f>SUM(C24:Q24)</f>
        <v>37320.31818733838</v>
      </c>
      <c r="S24" s="67"/>
    </row>
    <row r="25" spans="1:19" s="451" customFormat="1" ht="15" thickBot="1">
      <c r="A25" s="833" t="s">
        <v>714</v>
      </c>
      <c r="B25" s="947"/>
      <c r="C25" s="948">
        <f>IF(Onbekend_ele_kWh="---",0,Onbekend_ele_kWh)/1000+IF(REST_rest_ele_kWh="---",0,REST_rest_ele_kWh)/1000</f>
        <v>563.922050626378</v>
      </c>
      <c r="D25" s="948"/>
      <c r="E25" s="948">
        <f>IF(onbekend_gas_kWh="---",0,onbekend_gas_kWh)/1000+IF(REST_rest_gas_kWh="---",0,REST_rest_gas_kWh)/1000</f>
        <v>825.17098022290907</v>
      </c>
      <c r="F25" s="948"/>
      <c r="G25" s="948"/>
      <c r="H25" s="948"/>
      <c r="I25" s="948"/>
      <c r="J25" s="948"/>
      <c r="K25" s="948"/>
      <c r="L25" s="948"/>
      <c r="M25" s="948"/>
      <c r="N25" s="948"/>
      <c r="O25" s="948"/>
      <c r="P25" s="948"/>
      <c r="Q25" s="949"/>
      <c r="R25" s="692">
        <f>SUM(C25:Q25)</f>
        <v>1389.0930308492871</v>
      </c>
      <c r="S25" s="67"/>
    </row>
    <row r="26" spans="1:19" s="451" customFormat="1" ht="15.75" thickBot="1">
      <c r="A26" s="697" t="s">
        <v>715</v>
      </c>
      <c r="B26" s="819"/>
      <c r="C26" s="814">
        <f>SUM(C24:C25)</f>
        <v>1575.960559644448</v>
      </c>
      <c r="D26" s="814">
        <f t="shared" ref="D26:R26" si="2">SUM(D24:D25)</f>
        <v>32721.428571428572</v>
      </c>
      <c r="E26" s="814">
        <f t="shared" si="2"/>
        <v>825.17098022290907</v>
      </c>
      <c r="F26" s="814">
        <f t="shared" si="2"/>
        <v>37.742011606255517</v>
      </c>
      <c r="G26" s="814">
        <f t="shared" si="2"/>
        <v>3283.4439903281013</v>
      </c>
      <c r="H26" s="814">
        <f t="shared" si="2"/>
        <v>0</v>
      </c>
      <c r="I26" s="814">
        <f t="shared" si="2"/>
        <v>0</v>
      </c>
      <c r="J26" s="814">
        <f t="shared" si="2"/>
        <v>0</v>
      </c>
      <c r="K26" s="814">
        <f t="shared" si="2"/>
        <v>265.66510495737799</v>
      </c>
      <c r="L26" s="814">
        <f t="shared" si="2"/>
        <v>0</v>
      </c>
      <c r="M26" s="814">
        <f t="shared" si="2"/>
        <v>0</v>
      </c>
      <c r="N26" s="814">
        <f t="shared" si="2"/>
        <v>0</v>
      </c>
      <c r="O26" s="814">
        <f t="shared" si="2"/>
        <v>0</v>
      </c>
      <c r="P26" s="814">
        <f t="shared" si="2"/>
        <v>0</v>
      </c>
      <c r="Q26" s="814">
        <f t="shared" si="2"/>
        <v>0</v>
      </c>
      <c r="R26" s="814">
        <f t="shared" si="2"/>
        <v>38709.41121818767</v>
      </c>
      <c r="S26" s="67"/>
    </row>
    <row r="27" spans="1:19" s="451" customFormat="1" ht="17.25" thickTop="1" thickBot="1">
      <c r="A27" s="698" t="s">
        <v>115</v>
      </c>
      <c r="B27" s="806"/>
      <c r="C27" s="699">
        <f ca="1">C22+C16+C26</f>
        <v>32474.219785810688</v>
      </c>
      <c r="D27" s="699">
        <f t="shared" ref="D27:R27" ca="1" si="3">D22+D16+D26</f>
        <v>32721.428571428572</v>
      </c>
      <c r="E27" s="699">
        <f t="shared" ca="1" si="3"/>
        <v>65557.161206732242</v>
      </c>
      <c r="F27" s="699">
        <f t="shared" si="3"/>
        <v>5916.5474295798076</v>
      </c>
      <c r="G27" s="699">
        <f t="shared" ca="1" si="3"/>
        <v>11147.582213918287</v>
      </c>
      <c r="H27" s="699">
        <f t="shared" si="3"/>
        <v>31619.384105609843</v>
      </c>
      <c r="I27" s="699">
        <f t="shared" si="3"/>
        <v>8655.2278935678041</v>
      </c>
      <c r="J27" s="699">
        <f t="shared" si="3"/>
        <v>0</v>
      </c>
      <c r="K27" s="699">
        <f t="shared" si="3"/>
        <v>265.86356081468602</v>
      </c>
      <c r="L27" s="699">
        <f t="shared" si="3"/>
        <v>0</v>
      </c>
      <c r="M27" s="699">
        <f t="shared" ca="1" si="3"/>
        <v>0</v>
      </c>
      <c r="N27" s="699">
        <f t="shared" si="3"/>
        <v>2380.9987919357336</v>
      </c>
      <c r="O27" s="699">
        <f t="shared" ca="1" si="3"/>
        <v>13152.135859099571</v>
      </c>
      <c r="P27" s="699">
        <f t="shared" si="3"/>
        <v>242.97224709228496</v>
      </c>
      <c r="Q27" s="699">
        <f t="shared" si="3"/>
        <v>547.76588399962122</v>
      </c>
      <c r="R27" s="699">
        <f t="shared" ca="1" si="3"/>
        <v>204681.28754958912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2367.8779577083569</v>
      </c>
      <c r="D40" s="689">
        <f ca="1">tertiair!C20</f>
        <v>0</v>
      </c>
      <c r="E40" s="689">
        <f ca="1">tertiair!D20</f>
        <v>2714.1173670094013</v>
      </c>
      <c r="F40" s="689">
        <f>tertiair!E20</f>
        <v>6.1267467538587459</v>
      </c>
      <c r="G40" s="689">
        <f ca="1">tertiair!F20</f>
        <v>391.64195834942211</v>
      </c>
      <c r="H40" s="689">
        <f>tertiair!G20</f>
        <v>0</v>
      </c>
      <c r="I40" s="689">
        <f>tertiair!H20</f>
        <v>0</v>
      </c>
      <c r="J40" s="689">
        <f>tertiair!I20</f>
        <v>0</v>
      </c>
      <c r="K40" s="689">
        <f>tertiair!J20</f>
        <v>3.0414152107074918E-3</v>
      </c>
      <c r="L40" s="689">
        <f>tertiair!K20</f>
        <v>0</v>
      </c>
      <c r="M40" s="689">
        <f ca="1">tertiair!L20</f>
        <v>0</v>
      </c>
      <c r="N40" s="689">
        <f>tertiair!M20</f>
        <v>0</v>
      </c>
      <c r="O40" s="689">
        <f ca="1">tertiair!N20</f>
        <v>0</v>
      </c>
      <c r="P40" s="689">
        <f>tertiair!O20</f>
        <v>0</v>
      </c>
      <c r="Q40" s="772">
        <f>tertiair!P20</f>
        <v>0</v>
      </c>
      <c r="R40" s="852">
        <f t="shared" ca="1" si="4"/>
        <v>5479.7670712362496</v>
      </c>
    </row>
    <row r="41" spans="1:18">
      <c r="A41" s="824" t="s">
        <v>224</v>
      </c>
      <c r="B41" s="831"/>
      <c r="C41" s="689">
        <f ca="1">huishoudens!B12</f>
        <v>3845.0602204502134</v>
      </c>
      <c r="D41" s="689">
        <f ca="1">huishoudens!C12</f>
        <v>0</v>
      </c>
      <c r="E41" s="689">
        <f>huishoudens!D12</f>
        <v>9970.7014805863782</v>
      </c>
      <c r="F41" s="689">
        <f>huishoudens!E12</f>
        <v>1310.7687445355075</v>
      </c>
      <c r="G41" s="689">
        <f>huishoudens!F12</f>
        <v>1587.6329074232422</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16714.163352995343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279.6875957895744</v>
      </c>
      <c r="D43" s="689">
        <f ca="1">industrie!C22</f>
        <v>0</v>
      </c>
      <c r="E43" s="689">
        <f>industrie!D22</f>
        <v>363.64873507830941</v>
      </c>
      <c r="F43" s="689">
        <f>industrie!E22</f>
        <v>1.0217892243239886</v>
      </c>
      <c r="G43" s="689">
        <f>industrie!F22</f>
        <v>120.45003992591549</v>
      </c>
      <c r="H43" s="689">
        <f>industrie!G22</f>
        <v>0</v>
      </c>
      <c r="I43" s="689">
        <f>industrie!H22</f>
        <v>0</v>
      </c>
      <c r="J43" s="689">
        <f>industrie!I22</f>
        <v>0</v>
      </c>
      <c r="K43" s="689">
        <f>industrie!J22</f>
        <v>6.7211958276340036E-2</v>
      </c>
      <c r="L43" s="689">
        <f>industrie!K22</f>
        <v>0</v>
      </c>
      <c r="M43" s="689">
        <f>industrie!L22</f>
        <v>0</v>
      </c>
      <c r="N43" s="689">
        <f>industrie!M22</f>
        <v>0</v>
      </c>
      <c r="O43" s="689">
        <f>industrie!N22</f>
        <v>0</v>
      </c>
      <c r="P43" s="689">
        <f>industrie!O22</f>
        <v>0</v>
      </c>
      <c r="Q43" s="772">
        <f>industrie!P22</f>
        <v>0</v>
      </c>
      <c r="R43" s="851">
        <f t="shared" ca="1" si="4"/>
        <v>764.87537197639961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6492.6257739481453</v>
      </c>
      <c r="D46" s="725">
        <f t="shared" ref="D46:Q46" ca="1" si="5">SUM(D39:D45)</f>
        <v>0</v>
      </c>
      <c r="E46" s="725">
        <f t="shared" ca="1" si="5"/>
        <v>13048.467582674089</v>
      </c>
      <c r="F46" s="725">
        <f t="shared" si="5"/>
        <v>1317.9172805136902</v>
      </c>
      <c r="G46" s="725">
        <f t="shared" ca="1" si="5"/>
        <v>2099.7249056985797</v>
      </c>
      <c r="H46" s="725">
        <f t="shared" si="5"/>
        <v>0</v>
      </c>
      <c r="I46" s="725">
        <f t="shared" si="5"/>
        <v>0</v>
      </c>
      <c r="J46" s="725">
        <f t="shared" si="5"/>
        <v>0</v>
      </c>
      <c r="K46" s="725">
        <f t="shared" si="5"/>
        <v>7.0253373487047521E-2</v>
      </c>
      <c r="L46" s="725">
        <f t="shared" si="5"/>
        <v>0</v>
      </c>
      <c r="M46" s="725">
        <f t="shared" ca="1" si="5"/>
        <v>0</v>
      </c>
      <c r="N46" s="725">
        <f t="shared" si="5"/>
        <v>0</v>
      </c>
      <c r="O46" s="725">
        <f t="shared" ca="1" si="5"/>
        <v>0</v>
      </c>
      <c r="P46" s="725">
        <f t="shared" si="5"/>
        <v>0</v>
      </c>
      <c r="Q46" s="725">
        <f t="shared" si="5"/>
        <v>0</v>
      </c>
      <c r="R46" s="725">
        <f ca="1">SUM(R39:R45)</f>
        <v>22958.805796207991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117.97757209051053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117.97757209051053</v>
      </c>
    </row>
    <row r="50" spans="1:18">
      <c r="A50" s="827" t="s">
        <v>306</v>
      </c>
      <c r="B50" s="837"/>
      <c r="C50" s="695">
        <f ca="1">transport!B18</f>
        <v>7.2792049731363857</v>
      </c>
      <c r="D50" s="695">
        <f>transport!C18</f>
        <v>0</v>
      </c>
      <c r="E50" s="695">
        <f>transport!D18</f>
        <v>27.394443080796737</v>
      </c>
      <c r="F50" s="695">
        <f>transport!E18</f>
        <v>16.571549366306346</v>
      </c>
      <c r="G50" s="695">
        <f>transport!F18</f>
        <v>0</v>
      </c>
      <c r="H50" s="695">
        <f>transport!G18</f>
        <v>8324.3979841073178</v>
      </c>
      <c r="I50" s="695">
        <f>transport!H18</f>
        <v>2155.1517454983832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10530.794927025941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7.2792049731363857</v>
      </c>
      <c r="D52" s="725">
        <f t="shared" ref="D52:Q52" ca="1" si="6">SUM(D48:D51)</f>
        <v>0</v>
      </c>
      <c r="E52" s="725">
        <f t="shared" si="6"/>
        <v>27.394443080796737</v>
      </c>
      <c r="F52" s="725">
        <f t="shared" si="6"/>
        <v>16.571549366306346</v>
      </c>
      <c r="G52" s="725">
        <f t="shared" si="6"/>
        <v>0</v>
      </c>
      <c r="H52" s="725">
        <f t="shared" si="6"/>
        <v>8442.3755561978287</v>
      </c>
      <c r="I52" s="725">
        <f t="shared" si="6"/>
        <v>2155.1517454983832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10648.772499116452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212.89724108651086</v>
      </c>
      <c r="D54" s="695">
        <f ca="1">+landbouw!C12</f>
        <v>7776.1512605042026</v>
      </c>
      <c r="E54" s="695">
        <f>+landbouw!D12</f>
        <v>0</v>
      </c>
      <c r="F54" s="695">
        <f>+landbouw!E12</f>
        <v>8.5674366346200017</v>
      </c>
      <c r="G54" s="695">
        <f>+landbouw!F12</f>
        <v>876.67954541760309</v>
      </c>
      <c r="H54" s="695">
        <f>+landbouw!G12</f>
        <v>0</v>
      </c>
      <c r="I54" s="695">
        <f>+landbouw!H12</f>
        <v>0</v>
      </c>
      <c r="J54" s="695">
        <f>+landbouw!I12</f>
        <v>0</v>
      </c>
      <c r="K54" s="695">
        <f>+landbouw!J12</f>
        <v>94.045447154911798</v>
      </c>
      <c r="L54" s="695">
        <f>+landbouw!K12</f>
        <v>0</v>
      </c>
      <c r="M54" s="695">
        <f>+landbouw!L12</f>
        <v>0</v>
      </c>
      <c r="N54" s="695">
        <f>+landbouw!M12</f>
        <v>0</v>
      </c>
      <c r="O54" s="695">
        <f>+landbouw!N12</f>
        <v>0</v>
      </c>
      <c r="P54" s="695">
        <f>+landbouw!O12</f>
        <v>0</v>
      </c>
      <c r="Q54" s="696">
        <f>+landbouw!P12</f>
        <v>0</v>
      </c>
      <c r="R54" s="724">
        <f ca="1">SUM(C54:Q54)</f>
        <v>8968.3409307978472</v>
      </c>
    </row>
    <row r="55" spans="1:18" ht="15" thickBot="1">
      <c r="A55" s="827" t="s">
        <v>714</v>
      </c>
      <c r="B55" s="837"/>
      <c r="C55" s="695">
        <f ca="1">C25*'EF ele_warmte'!B12</f>
        <v>118.62932852494841</v>
      </c>
      <c r="D55" s="695"/>
      <c r="E55" s="695">
        <f>E25*EF_CO2_aardgas</f>
        <v>166.68453800502763</v>
      </c>
      <c r="F55" s="695"/>
      <c r="G55" s="695"/>
      <c r="H55" s="695"/>
      <c r="I55" s="695"/>
      <c r="J55" s="695"/>
      <c r="K55" s="695"/>
      <c r="L55" s="695"/>
      <c r="M55" s="695"/>
      <c r="N55" s="695"/>
      <c r="O55" s="695"/>
      <c r="P55" s="695"/>
      <c r="Q55" s="696"/>
      <c r="R55" s="724">
        <f ca="1">SUM(C55:Q55)</f>
        <v>285.31386652997605</v>
      </c>
    </row>
    <row r="56" spans="1:18" ht="15.75" thickBot="1">
      <c r="A56" s="825" t="s">
        <v>715</v>
      </c>
      <c r="B56" s="838"/>
      <c r="C56" s="725">
        <f ca="1">SUM(C54:C55)</f>
        <v>331.52656961145925</v>
      </c>
      <c r="D56" s="725">
        <f t="shared" ref="D56:Q56" ca="1" si="7">SUM(D54:D55)</f>
        <v>7776.1512605042026</v>
      </c>
      <c r="E56" s="725">
        <f t="shared" si="7"/>
        <v>166.68453800502763</v>
      </c>
      <c r="F56" s="725">
        <f t="shared" si="7"/>
        <v>8.5674366346200017</v>
      </c>
      <c r="G56" s="725">
        <f t="shared" si="7"/>
        <v>876.67954541760309</v>
      </c>
      <c r="H56" s="725">
        <f t="shared" si="7"/>
        <v>0</v>
      </c>
      <c r="I56" s="725">
        <f t="shared" si="7"/>
        <v>0</v>
      </c>
      <c r="J56" s="725">
        <f t="shared" si="7"/>
        <v>0</v>
      </c>
      <c r="K56" s="725">
        <f t="shared" si="7"/>
        <v>94.045447154911798</v>
      </c>
      <c r="L56" s="725">
        <f t="shared" si="7"/>
        <v>0</v>
      </c>
      <c r="M56" s="725">
        <f t="shared" si="7"/>
        <v>0</v>
      </c>
      <c r="N56" s="725">
        <f t="shared" si="7"/>
        <v>0</v>
      </c>
      <c r="O56" s="725">
        <f t="shared" si="7"/>
        <v>0</v>
      </c>
      <c r="P56" s="725">
        <f t="shared" si="7"/>
        <v>0</v>
      </c>
      <c r="Q56" s="726">
        <f t="shared" si="7"/>
        <v>0</v>
      </c>
      <c r="R56" s="727">
        <f ca="1">SUM(R54:R55)</f>
        <v>9253.654797327823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6831.4315485327406</v>
      </c>
      <c r="D61" s="733">
        <f t="shared" ref="D61:Q61" ca="1" si="8">D46+D52+D56</f>
        <v>7776.1512605042026</v>
      </c>
      <c r="E61" s="733">
        <f t="shared" ca="1" si="8"/>
        <v>13242.546563759914</v>
      </c>
      <c r="F61" s="733">
        <f t="shared" si="8"/>
        <v>1343.0562665146165</v>
      </c>
      <c r="G61" s="733">
        <f t="shared" ca="1" si="8"/>
        <v>2976.4044511161828</v>
      </c>
      <c r="H61" s="733">
        <f t="shared" si="8"/>
        <v>8442.3755561978287</v>
      </c>
      <c r="I61" s="733">
        <f t="shared" si="8"/>
        <v>2155.1517454983832</v>
      </c>
      <c r="J61" s="733">
        <f t="shared" si="8"/>
        <v>0</v>
      </c>
      <c r="K61" s="733">
        <f t="shared" si="8"/>
        <v>94.115700528398847</v>
      </c>
      <c r="L61" s="733">
        <f t="shared" si="8"/>
        <v>0</v>
      </c>
      <c r="M61" s="733">
        <f t="shared" ca="1" si="8"/>
        <v>0</v>
      </c>
      <c r="N61" s="733">
        <f t="shared" si="8"/>
        <v>0</v>
      </c>
      <c r="O61" s="733">
        <f t="shared" ca="1" si="8"/>
        <v>0</v>
      </c>
      <c r="P61" s="733">
        <f t="shared" si="8"/>
        <v>0</v>
      </c>
      <c r="Q61" s="733">
        <f t="shared" si="8"/>
        <v>0</v>
      </c>
      <c r="R61" s="733">
        <f ca="1">R46+R52+R56</f>
        <v>42861.233092652263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0.21036476299016957</v>
      </c>
      <c r="D63" s="779">
        <f t="shared" ca="1" si="9"/>
        <v>0.23764705882352943</v>
      </c>
      <c r="E63" s="973">
        <f t="shared" ca="1" si="9"/>
        <v>0.20200000000000001</v>
      </c>
      <c r="F63" s="779">
        <f t="shared" si="9"/>
        <v>0.22700000000000004</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3288.1081741373901</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22905</v>
      </c>
      <c r="D76" s="956">
        <f>'lokale energieproductie'!C8</f>
        <v>26947.058823529413</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5443.3058823529418</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3288.1081741373901</v>
      </c>
      <c r="C78" s="751">
        <f>SUM(C72:C77)</f>
        <v>22905</v>
      </c>
      <c r="D78" s="752">
        <f t="shared" ref="D78:H78" si="10">SUM(D76:D77)</f>
        <v>26947.058823529413</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5443.3058823529418</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32721.428571428572</v>
      </c>
      <c r="D87" s="775">
        <f>'lokale energieproductie'!C17</f>
        <v>38495.798319327732</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7776.1512605042026</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32721.428571428572</v>
      </c>
      <c r="D90" s="751">
        <f t="shared" ref="D90:H90" si="12">SUM(D87:D89)</f>
        <v>38495.798319327732</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7776.1512605042026</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85" zoomScale="65" zoomScaleNormal="65" workbookViewId="0">
      <selection activeCell="M30" sqref="M30"/>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3288.1081741373901</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N31</f>
        <v>22905</v>
      </c>
      <c r="C8" s="551">
        <f>B50</f>
        <v>26947.058823529413</v>
      </c>
      <c r="D8" s="552"/>
      <c r="E8" s="552">
        <f>E50</f>
        <v>0</v>
      </c>
      <c r="F8" s="553"/>
      <c r="G8" s="554"/>
      <c r="H8" s="552">
        <f>I50</f>
        <v>0</v>
      </c>
      <c r="I8" s="552">
        <f>G50+F50</f>
        <v>0</v>
      </c>
      <c r="J8" s="552">
        <f>H50+D50+C50</f>
        <v>0</v>
      </c>
      <c r="K8" s="552"/>
      <c r="L8" s="552"/>
      <c r="M8" s="552"/>
      <c r="N8" s="555"/>
      <c r="O8" s="556">
        <f>C8*$C$12+D8*$D$12+E8*$E$12+F8*$F$12+G8*$G$12+H8*$H$12+I8*$I$12+J8*$J$12</f>
        <v>5443.3058823529418</v>
      </c>
      <c r="P8" s="1256"/>
      <c r="Q8" s="1257"/>
      <c r="S8" s="546"/>
      <c r="T8" s="1244"/>
      <c r="U8" s="1244"/>
    </row>
    <row r="9" spans="1:21" s="537" customFormat="1" ht="17.45" customHeight="1" thickBot="1">
      <c r="A9" s="557" t="s">
        <v>247</v>
      </c>
      <c r="B9" s="558">
        <f>N38+'Eigen informatie GS &amp; warmtenet'!B12</f>
        <v>0</v>
      </c>
      <c r="C9" s="559">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26193.108174137389</v>
      </c>
      <c r="C10" s="566">
        <f t="shared" ref="C10:L10" si="0">SUM(C8:C9)</f>
        <v>26947.058823529413</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5443.3058823529418</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O31</f>
        <v>32721.428571428572</v>
      </c>
      <c r="C17" s="582">
        <f>B51</f>
        <v>38495.798319327732</v>
      </c>
      <c r="D17" s="583"/>
      <c r="E17" s="583">
        <f>E51</f>
        <v>0</v>
      </c>
      <c r="F17" s="584"/>
      <c r="G17" s="585"/>
      <c r="H17" s="582">
        <f>I51</f>
        <v>0</v>
      </c>
      <c r="I17" s="583">
        <f>G51+F51</f>
        <v>0</v>
      </c>
      <c r="J17" s="583">
        <f>H51+D51+C51</f>
        <v>0</v>
      </c>
      <c r="K17" s="583"/>
      <c r="L17" s="583"/>
      <c r="M17" s="583"/>
      <c r="N17" s="970"/>
      <c r="O17" s="586">
        <f>C17*$C$22+E17*$E$22+H17*$H$22+I17*$I$22+J17*$J$22+D17*$D$22+F17*$F$22+G17*$G$22+K17*$K$22+L17*$L$22</f>
        <v>7776.1512605042026</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32721.428571428572</v>
      </c>
      <c r="C20" s="565">
        <f>SUM(C17:C19)</f>
        <v>38495.798319327732</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7776.1512605042026</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12002</v>
      </c>
      <c r="C28" s="794">
        <v>2590</v>
      </c>
      <c r="D28" s="643" t="s">
        <v>865</v>
      </c>
      <c r="E28" s="642" t="s">
        <v>866</v>
      </c>
      <c r="F28" s="642" t="s">
        <v>867</v>
      </c>
      <c r="G28" s="642" t="s">
        <v>868</v>
      </c>
      <c r="H28" s="642" t="s">
        <v>869</v>
      </c>
      <c r="I28" s="642" t="s">
        <v>866</v>
      </c>
      <c r="J28" s="793">
        <v>39370</v>
      </c>
      <c r="K28" s="793">
        <v>39444</v>
      </c>
      <c r="L28" s="642" t="s">
        <v>870</v>
      </c>
      <c r="M28" s="642">
        <v>1532</v>
      </c>
      <c r="N28" s="642">
        <v>6894</v>
      </c>
      <c r="O28" s="642">
        <v>9848.5714285714294</v>
      </c>
      <c r="P28" s="642">
        <v>19697.142857142859</v>
      </c>
      <c r="Q28" s="642">
        <v>0</v>
      </c>
      <c r="R28" s="642">
        <v>0</v>
      </c>
      <c r="S28" s="642">
        <v>0</v>
      </c>
      <c r="T28" s="642">
        <v>0</v>
      </c>
      <c r="U28" s="642">
        <v>0</v>
      </c>
      <c r="V28" s="642">
        <v>0</v>
      </c>
      <c r="W28" s="642">
        <v>0</v>
      </c>
      <c r="X28" s="642">
        <v>10</v>
      </c>
      <c r="Y28" s="642" t="s">
        <v>111</v>
      </c>
      <c r="Z28" s="644" t="s">
        <v>111</v>
      </c>
    </row>
    <row r="29" spans="1:26" s="596" customFormat="1" ht="25.5">
      <c r="A29" s="595"/>
      <c r="B29" s="794">
        <v>12002</v>
      </c>
      <c r="C29" s="794">
        <v>2590</v>
      </c>
      <c r="D29" s="643" t="s">
        <v>871</v>
      </c>
      <c r="E29" s="642" t="s">
        <v>872</v>
      </c>
      <c r="F29" s="642" t="s">
        <v>873</v>
      </c>
      <c r="G29" s="642" t="s">
        <v>868</v>
      </c>
      <c r="H29" s="642" t="s">
        <v>869</v>
      </c>
      <c r="I29" s="642" t="s">
        <v>872</v>
      </c>
      <c r="J29" s="793">
        <v>39736</v>
      </c>
      <c r="K29" s="793">
        <v>43424</v>
      </c>
      <c r="L29" s="642" t="s">
        <v>874</v>
      </c>
      <c r="M29" s="642">
        <v>1560</v>
      </c>
      <c r="N29" s="642">
        <v>7020</v>
      </c>
      <c r="O29" s="642">
        <v>10028.571428571429</v>
      </c>
      <c r="P29" s="642">
        <v>20057.142857142859</v>
      </c>
      <c r="Q29" s="642">
        <v>0</v>
      </c>
      <c r="R29" s="642">
        <v>0</v>
      </c>
      <c r="S29" s="642">
        <v>0</v>
      </c>
      <c r="T29" s="642">
        <v>0</v>
      </c>
      <c r="U29" s="642">
        <v>0</v>
      </c>
      <c r="V29" s="642">
        <v>0</v>
      </c>
      <c r="W29" s="642">
        <v>0</v>
      </c>
      <c r="X29" s="642">
        <v>10</v>
      </c>
      <c r="Y29" s="642" t="s">
        <v>111</v>
      </c>
      <c r="Z29" s="644" t="s">
        <v>111</v>
      </c>
    </row>
    <row r="30" spans="1:26" s="596" customFormat="1" ht="25.5">
      <c r="A30" s="595"/>
      <c r="B30" s="794">
        <v>12002</v>
      </c>
      <c r="C30" s="794">
        <v>2590</v>
      </c>
      <c r="D30" s="643" t="s">
        <v>875</v>
      </c>
      <c r="E30" s="642" t="s">
        <v>876</v>
      </c>
      <c r="F30" s="642" t="s">
        <v>877</v>
      </c>
      <c r="G30" s="642" t="s">
        <v>868</v>
      </c>
      <c r="H30" s="642" t="s">
        <v>869</v>
      </c>
      <c r="I30" s="642" t="s">
        <v>876</v>
      </c>
      <c r="J30" s="793">
        <v>40294</v>
      </c>
      <c r="K30" s="793">
        <v>40347</v>
      </c>
      <c r="L30" s="642" t="s">
        <v>870</v>
      </c>
      <c r="M30" s="642">
        <v>1998</v>
      </c>
      <c r="N30" s="642">
        <v>8991</v>
      </c>
      <c r="O30" s="642">
        <v>12844.285714285714</v>
      </c>
      <c r="P30" s="642">
        <v>25688.571428571431</v>
      </c>
      <c r="Q30" s="642">
        <v>0</v>
      </c>
      <c r="R30" s="642">
        <v>0</v>
      </c>
      <c r="S30" s="642">
        <v>0</v>
      </c>
      <c r="T30" s="642">
        <v>0</v>
      </c>
      <c r="U30" s="642">
        <v>0</v>
      </c>
      <c r="V30" s="642">
        <v>0</v>
      </c>
      <c r="W30" s="642">
        <v>0</v>
      </c>
      <c r="X30" s="642">
        <v>10</v>
      </c>
      <c r="Y30" s="642" t="s">
        <v>111</v>
      </c>
      <c r="Z30" s="644" t="s">
        <v>111</v>
      </c>
    </row>
    <row r="31" spans="1:26" s="576" customFormat="1">
      <c r="A31" s="598" t="s">
        <v>279</v>
      </c>
      <c r="B31" s="599"/>
      <c r="C31" s="599"/>
      <c r="D31" s="599"/>
      <c r="E31" s="599"/>
      <c r="F31" s="599"/>
      <c r="G31" s="599"/>
      <c r="H31" s="599"/>
      <c r="I31" s="599"/>
      <c r="J31" s="599"/>
      <c r="K31" s="599"/>
      <c r="L31" s="600"/>
      <c r="M31" s="600">
        <f>SUM(M28:M30)</f>
        <v>5090</v>
      </c>
      <c r="N31" s="600">
        <f>SUM(N28:N30)</f>
        <v>22905</v>
      </c>
      <c r="O31" s="600">
        <f>SUM(O28:O30)</f>
        <v>32721.428571428572</v>
      </c>
      <c r="P31" s="600">
        <f>SUM(P28:P30)</f>
        <v>65442.857142857145</v>
      </c>
      <c r="Q31" s="600">
        <f>SUM(Q28:Q30)</f>
        <v>0</v>
      </c>
      <c r="R31" s="600">
        <f>SUM(R28:R30)</f>
        <v>0</v>
      </c>
      <c r="S31" s="600">
        <f>SUM(S28:S30)</f>
        <v>0</v>
      </c>
      <c r="T31" s="600">
        <f>SUM(T28:T30)</f>
        <v>0</v>
      </c>
      <c r="U31" s="600">
        <f>SUM(U28:U30)</f>
        <v>0</v>
      </c>
      <c r="V31" s="600">
        <f>SUM(V28:V30)</f>
        <v>0</v>
      </c>
      <c r="W31" s="600">
        <f>SUM(W28:W30)</f>
        <v>0</v>
      </c>
      <c r="X31" s="601"/>
      <c r="Y31" s="601"/>
      <c r="Z31" s="602"/>
    </row>
    <row r="32" spans="1:26" s="576" customFormat="1">
      <c r="A32" s="598" t="s">
        <v>286</v>
      </c>
      <c r="B32" s="599"/>
      <c r="C32" s="599"/>
      <c r="D32" s="599"/>
      <c r="E32" s="599"/>
      <c r="F32" s="599"/>
      <c r="G32" s="599"/>
      <c r="H32" s="599"/>
      <c r="I32" s="599"/>
      <c r="J32" s="599"/>
      <c r="K32" s="599"/>
      <c r="L32" s="600"/>
      <c r="M32" s="600">
        <f>SUMIF($Z$28:$Z$30,"industrie",M28:M30)</f>
        <v>0</v>
      </c>
      <c r="N32" s="600">
        <f>SUMIF($Z$28:$Z$30,"industrie",N28:N30)</f>
        <v>0</v>
      </c>
      <c r="O32" s="600">
        <f>SUMIF($Z$28:$Z$30,"industrie",O28:O30)</f>
        <v>0</v>
      </c>
      <c r="P32" s="600">
        <f>SUMIF($Z$28:$Z$30,"industrie",P28:P30)</f>
        <v>0</v>
      </c>
      <c r="Q32" s="600">
        <f>SUMIF($Z$28:$Z$30,"industrie",Q28:Q30)</f>
        <v>0</v>
      </c>
      <c r="R32" s="600">
        <f>SUMIF($Z$28:$Z$30,"industrie",R28:R30)</f>
        <v>0</v>
      </c>
      <c r="S32" s="600">
        <f>SUMIF($Z$28:$Z$30,"industrie",S28:S30)</f>
        <v>0</v>
      </c>
      <c r="T32" s="600">
        <f>SUMIF($Z$28:$Z$30,"industrie",T28:T30)</f>
        <v>0</v>
      </c>
      <c r="U32" s="600">
        <f>SUMIF($Z$28:$Z$30,"industrie",U28:U30)</f>
        <v>0</v>
      </c>
      <c r="V32" s="600">
        <f>SUMIF($Z$28:$Z$30,"industrie",V28:V30)</f>
        <v>0</v>
      </c>
      <c r="W32" s="600">
        <f>SUMIF($Z$28:$Z$30,"industrie",W28:W30)</f>
        <v>0</v>
      </c>
      <c r="X32" s="601"/>
      <c r="Y32" s="601"/>
      <c r="Z32" s="602"/>
    </row>
    <row r="33" spans="1:27" s="576" customFormat="1">
      <c r="A33" s="598" t="s">
        <v>287</v>
      </c>
      <c r="B33" s="599"/>
      <c r="C33" s="599"/>
      <c r="D33" s="599"/>
      <c r="E33" s="599"/>
      <c r="F33" s="599"/>
      <c r="G33" s="599"/>
      <c r="H33" s="599"/>
      <c r="I33" s="599"/>
      <c r="J33" s="599"/>
      <c r="K33" s="599"/>
      <c r="L33" s="600"/>
      <c r="M33" s="600">
        <f ca="1">SUMIF($Z$28:AC30,"tertiair",M28:M30)</f>
        <v>0</v>
      </c>
      <c r="N33" s="600">
        <f ca="1">SUMIF($Z$28:AD30,"tertiair",N28:N30)</f>
        <v>0</v>
      </c>
      <c r="O33" s="600">
        <f ca="1">SUMIF($Z$28:AE30,"tertiair",O28:O30)</f>
        <v>0</v>
      </c>
      <c r="P33" s="600">
        <f ca="1">SUMIF($Z$28:AF30,"tertiair",P28:P30)</f>
        <v>0</v>
      </c>
      <c r="Q33" s="600">
        <f ca="1">SUMIF($Z$28:AG30,"tertiair",Q28:Q30)</f>
        <v>0</v>
      </c>
      <c r="R33" s="600">
        <f ca="1">SUMIF($Z$28:AH30,"tertiair",R28:R30)</f>
        <v>0</v>
      </c>
      <c r="S33" s="600">
        <f ca="1">SUMIF($Z$28:AI30,"tertiair",S28:S30)</f>
        <v>0</v>
      </c>
      <c r="T33" s="600">
        <f ca="1">SUMIF($Z$28:AJ30,"tertiair",T28:T30)</f>
        <v>0</v>
      </c>
      <c r="U33" s="600">
        <f ca="1">SUMIF($Z$28:AK30,"tertiair",U28:U30)</f>
        <v>0</v>
      </c>
      <c r="V33" s="600">
        <f ca="1">SUMIF($Z$28:AL30,"tertiair",V28:V30)</f>
        <v>0</v>
      </c>
      <c r="W33" s="600">
        <f ca="1">SUMIF($Z$28:AM30,"tertiair",W28:W30)</f>
        <v>0</v>
      </c>
      <c r="X33" s="601"/>
      <c r="Y33" s="601"/>
      <c r="Z33" s="602"/>
    </row>
    <row r="34" spans="1:27" s="576" customFormat="1" ht="15.75" thickBot="1">
      <c r="A34" s="603" t="s">
        <v>288</v>
      </c>
      <c r="B34" s="604"/>
      <c r="C34" s="604"/>
      <c r="D34" s="604"/>
      <c r="E34" s="604"/>
      <c r="F34" s="604"/>
      <c r="G34" s="604"/>
      <c r="H34" s="604"/>
      <c r="I34" s="604"/>
      <c r="J34" s="604"/>
      <c r="K34" s="604"/>
      <c r="L34" s="605"/>
      <c r="M34" s="605">
        <f>SUMIF($Z$28:$Z$30,"landbouw",M28:M30)</f>
        <v>5090</v>
      </c>
      <c r="N34" s="605">
        <f>SUMIF($Z$28:$Z$30,"landbouw",N28:N30)</f>
        <v>22905</v>
      </c>
      <c r="O34" s="605">
        <f>SUMIF($Z$28:$Z$30,"landbouw",O28:O30)</f>
        <v>32721.428571428572</v>
      </c>
      <c r="P34" s="605">
        <f>SUMIF($Z$28:$Z$30,"landbouw",P28:P30)</f>
        <v>65442.857142857145</v>
      </c>
      <c r="Q34" s="605">
        <f>SUMIF($Z$28:$Z$30,"landbouw",Q28:Q30)</f>
        <v>0</v>
      </c>
      <c r="R34" s="605">
        <f>SUMIF($Z$28:$Z$30,"landbouw",R28:R30)</f>
        <v>0</v>
      </c>
      <c r="S34" s="605">
        <f>SUMIF($Z$28:$Z$30,"landbouw",S28:S30)</f>
        <v>0</v>
      </c>
      <c r="T34" s="605">
        <f>SUMIF($Z$28:$Z$30,"landbouw",T28:T30)</f>
        <v>0</v>
      </c>
      <c r="U34" s="605">
        <f>SUMIF($Z$28:$Z$30,"landbouw",U28:U30)</f>
        <v>0</v>
      </c>
      <c r="V34" s="605">
        <f>SUMIF($Z$28:$Z$30,"landbouw",V28:V30)</f>
        <v>0</v>
      </c>
      <c r="W34" s="605">
        <f>SUMIF($Z$28:$Z$30,"landbouw",W28:W30)</f>
        <v>0</v>
      </c>
      <c r="X34" s="606"/>
      <c r="Y34" s="606"/>
      <c r="Z34" s="607"/>
    </row>
    <row r="35" spans="1:27" s="537" customFormat="1" ht="15.75" thickBot="1">
      <c r="A35" s="608"/>
      <c r="B35" s="609"/>
      <c r="C35" s="609"/>
      <c r="D35" s="609"/>
      <c r="E35" s="609"/>
      <c r="F35" s="609"/>
      <c r="G35" s="609"/>
      <c r="H35" s="609"/>
      <c r="I35" s="609"/>
      <c r="J35" s="609"/>
      <c r="K35" s="609"/>
      <c r="L35" s="592"/>
      <c r="M35" s="592"/>
      <c r="N35" s="592"/>
      <c r="O35" s="593"/>
      <c r="P35" s="593"/>
    </row>
    <row r="36" spans="1:27" s="537" customFormat="1" ht="45">
      <c r="A36" s="610" t="s">
        <v>280</v>
      </c>
      <c r="B36" s="639" t="s">
        <v>89</v>
      </c>
      <c r="C36" s="639" t="s">
        <v>90</v>
      </c>
      <c r="D36" s="639" t="s">
        <v>91</v>
      </c>
      <c r="E36" s="639" t="s">
        <v>92</v>
      </c>
      <c r="F36" s="639" t="s">
        <v>93</v>
      </c>
      <c r="G36" s="639" t="s">
        <v>94</v>
      </c>
      <c r="H36" s="639" t="s">
        <v>95</v>
      </c>
      <c r="I36" s="639" t="s">
        <v>96</v>
      </c>
      <c r="J36" s="639" t="s">
        <v>97</v>
      </c>
      <c r="K36" s="639" t="s">
        <v>98</v>
      </c>
      <c r="L36" s="639" t="s">
        <v>99</v>
      </c>
      <c r="M36" s="640" t="s">
        <v>297</v>
      </c>
      <c r="N36" s="640" t="s">
        <v>100</v>
      </c>
      <c r="O36" s="640" t="s">
        <v>101</v>
      </c>
      <c r="P36" s="640" t="s">
        <v>525</v>
      </c>
      <c r="Q36" s="640" t="s">
        <v>102</v>
      </c>
      <c r="R36" s="640" t="s">
        <v>103</v>
      </c>
      <c r="S36" s="640" t="s">
        <v>104</v>
      </c>
      <c r="T36" s="640" t="s">
        <v>105</v>
      </c>
      <c r="U36" s="640" t="s">
        <v>106</v>
      </c>
      <c r="V36" s="640" t="s">
        <v>107</v>
      </c>
      <c r="W36" s="639" t="s">
        <v>108</v>
      </c>
      <c r="X36" s="639" t="s">
        <v>298</v>
      </c>
      <c r="Y36" s="639" t="s">
        <v>109</v>
      </c>
      <c r="Z36" s="641" t="s">
        <v>299</v>
      </c>
    </row>
    <row r="37" spans="1:27" s="611" customFormat="1" ht="12.75">
      <c r="A37" s="597"/>
      <c r="B37" s="794"/>
      <c r="C37" s="794"/>
      <c r="D37" s="645"/>
      <c r="E37" s="645"/>
      <c r="F37" s="645"/>
      <c r="G37" s="645"/>
      <c r="H37" s="645"/>
      <c r="I37" s="645"/>
      <c r="J37" s="793"/>
      <c r="K37" s="793"/>
      <c r="L37" s="645"/>
      <c r="M37" s="645"/>
      <c r="N37" s="645"/>
      <c r="O37" s="645"/>
      <c r="P37" s="645"/>
      <c r="Q37" s="645"/>
      <c r="R37" s="645"/>
      <c r="S37" s="645"/>
      <c r="T37" s="645"/>
      <c r="U37" s="645"/>
      <c r="V37" s="645"/>
      <c r="W37" s="645"/>
      <c r="X37" s="645"/>
      <c r="Y37" s="645"/>
      <c r="Z37" s="646"/>
    </row>
    <row r="38" spans="1:27" s="576" customFormat="1">
      <c r="A38" s="598" t="s">
        <v>279</v>
      </c>
      <c r="B38" s="599"/>
      <c r="C38" s="599"/>
      <c r="D38" s="599"/>
      <c r="E38" s="599"/>
      <c r="F38" s="599"/>
      <c r="G38" s="599"/>
      <c r="H38" s="599"/>
      <c r="I38" s="599"/>
      <c r="J38" s="599"/>
      <c r="K38" s="599"/>
      <c r="L38" s="600"/>
      <c r="M38" s="600">
        <f>SUM(M37:M37)</f>
        <v>0</v>
      </c>
      <c r="N38" s="600">
        <f>SUM(N37:N37)</f>
        <v>0</v>
      </c>
      <c r="O38" s="600">
        <f>SUM(O37:O37)</f>
        <v>0</v>
      </c>
      <c r="P38" s="600">
        <f>SUM(P37:P37)</f>
        <v>0</v>
      </c>
      <c r="Q38" s="600">
        <f>SUM(Q37:Q37)</f>
        <v>0</v>
      </c>
      <c r="R38" s="600">
        <f>SUM(R37:R37)</f>
        <v>0</v>
      </c>
      <c r="S38" s="600">
        <f>SUM(S37:S37)</f>
        <v>0</v>
      </c>
      <c r="T38" s="600">
        <f>SUM(T37:T37)</f>
        <v>0</v>
      </c>
      <c r="U38" s="600">
        <f>SUM(U37:U37)</f>
        <v>0</v>
      </c>
      <c r="V38" s="600">
        <f>SUM(V37:V37)</f>
        <v>0</v>
      </c>
      <c r="W38" s="600">
        <f>SUM(W37:W37)</f>
        <v>0</v>
      </c>
      <c r="X38" s="601"/>
      <c r="Y38" s="601"/>
      <c r="Z38" s="602"/>
    </row>
    <row r="39" spans="1:27" s="576" customFormat="1">
      <c r="A39" s="598" t="s">
        <v>286</v>
      </c>
      <c r="B39" s="599"/>
      <c r="C39" s="599"/>
      <c r="D39" s="599"/>
      <c r="E39" s="599"/>
      <c r="F39" s="599"/>
      <c r="G39" s="599"/>
      <c r="H39" s="599"/>
      <c r="I39" s="599"/>
      <c r="J39" s="599"/>
      <c r="K39" s="599"/>
      <c r="L39" s="600"/>
      <c r="M39" s="600">
        <f>SUMIF($Z$37:$Z$37,"industrie",M37:M37)</f>
        <v>0</v>
      </c>
      <c r="N39" s="600">
        <f>SUMIF($Z$37:$Z$37,"industrie",N37:N37)</f>
        <v>0</v>
      </c>
      <c r="O39" s="600">
        <f>SUMIF($Z$37:$Z$37,"industrie",O37:O37)</f>
        <v>0</v>
      </c>
      <c r="P39" s="600">
        <f>SUMIF($Z$37:$Z$37,"industrie",P37:P37)</f>
        <v>0</v>
      </c>
      <c r="Q39" s="600">
        <f>SUMIF($Z$37:$Z$37,"industrie",Q37:Q37)</f>
        <v>0</v>
      </c>
      <c r="R39" s="600">
        <f>SUMIF($Z$37:$Z$37,"industrie",R37:R37)</f>
        <v>0</v>
      </c>
      <c r="S39" s="600">
        <f>SUMIF($Z$37:$Z$37,"industrie",S37:S37)</f>
        <v>0</v>
      </c>
      <c r="T39" s="600">
        <f>SUMIF($Z$37:$Z$37,"industrie",T37:T37)</f>
        <v>0</v>
      </c>
      <c r="U39" s="600">
        <f>SUMIF($Z$37:$Z$37,"industrie",U37:U37)</f>
        <v>0</v>
      </c>
      <c r="V39" s="600">
        <f>SUMIF($Z$37:$Z$37,"industrie",V37:V37)</f>
        <v>0</v>
      </c>
      <c r="W39" s="600">
        <f>SUMIF($Z$37:$Z$37,"industrie",W37:W37)</f>
        <v>0</v>
      </c>
      <c r="X39" s="601"/>
      <c r="Y39" s="601"/>
      <c r="Z39" s="602"/>
    </row>
    <row r="40" spans="1:27" s="576" customFormat="1">
      <c r="A40" s="598" t="s">
        <v>287</v>
      </c>
      <c r="B40" s="599"/>
      <c r="C40" s="599"/>
      <c r="D40" s="599"/>
      <c r="E40" s="599"/>
      <c r="F40" s="599"/>
      <c r="G40" s="599"/>
      <c r="H40" s="599"/>
      <c r="I40" s="599"/>
      <c r="J40" s="599"/>
      <c r="K40" s="599"/>
      <c r="L40" s="600"/>
      <c r="M40" s="600">
        <f>SUMIF($Z$37:$Z$38,"tertiair",M37:M38)</f>
        <v>0</v>
      </c>
      <c r="N40" s="600">
        <f>SUMIF($Z$37:$Z$38,"tertiair",N37:N38)</f>
        <v>0</v>
      </c>
      <c r="O40" s="600">
        <f>SUMIF($Z$37:$Z$38,"tertiair",O37:O38)</f>
        <v>0</v>
      </c>
      <c r="P40" s="600">
        <f>SUMIF($Z$37:$Z$38,"tertiair",P37:P38)</f>
        <v>0</v>
      </c>
      <c r="Q40" s="600">
        <f>SUMIF($Z$37:$Z$38,"tertiair",Q37:Q38)</f>
        <v>0</v>
      </c>
      <c r="R40" s="600">
        <f>SUMIF($Z$37:$Z$38,"tertiair",R37:R38)</f>
        <v>0</v>
      </c>
      <c r="S40" s="600">
        <f>SUMIF($Z$37:$Z$38,"tertiair",S37:S38)</f>
        <v>0</v>
      </c>
      <c r="T40" s="600">
        <f>SUMIF($Z$37:$Z$38,"tertiair",T37:T38)</f>
        <v>0</v>
      </c>
      <c r="U40" s="600">
        <f>SUMIF($Z$37:$Z$38,"tertiair",U37:U38)</f>
        <v>0</v>
      </c>
      <c r="V40" s="600">
        <f>SUMIF($Z$37:$Z$38,"tertiair",V37:V38)</f>
        <v>0</v>
      </c>
      <c r="W40" s="600">
        <f>SUMIF($Z$37:$Z$38,"tertiair",W37:W38)</f>
        <v>0</v>
      </c>
      <c r="X40" s="601"/>
      <c r="Y40" s="601"/>
      <c r="Z40" s="602"/>
    </row>
    <row r="41" spans="1:27" s="576" customFormat="1" ht="15.75" thickBot="1">
      <c r="A41" s="603" t="s">
        <v>288</v>
      </c>
      <c r="B41" s="604"/>
      <c r="C41" s="604"/>
      <c r="D41" s="604"/>
      <c r="E41" s="604"/>
      <c r="F41" s="604"/>
      <c r="G41" s="604"/>
      <c r="H41" s="604"/>
      <c r="I41" s="604"/>
      <c r="J41" s="604"/>
      <c r="K41" s="604"/>
      <c r="L41" s="605"/>
      <c r="M41" s="605">
        <f>SUMIF($Z$37:$Z$39,"landbouw",M37:M39)</f>
        <v>0</v>
      </c>
      <c r="N41" s="605">
        <f>SUMIF($Z$37:$Z$39,"landbouw",N37:N39)</f>
        <v>0</v>
      </c>
      <c r="O41" s="605">
        <f>SUMIF($Z$37:$Z$39,"landbouw",O37:O39)</f>
        <v>0</v>
      </c>
      <c r="P41" s="605">
        <f>SUMIF($Z$37:$Z$39,"landbouw",P37:P39)</f>
        <v>0</v>
      </c>
      <c r="Q41" s="605">
        <f>SUMIF($Z$37:$Z$39,"landbouw",Q37:Q39)</f>
        <v>0</v>
      </c>
      <c r="R41" s="605">
        <f>SUMIF($Z$37:$Z$39,"landbouw",R37:R39)</f>
        <v>0</v>
      </c>
      <c r="S41" s="605">
        <f>SUMIF($Z$37:$Z$39,"landbouw",S37:S39)</f>
        <v>0</v>
      </c>
      <c r="T41" s="605">
        <f>SUMIF($Z$37:$Z$39,"landbouw",T37:T39)</f>
        <v>0</v>
      </c>
      <c r="U41" s="605">
        <f>SUMIF($Z$37:$Z$39,"landbouw",U37:U39)</f>
        <v>0</v>
      </c>
      <c r="V41" s="605">
        <f>SUMIF($Z$37:$Z$39,"landbouw",V37:V39)</f>
        <v>0</v>
      </c>
      <c r="W41" s="605">
        <f>SUMIF($Z$37:$Z$39,"landbouw",W37:W39)</f>
        <v>0</v>
      </c>
      <c r="X41" s="606"/>
      <c r="Y41" s="606"/>
      <c r="Z41" s="607"/>
    </row>
    <row r="42" spans="1:27" s="612" customForma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row>
    <row r="43" spans="1:27" s="612" customFormat="1" ht="15.75" thickBo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c r="Z43" s="592"/>
      <c r="AA43" s="592"/>
    </row>
    <row r="44" spans="1:27">
      <c r="A44" s="613" t="s">
        <v>281</v>
      </c>
      <c r="B44" s="614"/>
      <c r="C44" s="614"/>
      <c r="D44" s="614"/>
      <c r="E44" s="614"/>
      <c r="F44" s="614"/>
      <c r="G44" s="614"/>
      <c r="H44" s="614"/>
      <c r="I44" s="615"/>
      <c r="J44" s="616"/>
      <c r="K44" s="616"/>
      <c r="L44" s="617"/>
      <c r="M44" s="617"/>
      <c r="N44" s="617"/>
      <c r="O44" s="617"/>
      <c r="P44" s="617"/>
    </row>
    <row r="45" spans="1:27">
      <c r="A45" s="619"/>
      <c r="B45" s="609"/>
      <c r="C45" s="609"/>
      <c r="D45" s="609"/>
      <c r="E45" s="609"/>
      <c r="F45" s="609"/>
      <c r="G45" s="609"/>
      <c r="H45" s="609"/>
      <c r="I45" s="620"/>
      <c r="J45" s="609"/>
      <c r="K45" s="609"/>
      <c r="L45" s="617"/>
      <c r="M45" s="617"/>
      <c r="N45" s="617"/>
      <c r="O45" s="617"/>
      <c r="P45" s="617"/>
    </row>
    <row r="46" spans="1:27">
      <c r="A46" s="621"/>
      <c r="B46" s="622" t="s">
        <v>282</v>
      </c>
      <c r="C46" s="622" t="s">
        <v>283</v>
      </c>
      <c r="D46" s="622"/>
      <c r="E46" s="622"/>
      <c r="F46" s="622"/>
      <c r="G46" s="622"/>
      <c r="H46" s="622"/>
      <c r="I46" s="623"/>
      <c r="J46" s="622"/>
      <c r="K46" s="622"/>
      <c r="L46" s="622"/>
      <c r="M46" s="622"/>
      <c r="N46" s="622"/>
      <c r="O46" s="622"/>
      <c r="P46" s="617"/>
    </row>
    <row r="47" spans="1:27">
      <c r="A47" s="619" t="s">
        <v>279</v>
      </c>
      <c r="B47" s="624">
        <f>IF(ISERROR(O31/(O31+N31)),0,O31/(O31+N31))</f>
        <v>0.58823529411764708</v>
      </c>
      <c r="C47" s="625">
        <f>IF(ISERROR(N31/(O31+N31)),0,N31/(N31+O31))</f>
        <v>0.41176470588235292</v>
      </c>
      <c r="D47" s="592"/>
      <c r="E47" s="592"/>
      <c r="F47" s="592"/>
      <c r="G47" s="592"/>
      <c r="H47" s="592"/>
      <c r="I47" s="626"/>
      <c r="J47" s="592"/>
      <c r="K47" s="592"/>
      <c r="L47" s="627"/>
      <c r="M47" s="627"/>
      <c r="N47" s="627"/>
      <c r="O47" s="627"/>
      <c r="P47" s="617"/>
    </row>
    <row r="48" spans="1:27">
      <c r="A48" s="619"/>
      <c r="B48" s="628"/>
      <c r="C48" s="628"/>
      <c r="D48" s="628"/>
      <c r="E48" s="628"/>
      <c r="F48" s="628"/>
      <c r="G48" s="628"/>
      <c r="H48" s="628"/>
      <c r="I48" s="629"/>
      <c r="J48" s="628"/>
      <c r="K48" s="628"/>
      <c r="L48" s="630"/>
      <c r="M48" s="630"/>
      <c r="N48" s="630"/>
      <c r="O48" s="630"/>
      <c r="P48" s="617"/>
    </row>
    <row r="49" spans="1:16" ht="30">
      <c r="A49" s="631"/>
      <c r="B49" s="632" t="s">
        <v>525</v>
      </c>
      <c r="C49" s="632" t="s">
        <v>102</v>
      </c>
      <c r="D49" s="632" t="s">
        <v>103</v>
      </c>
      <c r="E49" s="632" t="s">
        <v>104</v>
      </c>
      <c r="F49" s="632" t="s">
        <v>105</v>
      </c>
      <c r="G49" s="632" t="s">
        <v>106</v>
      </c>
      <c r="H49" s="632" t="s">
        <v>107</v>
      </c>
      <c r="I49" s="633" t="s">
        <v>108</v>
      </c>
      <c r="J49" s="622"/>
      <c r="K49" s="622"/>
      <c r="L49" s="630"/>
      <c r="M49" s="630"/>
      <c r="N49" s="630"/>
      <c r="O49" s="617"/>
      <c r="P49" s="617"/>
    </row>
    <row r="50" spans="1:16">
      <c r="A50" s="621" t="s">
        <v>284</v>
      </c>
      <c r="B50" s="634">
        <f t="shared" ref="B50:I50" si="2">$C$47*P31</f>
        <v>26947.058823529413</v>
      </c>
      <c r="C50" s="634">
        <f t="shared" si="2"/>
        <v>0</v>
      </c>
      <c r="D50" s="634">
        <f t="shared" si="2"/>
        <v>0</v>
      </c>
      <c r="E50" s="634">
        <f t="shared" si="2"/>
        <v>0</v>
      </c>
      <c r="F50" s="634">
        <f t="shared" si="2"/>
        <v>0</v>
      </c>
      <c r="G50" s="634">
        <f t="shared" si="2"/>
        <v>0</v>
      </c>
      <c r="H50" s="634">
        <f t="shared" si="2"/>
        <v>0</v>
      </c>
      <c r="I50" s="635">
        <f t="shared" si="2"/>
        <v>0</v>
      </c>
      <c r="J50" s="592"/>
      <c r="K50" s="592"/>
      <c r="L50" s="630"/>
      <c r="M50" s="630"/>
      <c r="N50" s="630"/>
      <c r="O50" s="617"/>
      <c r="P50" s="617"/>
    </row>
    <row r="51" spans="1:16" ht="15.75" thickBot="1">
      <c r="A51" s="636" t="s">
        <v>285</v>
      </c>
      <c r="B51" s="637">
        <f t="shared" ref="B51:I51" si="3">$B$47*P31</f>
        <v>38495.798319327732</v>
      </c>
      <c r="C51" s="637">
        <f t="shared" si="3"/>
        <v>0</v>
      </c>
      <c r="D51" s="637">
        <f t="shared" si="3"/>
        <v>0</v>
      </c>
      <c r="E51" s="637">
        <f t="shared" si="3"/>
        <v>0</v>
      </c>
      <c r="F51" s="637">
        <f t="shared" si="3"/>
        <v>0</v>
      </c>
      <c r="G51" s="637">
        <f t="shared" si="3"/>
        <v>0</v>
      </c>
      <c r="H51" s="637">
        <f t="shared" si="3"/>
        <v>0</v>
      </c>
      <c r="I51" s="638">
        <f t="shared" si="3"/>
        <v>0</v>
      </c>
      <c r="J51" s="592"/>
      <c r="K51" s="592"/>
      <c r="L51" s="630"/>
      <c r="M51" s="630"/>
      <c r="N51" s="630"/>
      <c r="O51" s="617"/>
      <c r="P51" s="617"/>
    </row>
    <row r="52" spans="1:16">
      <c r="J52" s="572"/>
      <c r="K52" s="572"/>
      <c r="L52" s="572"/>
      <c r="M52" s="572"/>
      <c r="N52" s="572"/>
    </row>
    <row r="53" spans="1:16">
      <c r="J53" s="572"/>
      <c r="K53" s="572"/>
      <c r="L53" s="572"/>
      <c r="M53" s="572"/>
      <c r="N53"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18278.062189673346</v>
      </c>
      <c r="C4" s="455">
        <f>huishoudens!C8</f>
        <v>0</v>
      </c>
      <c r="D4" s="455">
        <f>huishoudens!D8</f>
        <v>49359.908319734539</v>
      </c>
      <c r="E4" s="455">
        <f>huishoudens!E8</f>
        <v>5774.3116499361558</v>
      </c>
      <c r="F4" s="455">
        <f>huishoudens!F8</f>
        <v>5946.1906645065246</v>
      </c>
      <c r="G4" s="455">
        <f>huishoudens!G8</f>
        <v>0</v>
      </c>
      <c r="H4" s="455">
        <f>huishoudens!H8</f>
        <v>0</v>
      </c>
      <c r="I4" s="455">
        <f>huishoudens!I8</f>
        <v>0</v>
      </c>
      <c r="J4" s="455">
        <f>huishoudens!J8</f>
        <v>0</v>
      </c>
      <c r="K4" s="455">
        <f>huishoudens!K8</f>
        <v>0</v>
      </c>
      <c r="L4" s="455">
        <f>huishoudens!L8</f>
        <v>0</v>
      </c>
      <c r="M4" s="455">
        <f>huishoudens!M8</f>
        <v>0</v>
      </c>
      <c r="N4" s="455">
        <f>huishoudens!N8</f>
        <v>12765.689780052413</v>
      </c>
      <c r="O4" s="455">
        <f>huishoudens!O8</f>
        <v>238.07498632644379</v>
      </c>
      <c r="P4" s="456">
        <f>huishoudens!P8</f>
        <v>547.76588399962122</v>
      </c>
      <c r="Q4" s="457">
        <f>SUM(B4:P4)</f>
        <v>92910.00347422903</v>
      </c>
    </row>
    <row r="5" spans="1:17">
      <c r="A5" s="454" t="s">
        <v>155</v>
      </c>
      <c r="B5" s="455">
        <f ca="1">tertiair!B16</f>
        <v>10633.268925532941</v>
      </c>
      <c r="C5" s="455">
        <f ca="1">tertiair!C16</f>
        <v>0</v>
      </c>
      <c r="D5" s="455">
        <f ca="1">tertiair!D16</f>
        <v>13436.22458915545</v>
      </c>
      <c r="E5" s="455">
        <f>tertiair!E16</f>
        <v>26.990073805545137</v>
      </c>
      <c r="F5" s="455">
        <f ca="1">tertiair!F16</f>
        <v>1466.8238140427793</v>
      </c>
      <c r="G5" s="455">
        <f>tertiair!G16</f>
        <v>0</v>
      </c>
      <c r="H5" s="455">
        <f>tertiair!H16</f>
        <v>0</v>
      </c>
      <c r="I5" s="455">
        <f>tertiair!I16</f>
        <v>0</v>
      </c>
      <c r="J5" s="455">
        <f>tertiair!J16</f>
        <v>8.5915683918290735E-3</v>
      </c>
      <c r="K5" s="455">
        <f>tertiair!K16</f>
        <v>0</v>
      </c>
      <c r="L5" s="455">
        <f ca="1">tertiair!L16</f>
        <v>0</v>
      </c>
      <c r="M5" s="455">
        <f>tertiair!M16</f>
        <v>0</v>
      </c>
      <c r="N5" s="455">
        <f ca="1">tertiair!N16</f>
        <v>325.31119293377537</v>
      </c>
      <c r="O5" s="455">
        <f>tertiair!O16</f>
        <v>4.8972607658411542</v>
      </c>
      <c r="P5" s="456">
        <f>tertiair!P16</f>
        <v>0</v>
      </c>
      <c r="Q5" s="454">
        <f t="shared" ref="Q5:Q14" ca="1" si="0">SUM(B5:P5)</f>
        <v>25893.524447804721</v>
      </c>
    </row>
    <row r="6" spans="1:17">
      <c r="A6" s="454" t="s">
        <v>193</v>
      </c>
      <c r="B6" s="455">
        <f>'openbare verlichting'!B8</f>
        <v>622.78899999999999</v>
      </c>
      <c r="C6" s="455"/>
      <c r="D6" s="455"/>
      <c r="E6" s="455"/>
      <c r="F6" s="455"/>
      <c r="G6" s="455"/>
      <c r="H6" s="455"/>
      <c r="I6" s="455"/>
      <c r="J6" s="455"/>
      <c r="K6" s="455"/>
      <c r="L6" s="455"/>
      <c r="M6" s="455"/>
      <c r="N6" s="455"/>
      <c r="O6" s="455"/>
      <c r="P6" s="456"/>
      <c r="Q6" s="454">
        <f t="shared" si="0"/>
        <v>622.78899999999999</v>
      </c>
    </row>
    <row r="7" spans="1:17">
      <c r="A7" s="454" t="s">
        <v>111</v>
      </c>
      <c r="B7" s="455">
        <f>landbouw!B8</f>
        <v>1012.0385090180699</v>
      </c>
      <c r="C7" s="455">
        <f>landbouw!C8</f>
        <v>32721.428571428572</v>
      </c>
      <c r="D7" s="455">
        <f>landbouw!D8</f>
        <v>0</v>
      </c>
      <c r="E7" s="455">
        <f>landbouw!E8</f>
        <v>37.742011606255517</v>
      </c>
      <c r="F7" s="455">
        <f>landbouw!F8</f>
        <v>3283.4439903281013</v>
      </c>
      <c r="G7" s="455">
        <f>landbouw!G8</f>
        <v>0</v>
      </c>
      <c r="H7" s="455">
        <f>landbouw!H8</f>
        <v>0</v>
      </c>
      <c r="I7" s="455">
        <f>landbouw!I8</f>
        <v>0</v>
      </c>
      <c r="J7" s="455">
        <f>landbouw!J8</f>
        <v>265.66510495737799</v>
      </c>
      <c r="K7" s="455">
        <f>landbouw!K8</f>
        <v>0</v>
      </c>
      <c r="L7" s="455">
        <f>landbouw!L8</f>
        <v>0</v>
      </c>
      <c r="M7" s="455">
        <f>landbouw!M8</f>
        <v>0</v>
      </c>
      <c r="N7" s="455">
        <f>landbouw!N8</f>
        <v>0</v>
      </c>
      <c r="O7" s="455">
        <f>landbouw!O8</f>
        <v>0</v>
      </c>
      <c r="P7" s="456">
        <f>landbouw!P8</f>
        <v>0</v>
      </c>
      <c r="Q7" s="454">
        <f t="shared" si="0"/>
        <v>37320.31818733838</v>
      </c>
    </row>
    <row r="8" spans="1:17">
      <c r="A8" s="454" t="s">
        <v>626</v>
      </c>
      <c r="B8" s="455">
        <f>industrie!B18</f>
        <v>1329.5363340040192</v>
      </c>
      <c r="C8" s="455">
        <f>industrie!C18</f>
        <v>0</v>
      </c>
      <c r="D8" s="455">
        <f>industrie!D18</f>
        <v>1800.2412627639078</v>
      </c>
      <c r="E8" s="455">
        <f>industrie!E18</f>
        <v>4.5012741159647067</v>
      </c>
      <c r="F8" s="455">
        <f>industrie!F18</f>
        <v>451.12374504088194</v>
      </c>
      <c r="G8" s="455">
        <f>industrie!G18</f>
        <v>0</v>
      </c>
      <c r="H8" s="455">
        <f>industrie!H18</f>
        <v>0</v>
      </c>
      <c r="I8" s="455">
        <f>industrie!I18</f>
        <v>0</v>
      </c>
      <c r="J8" s="455">
        <f>industrie!J18</f>
        <v>0.18986428891621482</v>
      </c>
      <c r="K8" s="455">
        <f>industrie!K18</f>
        <v>0</v>
      </c>
      <c r="L8" s="455">
        <f>industrie!L18</f>
        <v>0</v>
      </c>
      <c r="M8" s="455">
        <f>industrie!M18</f>
        <v>0</v>
      </c>
      <c r="N8" s="455">
        <f>industrie!N18</f>
        <v>61.134886113382834</v>
      </c>
      <c r="O8" s="455">
        <f>industrie!O18</f>
        <v>0</v>
      </c>
      <c r="P8" s="456">
        <f>industrie!P18</f>
        <v>0</v>
      </c>
      <c r="Q8" s="454">
        <f t="shared" si="0"/>
        <v>3646.7273663270735</v>
      </c>
    </row>
    <row r="9" spans="1:17" s="460" customFormat="1">
      <c r="A9" s="458" t="s">
        <v>552</v>
      </c>
      <c r="B9" s="459">
        <f>transport!B14</f>
        <v>34.602776955932235</v>
      </c>
      <c r="C9" s="459">
        <f>transport!C14</f>
        <v>0</v>
      </c>
      <c r="D9" s="459">
        <f>transport!D14</f>
        <v>135.61605485542938</v>
      </c>
      <c r="E9" s="459">
        <f>transport!E14</f>
        <v>73.002420115886991</v>
      </c>
      <c r="F9" s="459">
        <f>transport!F14</f>
        <v>0</v>
      </c>
      <c r="G9" s="459">
        <f>transport!G14</f>
        <v>31177.520539727782</v>
      </c>
      <c r="H9" s="459">
        <f>transport!H14</f>
        <v>8655.2278935678041</v>
      </c>
      <c r="I9" s="459">
        <f>transport!I14</f>
        <v>0</v>
      </c>
      <c r="J9" s="459">
        <f>transport!J14</f>
        <v>0</v>
      </c>
      <c r="K9" s="459">
        <f>transport!K14</f>
        <v>0</v>
      </c>
      <c r="L9" s="459">
        <f>transport!L14</f>
        <v>0</v>
      </c>
      <c r="M9" s="459">
        <f>transport!M14</f>
        <v>2357.0207581779946</v>
      </c>
      <c r="N9" s="459">
        <f>transport!N14</f>
        <v>0</v>
      </c>
      <c r="O9" s="459">
        <f>transport!O14</f>
        <v>0</v>
      </c>
      <c r="P9" s="459">
        <f>transport!P14</f>
        <v>0</v>
      </c>
      <c r="Q9" s="458">
        <f>SUM(B9:P9)</f>
        <v>42432.990443400835</v>
      </c>
    </row>
    <row r="10" spans="1:17">
      <c r="A10" s="454" t="s">
        <v>542</v>
      </c>
      <c r="B10" s="455">
        <f>transport!B54</f>
        <v>0</v>
      </c>
      <c r="C10" s="455">
        <f>transport!C54</f>
        <v>0</v>
      </c>
      <c r="D10" s="455">
        <f>transport!D54</f>
        <v>0</v>
      </c>
      <c r="E10" s="455">
        <f>transport!E54</f>
        <v>0</v>
      </c>
      <c r="F10" s="455">
        <f>transport!F54</f>
        <v>0</v>
      </c>
      <c r="G10" s="455">
        <f>transport!G54</f>
        <v>441.86356588206189</v>
      </c>
      <c r="H10" s="455">
        <f>transport!H54</f>
        <v>0</v>
      </c>
      <c r="I10" s="455">
        <f>transport!I54</f>
        <v>0</v>
      </c>
      <c r="J10" s="455">
        <f>transport!J54</f>
        <v>0</v>
      </c>
      <c r="K10" s="455">
        <f>transport!K54</f>
        <v>0</v>
      </c>
      <c r="L10" s="455">
        <f>transport!L54</f>
        <v>0</v>
      </c>
      <c r="M10" s="455">
        <f>transport!M54</f>
        <v>23.97803375773902</v>
      </c>
      <c r="N10" s="455">
        <f>transport!N54</f>
        <v>0</v>
      </c>
      <c r="O10" s="455">
        <f>transport!O54</f>
        <v>0</v>
      </c>
      <c r="P10" s="456">
        <f>transport!P54</f>
        <v>0</v>
      </c>
      <c r="Q10" s="454">
        <f t="shared" si="0"/>
        <v>465.8415996398009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563.922050626378</v>
      </c>
      <c r="C14" s="462"/>
      <c r="D14" s="462">
        <f>'SEAP template'!E25</f>
        <v>825.17098022290907</v>
      </c>
      <c r="E14" s="462"/>
      <c r="F14" s="462"/>
      <c r="G14" s="462"/>
      <c r="H14" s="462"/>
      <c r="I14" s="462"/>
      <c r="J14" s="462"/>
      <c r="K14" s="462"/>
      <c r="L14" s="462"/>
      <c r="M14" s="462"/>
      <c r="N14" s="462"/>
      <c r="O14" s="462"/>
      <c r="P14" s="463"/>
      <c r="Q14" s="454">
        <f t="shared" si="0"/>
        <v>1389.0930308492871</v>
      </c>
    </row>
    <row r="15" spans="1:17" s="466" customFormat="1">
      <c r="A15" s="464" t="s">
        <v>546</v>
      </c>
      <c r="B15" s="465">
        <f ca="1">SUM(B4:B14)</f>
        <v>32474.219785810692</v>
      </c>
      <c r="C15" s="465">
        <f t="shared" ref="C15:Q15" ca="1" si="1">SUM(C4:C14)</f>
        <v>32721.428571428572</v>
      </c>
      <c r="D15" s="465">
        <f t="shared" ca="1" si="1"/>
        <v>65557.161206732242</v>
      </c>
      <c r="E15" s="465">
        <f t="shared" si="1"/>
        <v>5916.5474295798076</v>
      </c>
      <c r="F15" s="465">
        <f t="shared" ca="1" si="1"/>
        <v>11147.582213918287</v>
      </c>
      <c r="G15" s="465">
        <f t="shared" si="1"/>
        <v>31619.384105609843</v>
      </c>
      <c r="H15" s="465">
        <f t="shared" si="1"/>
        <v>8655.2278935678041</v>
      </c>
      <c r="I15" s="465">
        <f t="shared" si="1"/>
        <v>0</v>
      </c>
      <c r="J15" s="465">
        <f t="shared" si="1"/>
        <v>265.86356081468602</v>
      </c>
      <c r="K15" s="465">
        <f t="shared" si="1"/>
        <v>0</v>
      </c>
      <c r="L15" s="465">
        <f t="shared" ca="1" si="1"/>
        <v>0</v>
      </c>
      <c r="M15" s="465">
        <f t="shared" si="1"/>
        <v>2380.9987919357336</v>
      </c>
      <c r="N15" s="465">
        <f t="shared" ca="1" si="1"/>
        <v>13152.135859099571</v>
      </c>
      <c r="O15" s="465">
        <f t="shared" si="1"/>
        <v>242.97224709228496</v>
      </c>
      <c r="P15" s="465">
        <f t="shared" si="1"/>
        <v>547.76588399962122</v>
      </c>
      <c r="Q15" s="465">
        <f t="shared" ca="1" si="1"/>
        <v>204681.28754958915</v>
      </c>
    </row>
    <row r="17" spans="1:17">
      <c r="A17" s="467" t="s">
        <v>547</v>
      </c>
      <c r="B17" s="784">
        <f ca="1">huishoudens!B10</f>
        <v>0.21036476299016957</v>
      </c>
      <c r="C17" s="784">
        <f ca="1">huishoudens!C10</f>
        <v>0.23764705882352943</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3845.0602204502134</v>
      </c>
      <c r="C22" s="455">
        <f t="shared" ref="C22:C32" ca="1" si="3">C4*$C$17</f>
        <v>0</v>
      </c>
      <c r="D22" s="455">
        <f t="shared" ref="D22:D32" si="4">D4*$D$17</f>
        <v>9970.7014805863782</v>
      </c>
      <c r="E22" s="455">
        <f t="shared" ref="E22:E32" si="5">E4*$E$17</f>
        <v>1310.7687445355075</v>
      </c>
      <c r="F22" s="455">
        <f t="shared" ref="F22:F32" si="6">F4*$F$17</f>
        <v>1587.6329074232422</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16714.163352995343</v>
      </c>
    </row>
    <row r="23" spans="1:17">
      <c r="A23" s="454" t="s">
        <v>155</v>
      </c>
      <c r="B23" s="455">
        <f t="shared" ca="1" si="2"/>
        <v>2236.8650973304721</v>
      </c>
      <c r="C23" s="455">
        <f t="shared" ca="1" si="3"/>
        <v>0</v>
      </c>
      <c r="D23" s="455">
        <f t="shared" ca="1" si="4"/>
        <v>2714.1173670094013</v>
      </c>
      <c r="E23" s="455">
        <f t="shared" si="5"/>
        <v>6.1267467538587459</v>
      </c>
      <c r="F23" s="455">
        <f t="shared" ca="1" si="6"/>
        <v>391.64195834942211</v>
      </c>
      <c r="G23" s="455">
        <f t="shared" si="7"/>
        <v>0</v>
      </c>
      <c r="H23" s="455">
        <f t="shared" si="8"/>
        <v>0</v>
      </c>
      <c r="I23" s="455">
        <f t="shared" si="9"/>
        <v>0</v>
      </c>
      <c r="J23" s="455">
        <f t="shared" si="10"/>
        <v>3.0414152107074918E-3</v>
      </c>
      <c r="K23" s="455">
        <f t="shared" si="11"/>
        <v>0</v>
      </c>
      <c r="L23" s="455">
        <f t="shared" ca="1" si="12"/>
        <v>0</v>
      </c>
      <c r="M23" s="455">
        <f t="shared" si="13"/>
        <v>0</v>
      </c>
      <c r="N23" s="455">
        <f t="shared" ca="1" si="14"/>
        <v>0</v>
      </c>
      <c r="O23" s="455">
        <f t="shared" si="15"/>
        <v>0</v>
      </c>
      <c r="P23" s="456">
        <f t="shared" si="16"/>
        <v>0</v>
      </c>
      <c r="Q23" s="454">
        <f t="shared" ref="Q23:Q31" ca="1" si="17">SUM(B23:P23)</f>
        <v>5348.7542108583648</v>
      </c>
    </row>
    <row r="24" spans="1:17">
      <c r="A24" s="454" t="s">
        <v>193</v>
      </c>
      <c r="B24" s="455">
        <f t="shared" ca="1" si="2"/>
        <v>131.01286037788472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131.01286037788472</v>
      </c>
    </row>
    <row r="25" spans="1:17">
      <c r="A25" s="454" t="s">
        <v>111</v>
      </c>
      <c r="B25" s="455">
        <f t="shared" ca="1" si="2"/>
        <v>212.89724108651086</v>
      </c>
      <c r="C25" s="455">
        <f t="shared" ca="1" si="3"/>
        <v>7776.1512605042026</v>
      </c>
      <c r="D25" s="455">
        <f t="shared" si="4"/>
        <v>0</v>
      </c>
      <c r="E25" s="455">
        <f t="shared" si="5"/>
        <v>8.5674366346200017</v>
      </c>
      <c r="F25" s="455">
        <f t="shared" si="6"/>
        <v>876.67954541760309</v>
      </c>
      <c r="G25" s="455">
        <f t="shared" si="7"/>
        <v>0</v>
      </c>
      <c r="H25" s="455">
        <f t="shared" si="8"/>
        <v>0</v>
      </c>
      <c r="I25" s="455">
        <f t="shared" si="9"/>
        <v>0</v>
      </c>
      <c r="J25" s="455">
        <f t="shared" si="10"/>
        <v>94.045447154911798</v>
      </c>
      <c r="K25" s="455">
        <f t="shared" si="11"/>
        <v>0</v>
      </c>
      <c r="L25" s="455">
        <f t="shared" si="12"/>
        <v>0</v>
      </c>
      <c r="M25" s="455">
        <f t="shared" si="13"/>
        <v>0</v>
      </c>
      <c r="N25" s="455">
        <f t="shared" si="14"/>
        <v>0</v>
      </c>
      <c r="O25" s="455">
        <f t="shared" si="15"/>
        <v>0</v>
      </c>
      <c r="P25" s="456">
        <f t="shared" si="16"/>
        <v>0</v>
      </c>
      <c r="Q25" s="454">
        <f t="shared" ca="1" si="17"/>
        <v>8968.3409307978472</v>
      </c>
    </row>
    <row r="26" spans="1:17">
      <c r="A26" s="454" t="s">
        <v>626</v>
      </c>
      <c r="B26" s="455">
        <f t="shared" ca="1" si="2"/>
        <v>279.6875957895744</v>
      </c>
      <c r="C26" s="455">
        <f t="shared" ca="1" si="3"/>
        <v>0</v>
      </c>
      <c r="D26" s="455">
        <f t="shared" si="4"/>
        <v>363.64873507830941</v>
      </c>
      <c r="E26" s="455">
        <f t="shared" si="5"/>
        <v>1.0217892243239886</v>
      </c>
      <c r="F26" s="455">
        <f t="shared" si="6"/>
        <v>120.45003992591549</v>
      </c>
      <c r="G26" s="455">
        <f t="shared" si="7"/>
        <v>0</v>
      </c>
      <c r="H26" s="455">
        <f t="shared" si="8"/>
        <v>0</v>
      </c>
      <c r="I26" s="455">
        <f t="shared" si="9"/>
        <v>0</v>
      </c>
      <c r="J26" s="455">
        <f t="shared" si="10"/>
        <v>6.7211958276340036E-2</v>
      </c>
      <c r="K26" s="455">
        <f t="shared" si="11"/>
        <v>0</v>
      </c>
      <c r="L26" s="455">
        <f t="shared" si="12"/>
        <v>0</v>
      </c>
      <c r="M26" s="455">
        <f t="shared" si="13"/>
        <v>0</v>
      </c>
      <c r="N26" s="455">
        <f t="shared" si="14"/>
        <v>0</v>
      </c>
      <c r="O26" s="455">
        <f t="shared" si="15"/>
        <v>0</v>
      </c>
      <c r="P26" s="456">
        <f t="shared" si="16"/>
        <v>0</v>
      </c>
      <c r="Q26" s="454">
        <f t="shared" ca="1" si="17"/>
        <v>764.87537197639961</v>
      </c>
    </row>
    <row r="27" spans="1:17" s="460" customFormat="1">
      <c r="A27" s="458" t="s">
        <v>552</v>
      </c>
      <c r="B27" s="778">
        <f t="shared" ca="1" si="2"/>
        <v>7.2792049731363857</v>
      </c>
      <c r="C27" s="459">
        <f t="shared" ca="1" si="3"/>
        <v>0</v>
      </c>
      <c r="D27" s="459">
        <f t="shared" si="4"/>
        <v>27.394443080796737</v>
      </c>
      <c r="E27" s="459">
        <f t="shared" si="5"/>
        <v>16.571549366306346</v>
      </c>
      <c r="F27" s="459">
        <f t="shared" si="6"/>
        <v>0</v>
      </c>
      <c r="G27" s="459">
        <f t="shared" si="7"/>
        <v>8324.3979841073178</v>
      </c>
      <c r="H27" s="459">
        <f t="shared" si="8"/>
        <v>2155.1517454983832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10530.794927025941</v>
      </c>
    </row>
    <row r="28" spans="1:17" ht="16.5" customHeight="1">
      <c r="A28" s="454" t="s">
        <v>542</v>
      </c>
      <c r="B28" s="455">
        <f t="shared" ca="1" si="2"/>
        <v>0</v>
      </c>
      <c r="C28" s="455">
        <f t="shared" ca="1" si="3"/>
        <v>0</v>
      </c>
      <c r="D28" s="455">
        <f t="shared" si="4"/>
        <v>0</v>
      </c>
      <c r="E28" s="455">
        <f t="shared" si="5"/>
        <v>0</v>
      </c>
      <c r="F28" s="455">
        <f t="shared" si="6"/>
        <v>0</v>
      </c>
      <c r="G28" s="455">
        <f t="shared" si="7"/>
        <v>117.97757209051053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117.97757209051053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118.62932852494841</v>
      </c>
      <c r="C32" s="455">
        <f t="shared" ca="1" si="3"/>
        <v>0</v>
      </c>
      <c r="D32" s="455">
        <f t="shared" si="4"/>
        <v>166.68453800502763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285.31386652997605</v>
      </c>
    </row>
    <row r="33" spans="1:17" s="466" customFormat="1">
      <c r="A33" s="464" t="s">
        <v>546</v>
      </c>
      <c r="B33" s="465">
        <f ca="1">SUM(B22:B32)</f>
        <v>6831.4315485327406</v>
      </c>
      <c r="C33" s="465">
        <f t="shared" ref="C33:Q33" ca="1" si="19">SUM(C22:C32)</f>
        <v>7776.1512605042026</v>
      </c>
      <c r="D33" s="465">
        <f t="shared" ca="1" si="19"/>
        <v>13242.546563759914</v>
      </c>
      <c r="E33" s="465">
        <f t="shared" si="19"/>
        <v>1343.0562665146165</v>
      </c>
      <c r="F33" s="465">
        <f t="shared" ca="1" si="19"/>
        <v>2976.4044511161828</v>
      </c>
      <c r="G33" s="465">
        <f t="shared" si="19"/>
        <v>8442.3755561978287</v>
      </c>
      <c r="H33" s="465">
        <f t="shared" si="19"/>
        <v>2155.1517454983832</v>
      </c>
      <c r="I33" s="465">
        <f t="shared" si="19"/>
        <v>0</v>
      </c>
      <c r="J33" s="465">
        <f t="shared" si="19"/>
        <v>94.115700528398847</v>
      </c>
      <c r="K33" s="465">
        <f t="shared" si="19"/>
        <v>0</v>
      </c>
      <c r="L33" s="465">
        <f t="shared" ca="1" si="19"/>
        <v>0</v>
      </c>
      <c r="M33" s="465">
        <f t="shared" si="19"/>
        <v>0</v>
      </c>
      <c r="N33" s="465">
        <f t="shared" ca="1" si="19"/>
        <v>0</v>
      </c>
      <c r="O33" s="465">
        <f t="shared" si="19"/>
        <v>0</v>
      </c>
      <c r="P33" s="465">
        <f t="shared" si="19"/>
        <v>0</v>
      </c>
      <c r="Q33" s="465">
        <f t="shared" ca="1" si="19"/>
        <v>42861.233092652263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3288.1081741373901</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22905</v>
      </c>
      <c r="D8" s="1026">
        <f>'SEAP template'!D76</f>
        <v>26947.058823529413</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5443.3058823529418</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3288.1081741373901</v>
      </c>
      <c r="C10" s="1028">
        <f>SUM(C4:C9)</f>
        <v>22905</v>
      </c>
      <c r="D10" s="1028">
        <f t="shared" ref="D10:H10" si="0">SUM(D8:D9)</f>
        <v>26947.058823529413</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5443.3058823529418</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0.21036476299016957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32721.428571428572</v>
      </c>
      <c r="D17" s="1027">
        <f>'SEAP template'!D87</f>
        <v>38495.798319327732</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7776.1512605042026</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32721.428571428572</v>
      </c>
      <c r="D20" s="1028">
        <f t="shared" ref="D20:H20" si="2">SUM(D17:D19)</f>
        <v>38495.798319327732</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7776.1512605042026</v>
      </c>
    </row>
    <row r="21" spans="1:16">
      <c r="B21" s="890"/>
    </row>
    <row r="22" spans="1:16">
      <c r="A22" s="467" t="s">
        <v>773</v>
      </c>
      <c r="B22" s="784" t="s">
        <v>771</v>
      </c>
      <c r="C22" s="784">
        <f ca="1">'EF ele_warmte'!B22</f>
        <v>0.23764705882352943</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0.21036476299016957</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2020-06-20T15:17:55Z</dcterms:modified>
</cp:coreProperties>
</file>