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L6" i="17" s="1"/>
  <c r="L5" i="17" s="1"/>
  <c r="S35" i="18"/>
  <c r="R35" i="18"/>
  <c r="Q35" i="18"/>
  <c r="P35" i="18"/>
  <c r="O35" i="18"/>
  <c r="N35" i="18"/>
  <c r="M35" i="18"/>
  <c r="W34" i="18"/>
  <c r="V34" i="18"/>
  <c r="U34" i="18"/>
  <c r="T34" i="18"/>
  <c r="S34" i="18"/>
  <c r="R34" i="18"/>
  <c r="Q34" i="18"/>
  <c r="P34" i="18"/>
  <c r="O34" i="18"/>
  <c r="C13" i="15" s="1"/>
  <c r="N34" i="18"/>
  <c r="B13" i="15" s="1"/>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29" i="20"/>
  <c r="C56" i="22"/>
  <c r="C58" i="22" s="1"/>
  <c r="D49" i="14" s="1"/>
  <c r="D52" i="14" s="1"/>
  <c r="C10" i="17"/>
  <c r="C12" i="17" s="1"/>
  <c r="D54" i="14" s="1"/>
  <c r="D56" i="14" s="1"/>
  <c r="C17" i="49"/>
  <c r="C18" i="15"/>
  <c r="C20" i="15" s="1"/>
  <c r="D40" i="14" s="1"/>
  <c r="C20" i="16"/>
  <c r="C22" i="16" s="1"/>
  <c r="D43" i="14" s="1"/>
  <c r="C22" i="5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<sst xmlns="http://schemas.openxmlformats.org/spreadsheetml/2006/main" count="2401" uniqueCount="883">
  <si>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</si>
  <si>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</si>
  <si>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</si>
  <si>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</si>
  <si>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</si>
  <si>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</si>
  <si>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</si>
  <si>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</si>
  <si>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</si>
  <si>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</si>
  <si>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</si>
  <si>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</si>
  <si>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</si>
  <si>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</si>
  <si>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</si>
  <si>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</si>
  <si>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</si>
  <si>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</si>
  <si>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</si>
  <si>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</si>
  <si>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</si>
  <si>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</si>
  <si>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</si>
  <si>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</si>
  <si>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</si>
  <si>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</si>
  <si>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</si>
  <si>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</si>
  <si>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</si>
  <si>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</si>
  <si>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</si>
  <si>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</si>
  <si>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</si>
  <si>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</si>
  <si>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</si>
  <si>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</si>
  <si>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</si>
  <si>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</si>
  <si>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</si>
  <si>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</si>
  <si>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</si>
  <si>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</si>
  <si>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</si>
  <si>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</si>
  <si>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</si>
  <si>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</si>
  <si>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</si>
  <si>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</si>
  <si>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</si>
  <si>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</si>
  <si>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</si>
  <si>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</si>
  <si>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</si>
  <si>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</si>
  <si>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</si>
  <si>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</si>
  <si>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</si>
  <si>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</si>
  <si>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</si>
  <si>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</si>
  <si>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</si>
  <si>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</si>
  <si>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</si>
  <si>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</si>
  <si>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</si>
  <si>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</si>
  <si>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</si>
  <si>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</si>
  <si>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</si>
  <si>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</si>
  <si>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</si>
  <si>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</si>
  <si>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</si>
  <si>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</si>
  <si>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</si>
  <si>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</si>
  <si>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</si>
  <si>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</si>
  <si>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</si>
  <si>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</si>
  <si>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</si>
  <si>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</si>
  <si>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</si>
  <si>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</si>
  <si>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</si>
  <si>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</si>
  <si>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</si>
  <si>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</si>
  <si>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</si>
  <si>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</si>
  <si>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</si>
  <si>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</si>
  <si>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</si>
  <si>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</si>
  <si>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</si>
  <si>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</si>
  <si>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</si>
  <si>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</si>
  <si>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</si>
  <si>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</si>
  <si>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</si>
  <si>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</si>
  <si>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</si>
  <si>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</si>
  <si>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</si>
  <si>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</si>
  <si>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</si>
  <si>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</si>
  <si>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</si>
  <si>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</si>
  <si>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</si>
  <si>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</si>
  <si>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</si>
  <si>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</si>
  <si>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</si>
  <si>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</si>
  <si>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</si>
  <si>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</si>
  <si>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</si>
  <si>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</si>
  <si>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</si>
  <si>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</si>
  <si>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</si>
  <si>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</si>
  <si>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</si>
  <si>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</si>
  <si>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</si>
  <si>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</si>
  <si>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</si>
  <si>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</si>
  <si>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</si>
  <si>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</si>
  <si>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</si>
  <si>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</si>
  <si>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</si>
  <si>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</si>
  <si>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</si>
  <si>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</si>
  <si>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</si>
  <si>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</si>
  <si>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</si>
  <si>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</si>
  <si>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</si>
  <si>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</si>
  <si>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</si>
  <si>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</si>
  <si>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</si>
  <si>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</si>
  <si>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</si>
  <si>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</si>
  <si>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</si>
  <si>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</si>
  <si>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</si>
  <si>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</si>
  <si>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</si>
  <si>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</si>
  <si>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</si>
  <si>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</si>
  <si>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</si>
  <si>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</si>
  <si>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</si>
  <si>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</si>
  <si>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</si>
  <si>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</si>
  <si>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</si>
  <si>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</si>
  <si>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</si>
  <si>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</si>
  <si>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</si>
  <si>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</si>
  <si>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</si>
  <si>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</si>
  <si>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</si>
  <si>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</si>
  <si>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</si>
  <si>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</si>
  <si>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</si>
  <si>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</si>
  <si>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</si>
  <si>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</si>
  <si>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</si>
  <si>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</si>
  <si>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</si>
  <si>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</si>
  <si>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</si>
  <si>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</si>
  <si>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</si>
  <si>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</si>
  <si>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</si>
  <si>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</si>
  <si>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</si>
  <si>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</si>
  <si>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</si>
  <si>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</si>
  <si>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</si>
  <si>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</si>
  <si>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</si>
  <si>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</si>
  <si>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</si>
  <si>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</si>
  <si>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</si>
  <si>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</si>
  <si>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</si>
  <si>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</si>
  <si>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</si>
  <si>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</si>
  <si>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</si>
  <si>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</si>
  <si>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</si>
  <si>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</si>
  <si>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</si>
  <si>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</si>
  <si>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</si>
  <si>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</si>
  <si>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</si>
  <si>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</si>
  <si>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</si>
  <si>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</si>
  <si>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</si>
  <si>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</si>
  <si>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</si>
  <si>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</si>
  <si>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</si>
  <si>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</si>
  <si>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</si>
  <si>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</si>
  <si>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</si>
  <si>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</si>
  <si>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</si>
  <si>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</si>
  <si>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</si>
  <si>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</si>
  <si>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</si>
  <si>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</si>
  <si>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</si>
  <si>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</si>
  <si>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</si>
  <si>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</si>
  <si>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</si>
  <si>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</si>
  <si>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</si>
  <si>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</si>
  <si>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</si>
  <si>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</si>
  <si>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</si>
  <si>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</si>
  <si>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</si>
  <si>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</si>
  <si>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</si>
  <si>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</si>
  <si>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</si>
  <si>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</si>
  <si>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</si>
  <si>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</si>
  <si>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</si>
  <si>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</si>
  <si>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</si>
  <si>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</si>
  <si>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</si>
  <si>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</si>
  <si>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</si>
  <si>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</si>
  <si>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</si>
  <si>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</si>
  <si>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</si>
  <si>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</si>
  <si>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</si>
  <si>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</si>
  <si>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</si>
  <si>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</si>
  <si>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</si>
  <si>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</si>
  <si>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</si>
  <si>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</si>
  <si>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</si>
  <si>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</si>
  <si>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</si>
  <si>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</si>
  <si>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</si>
  <si>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</si>
  <si>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</si>
  <si>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</si>
  <si>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</si>
  <si>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</si>
  <si>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</si>
  <si>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</si>
  <si>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</si>
  <si>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</si>
  <si>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</si>
  <si>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</si>
  <si>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</si>
  <si>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</si>
  <si>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</si>
  <si>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</si>
  <si>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</si>
  <si>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</si>
  <si>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</si>
  <si>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</si>
  <si>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</si>
  <si>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</si>
  <si>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</si>
  <si>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</si>
  <si>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</si>
  <si>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</si>
  <si>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</si>
  <si>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</si>
  <si>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</si>
  <si>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</si>
  <si>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</si>
  <si>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</si>
  <si>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</si>
  <si>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</si>
  <si>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</si>
  <si>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</si>
  <si>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</si>
  <si>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</si>
  <si>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</si>
  <si>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</si>
  <si>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</si>
  <si>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</si>
  <si>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</si>
  <si>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</si>
  <si>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</si>
  <si>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</si>
  <si>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</si>
  <si>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</si>
  <si>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</si>
  <si>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</si>
  <si>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</si>
  <si>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</si>
  <si>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</si>
  <si>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</si>
  <si>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</si>
  <si>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</si>
  <si>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</si>
  <si>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</si>
  <si>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</si>
  <si>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</si>
  <si>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</si>
  <si>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</si>
  <si>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</si>
  <si>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</si>
  <si>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</si>
  <si>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</si>
  <si>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</si>
  <si>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</si>
  <si>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</si>
  <si>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</si>
  <si>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</si>
  <si>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</si>
  <si>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</si>
  <si>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</si>
  <si>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</si>
  <si>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</si>
  <si>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</si>
  <si>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</si>
  <si>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</si>
  <si>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</si>
  <si>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</si>
  <si>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</si>
  <si>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</si>
  <si>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</si>
  <si>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</si>
  <si>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</si>
  <si>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</si>
  <si>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</si>
  <si>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</si>
  <si>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</si>
  <si>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</si>
  <si>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</si>
  <si>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</si>
  <si>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</si>
  <si>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</si>
  <si>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</si>
  <si>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</si>
  <si>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</si>
  <si>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</si>
  <si>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</si>
  <si>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</si>
  <si>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</si>
  <si>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</si>
  <si>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</si>
  <si>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</si>
  <si>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</si>
  <si>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</si>
  <si>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</si>
  <si>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</si>
  <si>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</si>
  <si>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</si>
  <si>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</si>
  <si>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</si>
  <si>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</si>
  <si>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</si>
  <si>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</si>
  <si>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</si>
  <si>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</si>
  <si>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</si>
  <si>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</si>
  <si>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</si>
  <si>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</si>
  <si>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</si>
  <si>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</si>
  <si>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</si>
  <si>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</si>
  <si>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</si>
  <si>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</si>
  <si>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</si>
  <si>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</si>
  <si>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</si>
  <si>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</si>
  <si>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</si>
  <si>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</si>
  <si>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</si>
  <si>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</si>
  <si>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</si>
  <si>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</si>
  <si>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</si>
  <si>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</si>
  <si>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</si>
  <si>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</si>
  <si>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</si>
  <si>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</si>
  <si>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</si>
  <si>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</si>
  <si>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</si>
  <si>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</si>
  <si>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</si>
  <si>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</si>
  <si>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</si>
  <si>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</si>
  <si>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</si>
  <si>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</si>
  <si>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</si>
  <si>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</si>
  <si>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</si>
  <si>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</si>
  <si>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</si>
  <si>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</si>
  <si>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</si>
  <si>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</si>
  <si>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</si>
  <si>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</si>
  <si>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</si>
  <si>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</si>
  <si>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</si>
  <si>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</si>
  <si>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</si>
  <si>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</si>
  <si>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</si>
  <si>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</si>
  <si>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</si>
  <si>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</si>
  <si>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</si>
  <si>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</si>
  <si>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</si>
  <si>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</si>
  <si>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</si>
  <si>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</si>
  <si>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</si>
  <si>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</si>
  <si>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</si>
  <si>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</si>
  <si>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</si>
  <si>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</si>
  <si>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</si>
  <si>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</si>
  <si>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</si>
  <si>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</si>
  <si>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</si>
  <si>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</si>
  <si>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</si>
  <si>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</si>
  <si>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</si>
  <si>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</si>
  <si>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</si>
  <si>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</si>
  <si>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</si>
  <si>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</si>
  <si>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</si>
  <si>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</si>
  <si>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</si>
  <si>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</si>
  <si>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</si>
  <si>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</si>
  <si>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</si>
  <si>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</si>
  <si>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</si>
  <si>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</si>
  <si>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</si>
  <si>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</si>
  <si>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</si>
  <si>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</si>
  <si>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</si>
  <si>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</si>
  <si>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</si>
  <si>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</si>
  <si>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</si>
  <si>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</si>
  <si>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</si>
  <si>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</si>
  <si>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</si>
  <si>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</si>
  <si>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</si>
  <si>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</si>
  <si>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</si>
  <si>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</si>
  <si>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</si>
  <si>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</si>
  <si>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</si>
  <si>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</si>
  <si>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</si>
  <si>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</si>
  <si>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</si>
  <si>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</si>
  <si>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</si>
  <si>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</si>
  <si>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</si>
  <si>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</si>
  <si>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</si>
  <si>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</si>
  <si>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</si>
  <si>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</si>
  <si>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</si>
  <si>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</si>
  <si>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</si>
  <si>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</si>
  <si>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</si>
  <si>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</si>
  <si>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</si>
  <si>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</si>
  <si>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</si>
  <si>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</si>
  <si>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</si>
  <si>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</si>
  <si>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</si>
  <si>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</si>
  <si>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</si>
  <si>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</si>
  <si>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</si>
  <si>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</si>
  <si>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</si>
  <si>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</si>
  <si>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</si>
  <si>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</si>
  <si>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</si>
  <si>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</si>
  <si>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</si>
  <si>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</si>
  <si>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</si>
  <si>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</si>
  <si>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</si>
  <si>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</si>
  <si>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</si>
  <si>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</si>
  <si>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</si>
  <si>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</si>
  <si>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</si>
  <si>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</si>
  <si>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</si>
  <si>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</si>
  <si>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</si>
  <si>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</si>
  <si>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</si>
  <si>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</si>
  <si>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</si>
  <si>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</si>
  <si>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</si>
  <si>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</si>
  <si>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</si>
  <si>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</si>
  <si>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</si>
  <si>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</si>
  <si>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</si>
  <si>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</si>
  <si>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</si>
  <si>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</si>
  <si>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</si>
  <si>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</si>
  <si>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</si>
  <si>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</si>
  <si>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</si>
  <si>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</si>
  <si>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</si>
  <si>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</si>
  <si>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</si>
  <si>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</si>
  <si>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</si>
  <si>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</si>
  <si>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</si>
  <si>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</si>
  <si>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</si>
  <si>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</si>
  <si>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</si>
  <si>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</si>
  <si>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</si>
  <si>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</si>
  <si>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</si>
  <si>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</si>
  <si>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</si>
  <si>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</si>
  <si>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</si>
  <si>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</si>
  <si>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</si>
  <si>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</si>
  <si>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</si>
  <si>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</si>
  <si>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</si>
  <si>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</si>
  <si>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</si>
  <si>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</si>
  <si>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</si>
  <si>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</si>
  <si>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</si>
  <si>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</si>
  <si>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</si>
  <si>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</si>
  <si>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</si>
  <si>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</si>
  <si>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</si>
  <si>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</si>
  <si>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</si>
  <si>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</si>
  <si>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</si>
  <si>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</si>
  <si>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</si>
  <si>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</si>
  <si>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</si>
  <si>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</si>
  <si>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</si>
  <si>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</si>
  <si>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</si>
  <si>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</si>
  <si>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</si>
  <si>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</si>
  <si>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</si>
  <si>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</si>
  <si>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</si>
  <si>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</si>
  <si>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</si>
  <si>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</si>
  <si>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</si>
  <si>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</si>
  <si>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</si>
  <si>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</si>
  <si>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</si>
  <si>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</si>
  <si>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</si>
  <si>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</si>
  <si>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</si>
  <si>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</si>
  <si>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</si>
  <si>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</si>
  <si>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</si>
  <si>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</si>
  <si>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</si>
  <si>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</si>
  <si>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</si>
  <si>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</si>
  <si>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</si>
  <si>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</si>
  <si>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</si>
  <si>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</si>
  <si>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</si>
  <si>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</si>
  <si>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</si>
  <si>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</si>
  <si>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</si>
  <si>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</si>
  <si>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</si>
  <si>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</si>
  <si>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</si>
  <si>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</si>
  <si>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</si>
  <si>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</si>
  <si>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</si>
  <si>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</si>
  <si>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</si>
  <si>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</si>
  <si>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</si>
  <si>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</si>
  <si>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</si>
  <si>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</si>
  <si>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</si>
  <si>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</si>
  <si>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</si>
  <si>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</si>
  <si>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</si>
  <si>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</si>
  <si>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</si>
  <si>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</si>
  <si>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</si>
  <si>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</si>
  <si>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</si>
  <si>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</si>
  <si>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</si>
  <si>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</si>
  <si>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</si>
  <si>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</si>
  <si>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</si>
  <si>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</si>
  <si>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</si>
  <si>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</si>
  <si>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</si>
  <si>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</si>
  <si>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</si>
  <si>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</si>
  <si>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</si>
  <si>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</si>
  <si>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</si>
  <si>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</si>
  <si>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</si>
  <si>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</si>
  <si>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</si>
  <si>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</si>
  <si>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</si>
  <si>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</si>
  <si>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</si>
  <si>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</si>
  <si>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</si>
  <si>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</si>
  <si>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</si>
  <si>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</si>
  <si>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</si>
  <si>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</si>
  <si>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</si>
  <si>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</si>
  <si>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</si>
  <si>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</si>
  <si>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</si>
  <si>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</si>
  <si>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</si>
  <si>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</si>
  <si>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</si>
  <si>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</si>
  <si>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</si>
  <si>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</si>
  <si>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</si>
  <si>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</si>
  <si>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</si>
  <si>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</si>
  <si>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</si>
  <si>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</si>
  <si>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</si>
  <si>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</si>
  <si>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</si>
  <si>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</si>
  <si>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</si>
  <si>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</si>
  <si>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</si>
  <si>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</si>
  <si>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</si>
  <si>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</si>
  <si>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</si>
  <si>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</si>
  <si>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</si>
  <si>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</si>
  <si>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</si>
  <si>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</si>
  <si>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</si>
  <si>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</si>
  <si>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</si>
  <si>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</si>
  <si>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</si>
  <si>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</si>
  <si>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</si>
  <si>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</si>
  <si>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</si>
  <si>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</si>
  <si>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</si>
  <si>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</si>
  <si>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</si>
  <si>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</si>
  <si>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</si>
  <si>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</si>
  <si>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</si>
  <si>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</si>
  <si>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</si>
  <si>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</si>
  <si>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</si>
  <si>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</si>
  <si>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</si>
  <si>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</si>
  <si>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</si>
  <si>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</si>
  <si>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</si>
  <si>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</si>
  <si>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</si>
  <si>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</si>
  <si>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</si>
  <si>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</si>
  <si>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</si>
  <si>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</si>
  <si>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</si>
  <si>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</si>
  <si>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</si>
  <si>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</si>
  <si>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</si>
  <si>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</si>
  <si>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</si>
  <si>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</si>
  <si>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</si>
  <si>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</si>
  <si>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</si>
  <si>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</si>
  <si>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</si>
  <si>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</si>
  <si>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</si>
  <si>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</si>
  <si>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</si>
  <si>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</si>
  <si>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</si>
  <si>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</si>
  <si>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</si>
  <si>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</si>
  <si>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</si>
  <si>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</si>
  <si>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</si>
  <si>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</si>
  <si>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</si>
  <si>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</si>
  <si>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</si>
  <si>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</si>
  <si>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</si>
  <si>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</si>
  <si>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</si>
  <si>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</si>
  <si>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</si>
  <si>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</si>
  <si>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</si>
  <si>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</si>
  <si>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</si>
  <si>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</si>
  <si>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</si>
  <si>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</si>
  <si>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</si>
  <si>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</si>
  <si>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</si>
  <si>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</si>
  <si>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</si>
  <si>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</si>
  <si>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</si>
  <si>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</si>
  <si>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</si>
  <si>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</si>
  <si>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</si>
  <si>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</si>
  <si>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</si>
  <si>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</si>
  <si>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</si>
  <si>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</si>
  <si>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</si>
  <si>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</si>
  <si>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</si>
  <si>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</si>
  <si>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</si>
  <si>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</si>
  <si>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</si>
  <si>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</si>
  <si>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</si>
  <si>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</si>
  <si>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</si>
  <si>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</si>
  <si>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11056</t>
  </si>
  <si>
    <t>ZWIJNDRECHT</t>
  </si>
  <si>
    <t>referentietaak LNE (2017); Jaarverslag De Lijn</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</si>
  <si>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</si>
  <si>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</si>
  <si>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</si>
  <si>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</si>
  <si>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</si>
  <si>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</si>
  <si>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</si>
  <si>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</si>
  <si>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</si>
  <si>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</si>
  <si>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</si>
  <si>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</si>
  <si>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</si>
  <si>
    <t>Herdi</t>
  </si>
  <si>
    <t>WKK-0736</t>
  </si>
  <si>
    <t>Interne verbrandingsmotor</t>
  </si>
  <si>
    <t>Blauwe Hoevestraat 17</t>
  </si>
  <si>
    <t>I.M.E.A. of IMEA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</si>
</sst>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120737.20007653952</c:v>
                </c:pt>
                <c:pt idx="1">
                  <c:v>106754.92323524432</c:v>
                </c:pt>
                <c:pt idx="2">
                  <c:v>1288.8822028206901</c:v>
                </c:pt>
                <c:pt idx="3">
                  <c:v>63063.658410593576</c:v>
                </c:pt>
                <c:pt idx="4">
                  <c:v>56811.14639141818</c:v>
                </c:pt>
                <c:pt idx="5">
                  <c:v>237479.81154979271</c:v>
                </c:pt>
                <c:pt idx="6">
                  <c:v>2201.7983265679795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120737.20007653952</c:v>
                </c:pt>
                <c:pt idx="1">
                  <c:v>106754.92323524432</c:v>
                </c:pt>
                <c:pt idx="2">
                  <c:v>1288.8822028206901</c:v>
                </c:pt>
                <c:pt idx="3">
                  <c:v>63063.658410593576</c:v>
                </c:pt>
                <c:pt idx="4">
                  <c:v>56811.14639141818</c:v>
                </c:pt>
                <c:pt idx="5">
                  <c:v>237479.81154979271</c:v>
                </c:pt>
                <c:pt idx="6">
                  <c:v>2201.7983265679795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23851.782847936687</c:v>
                </c:pt>
                <c:pt idx="1">
                  <c:v>21866.439165737094</c:v>
                </c:pt>
                <c:pt idx="2">
                  <c:v>276.11920285141196</c:v>
                </c:pt>
                <c:pt idx="3">
                  <c:v>15122.324916060206</c:v>
                </c:pt>
                <c:pt idx="4">
                  <c:v>11547.733893293864</c:v>
                </c:pt>
                <c:pt idx="5">
                  <c:v>59279.510544448625</c:v>
                </c:pt>
                <c:pt idx="6">
                  <c:v>512.07218310424821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23851.782847936687</c:v>
                </c:pt>
                <c:pt idx="1">
                  <c:v>21866.439165737094</c:v>
                </c:pt>
                <c:pt idx="2">
                  <c:v>276.11920285141196</c:v>
                </c:pt>
                <c:pt idx="3">
                  <c:v>15122.324916060206</c:v>
                </c:pt>
                <c:pt idx="4">
                  <c:v>11547.733893293864</c:v>
                </c:pt>
                <c:pt idx="5">
                  <c:v>59279.510544448625</c:v>
                </c:pt>
                <c:pt idx="6">
                  <c:v>512.07218310424821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11056</v>
      </c>
      <c r="B6" s="392"/>
      <c r="C6" s="393"/>
    </row>
    <row r="7" spans="1:7" s="390" customFormat="1" ht="15.75" customHeight="1">
      <c r="A7" s="394" t="str">
        <f>txtMunicipality</f>
        <v>ZWIJNDRECHT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0.21423152732432119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0.21423152732432119</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8168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366.96</v>
      </c>
      <c r="C14" s="332"/>
      <c r="D14" s="332"/>
      <c r="E14" s="332"/>
      <c r="F14" s="332"/>
    </row>
    <row r="15" spans="1:6">
      <c r="A15" s="1310" t="s">
        <v>183</v>
      </c>
      <c r="B15" s="1311">
        <v>0</v>
      </c>
      <c r="C15" s="332"/>
      <c r="D15" s="332"/>
      <c r="E15" s="332"/>
      <c r="F15" s="332"/>
    </row>
    <row r="16" spans="1:6">
      <c r="A16" s="1310" t="s">
        <v>6</v>
      </c>
      <c r="B16" s="1311">
        <v>28</v>
      </c>
      <c r="C16" s="332"/>
      <c r="D16" s="332"/>
      <c r="E16" s="332"/>
      <c r="F16" s="332"/>
    </row>
    <row r="17" spans="1:6">
      <c r="A17" s="1310" t="s">
        <v>7</v>
      </c>
      <c r="B17" s="1311">
        <v>9</v>
      </c>
      <c r="C17" s="332"/>
      <c r="D17" s="332"/>
      <c r="E17" s="332"/>
      <c r="F17" s="332"/>
    </row>
    <row r="18" spans="1:6">
      <c r="A18" s="1310" t="s">
        <v>8</v>
      </c>
      <c r="B18" s="1311">
        <v>22</v>
      </c>
      <c r="C18" s="332"/>
      <c r="D18" s="332"/>
      <c r="E18" s="332"/>
      <c r="F18" s="332"/>
    </row>
    <row r="19" spans="1:6">
      <c r="A19" s="1310" t="s">
        <v>9</v>
      </c>
      <c r="B19" s="1311">
        <v>30</v>
      </c>
      <c r="C19" s="332"/>
      <c r="D19" s="332"/>
      <c r="E19" s="332"/>
      <c r="F19" s="332"/>
    </row>
    <row r="20" spans="1:6">
      <c r="A20" s="1310" t="s">
        <v>10</v>
      </c>
      <c r="B20" s="1311">
        <v>13</v>
      </c>
      <c r="C20" s="332"/>
      <c r="D20" s="332"/>
      <c r="E20" s="332"/>
      <c r="F20" s="332"/>
    </row>
    <row r="21" spans="1:6">
      <c r="A21" s="1310" t="s">
        <v>11</v>
      </c>
      <c r="B21" s="1311">
        <v>75</v>
      </c>
      <c r="C21" s="332"/>
      <c r="D21" s="332"/>
      <c r="E21" s="332"/>
      <c r="F21" s="332"/>
    </row>
    <row r="22" spans="1:6">
      <c r="A22" s="1310" t="s">
        <v>12</v>
      </c>
      <c r="B22" s="1311">
        <v>122</v>
      </c>
      <c r="C22" s="332"/>
      <c r="D22" s="332"/>
      <c r="E22" s="332"/>
      <c r="F22" s="332"/>
    </row>
    <row r="23" spans="1:6">
      <c r="A23" s="1310" t="s">
        <v>13</v>
      </c>
      <c r="B23" s="1311">
        <v>7</v>
      </c>
      <c r="C23" s="332"/>
      <c r="D23" s="332"/>
      <c r="E23" s="332"/>
      <c r="F23" s="332"/>
    </row>
    <row r="24" spans="1:6">
      <c r="A24" s="1310" t="s">
        <v>14</v>
      </c>
      <c r="B24" s="1311">
        <v>1</v>
      </c>
      <c r="C24" s="332"/>
      <c r="D24" s="332"/>
      <c r="E24" s="332"/>
      <c r="F24" s="332"/>
    </row>
    <row r="25" spans="1:6">
      <c r="A25" s="1310" t="s">
        <v>15</v>
      </c>
      <c r="B25" s="1311">
        <v>34</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13</v>
      </c>
      <c r="C29" s="338"/>
      <c r="D29" s="338"/>
      <c r="E29" s="338"/>
      <c r="F29" s="338"/>
    </row>
    <row r="30" spans="1:6">
      <c r="A30" s="1305" t="s">
        <v>700</v>
      </c>
      <c r="B30" s="1314">
        <v>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4</v>
      </c>
      <c r="D36" s="1311">
        <v>243813.44752643799</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3003.8927965408998</v>
      </c>
    </row>
    <row r="39" spans="1:6">
      <c r="A39" s="1310" t="s">
        <v>29</v>
      </c>
      <c r="B39" s="1310" t="s">
        <v>30</v>
      </c>
      <c r="C39" s="1311">
        <v>6833</v>
      </c>
      <c r="D39" s="1311">
        <v>93889071.876106694</v>
      </c>
      <c r="E39" s="1311">
        <v>8294</v>
      </c>
      <c r="F39" s="1311">
        <v>27821210.3473561</v>
      </c>
    </row>
    <row r="40" spans="1:6">
      <c r="A40" s="1310" t="s">
        <v>29</v>
      </c>
      <c r="B40" s="1310" t="s">
        <v>28</v>
      </c>
      <c r="C40" s="1311">
        <v>1</v>
      </c>
      <c r="D40" s="1311">
        <v>24562.587770329501</v>
      </c>
      <c r="E40" s="1311">
        <v>1</v>
      </c>
      <c r="F40" s="1311">
        <v>3878.7118493480002</v>
      </c>
    </row>
    <row r="41" spans="1:6">
      <c r="A41" s="1310" t="s">
        <v>31</v>
      </c>
      <c r="B41" s="1310" t="s">
        <v>32</v>
      </c>
      <c r="C41" s="1311">
        <v>44</v>
      </c>
      <c r="D41" s="1311">
        <v>1847378.78633236</v>
      </c>
      <c r="E41" s="1311">
        <v>78</v>
      </c>
      <c r="F41" s="1311">
        <v>5473445.5850618798</v>
      </c>
    </row>
    <row r="42" spans="1:6">
      <c r="A42" s="1310" t="s">
        <v>31</v>
      </c>
      <c r="B42" s="1310" t="s">
        <v>33</v>
      </c>
      <c r="C42" s="1311">
        <v>0</v>
      </c>
      <c r="D42" s="1311">
        <v>0</v>
      </c>
      <c r="E42" s="1311">
        <v>5</v>
      </c>
      <c r="F42" s="1311">
        <v>9288710.5821941998</v>
      </c>
    </row>
    <row r="43" spans="1:6">
      <c r="A43" s="1310" t="s">
        <v>31</v>
      </c>
      <c r="B43" s="1310" t="s">
        <v>34</v>
      </c>
      <c r="C43" s="1311">
        <v>0</v>
      </c>
      <c r="D43" s="1311">
        <v>0</v>
      </c>
      <c r="E43" s="1311">
        <v>0</v>
      </c>
      <c r="F43" s="1311">
        <v>0</v>
      </c>
    </row>
    <row r="44" spans="1:6">
      <c r="A44" s="1310" t="s">
        <v>31</v>
      </c>
      <c r="B44" s="1310" t="s">
        <v>35</v>
      </c>
      <c r="C44" s="1311">
        <v>6</v>
      </c>
      <c r="D44" s="1311">
        <v>3019147.07902512</v>
      </c>
      <c r="E44" s="1311">
        <v>15</v>
      </c>
      <c r="F44" s="1311">
        <v>4663968.1574651403</v>
      </c>
    </row>
    <row r="45" spans="1:6">
      <c r="A45" s="1310" t="s">
        <v>31</v>
      </c>
      <c r="B45" s="1310" t="s">
        <v>36</v>
      </c>
      <c r="C45" s="1311">
        <v>3</v>
      </c>
      <c r="D45" s="1311">
        <v>1063414.1141373599</v>
      </c>
      <c r="E45" s="1311">
        <v>5</v>
      </c>
      <c r="F45" s="1311">
        <v>19043828.174859501</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1692388.16594639</v>
      </c>
      <c r="E48" s="1311">
        <v>2</v>
      </c>
      <c r="F48" s="1311">
        <v>6992.3256674122003</v>
      </c>
    </row>
    <row r="49" spans="1:6">
      <c r="A49" s="1310" t="s">
        <v>31</v>
      </c>
      <c r="B49" s="1310" t="s">
        <v>39</v>
      </c>
      <c r="C49" s="1311">
        <v>4</v>
      </c>
      <c r="D49" s="1311">
        <v>74663.871608390997</v>
      </c>
      <c r="E49" s="1311">
        <v>4</v>
      </c>
      <c r="F49" s="1311">
        <v>34703.4662360156</v>
      </c>
    </row>
    <row r="50" spans="1:6">
      <c r="A50" s="1310" t="s">
        <v>31</v>
      </c>
      <c r="B50" s="1310" t="s">
        <v>40</v>
      </c>
      <c r="C50" s="1311">
        <v>5</v>
      </c>
      <c r="D50" s="1311">
        <v>1458681.9721616299</v>
      </c>
      <c r="E50" s="1311">
        <v>11</v>
      </c>
      <c r="F50" s="1311">
        <v>1291594.75269481</v>
      </c>
    </row>
    <row r="51" spans="1:6">
      <c r="A51" s="1310" t="s">
        <v>41</v>
      </c>
      <c r="B51" s="1310" t="s">
        <v>42</v>
      </c>
      <c r="C51" s="1311">
        <v>9</v>
      </c>
      <c r="D51" s="1311">
        <v>18673855.343108401</v>
      </c>
      <c r="E51" s="1311">
        <v>30</v>
      </c>
      <c r="F51" s="1311">
        <v>1328247.43055306</v>
      </c>
    </row>
    <row r="52" spans="1:6">
      <c r="A52" s="1310" t="s">
        <v>41</v>
      </c>
      <c r="B52" s="1310" t="s">
        <v>28</v>
      </c>
      <c r="C52" s="1311">
        <v>0</v>
      </c>
      <c r="D52" s="1311">
        <v>0</v>
      </c>
      <c r="E52" s="1311">
        <v>0</v>
      </c>
      <c r="F52" s="1311">
        <v>0</v>
      </c>
    </row>
    <row r="53" spans="1:6">
      <c r="A53" s="1310" t="s">
        <v>43</v>
      </c>
      <c r="B53" s="1310" t="s">
        <v>44</v>
      </c>
      <c r="C53" s="1311">
        <v>149</v>
      </c>
      <c r="D53" s="1311">
        <v>5756815.6102115205</v>
      </c>
      <c r="E53" s="1311">
        <v>337</v>
      </c>
      <c r="F53" s="1311">
        <v>777622.95221672999</v>
      </c>
    </row>
    <row r="54" spans="1:6">
      <c r="A54" s="1310" t="s">
        <v>45</v>
      </c>
      <c r="B54" s="1310" t="s">
        <v>46</v>
      </c>
      <c r="C54" s="1311">
        <v>0</v>
      </c>
      <c r="D54" s="1311">
        <v>0</v>
      </c>
      <c r="E54" s="1311">
        <v>5</v>
      </c>
      <c r="F54" s="1311">
        <v>1288882.2028206901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63</v>
      </c>
      <c r="D57" s="1311">
        <v>3349231.4667450301</v>
      </c>
      <c r="E57" s="1311">
        <v>111</v>
      </c>
      <c r="F57" s="1311">
        <v>3418150.0917560598</v>
      </c>
    </row>
    <row r="58" spans="1:6">
      <c r="A58" s="1310" t="s">
        <v>48</v>
      </c>
      <c r="B58" s="1310" t="s">
        <v>50</v>
      </c>
      <c r="C58" s="1311">
        <v>35</v>
      </c>
      <c r="D58" s="1311">
        <v>3527275.7990538999</v>
      </c>
      <c r="E58" s="1311">
        <v>46</v>
      </c>
      <c r="F58" s="1311">
        <v>1625406.9679048799</v>
      </c>
    </row>
    <row r="59" spans="1:6">
      <c r="A59" s="1310" t="s">
        <v>48</v>
      </c>
      <c r="B59" s="1310" t="s">
        <v>51</v>
      </c>
      <c r="C59" s="1311">
        <v>114</v>
      </c>
      <c r="D59" s="1311">
        <v>7038241.6705859303</v>
      </c>
      <c r="E59" s="1311">
        <v>165</v>
      </c>
      <c r="F59" s="1311">
        <v>8265270.19392775</v>
      </c>
    </row>
    <row r="60" spans="1:6">
      <c r="A60" s="1310" t="s">
        <v>48</v>
      </c>
      <c r="B60" s="1310" t="s">
        <v>52</v>
      </c>
      <c r="C60" s="1311">
        <v>54</v>
      </c>
      <c r="D60" s="1311">
        <v>3014254.9959750599</v>
      </c>
      <c r="E60" s="1311">
        <v>62</v>
      </c>
      <c r="F60" s="1311">
        <v>1834172.6751884299</v>
      </c>
    </row>
    <row r="61" spans="1:6">
      <c r="A61" s="1310" t="s">
        <v>48</v>
      </c>
      <c r="B61" s="1310" t="s">
        <v>53</v>
      </c>
      <c r="C61" s="1311">
        <v>122</v>
      </c>
      <c r="D61" s="1311">
        <v>66771727.758685097</v>
      </c>
      <c r="E61" s="1311">
        <v>329</v>
      </c>
      <c r="F61" s="1311">
        <v>9652285.60276559</v>
      </c>
    </row>
    <row r="62" spans="1:6">
      <c r="A62" s="1310" t="s">
        <v>48</v>
      </c>
      <c r="B62" s="1310" t="s">
        <v>54</v>
      </c>
      <c r="C62" s="1311">
        <v>4</v>
      </c>
      <c r="D62" s="1311">
        <v>717124.95922475797</v>
      </c>
      <c r="E62" s="1311">
        <v>9</v>
      </c>
      <c r="F62" s="1311">
        <v>226008.99390793199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13</v>
      </c>
      <c r="F66" s="1311">
        <v>565183.44526303106</v>
      </c>
    </row>
    <row r="67" spans="1:6">
      <c r="A67" s="1312" t="s">
        <v>55</v>
      </c>
      <c r="B67" s="1312" t="s">
        <v>58</v>
      </c>
      <c r="C67" s="1311">
        <v>0</v>
      </c>
      <c r="D67" s="1311">
        <v>0</v>
      </c>
      <c r="E67" s="1311">
        <v>0</v>
      </c>
      <c r="F67" s="1311">
        <v>0</v>
      </c>
    </row>
    <row r="68" spans="1:6">
      <c r="A68" s="1305" t="s">
        <v>55</v>
      </c>
      <c r="B68" s="1305" t="s">
        <v>59</v>
      </c>
      <c r="C68" s="1314">
        <v>3</v>
      </c>
      <c r="D68" s="1314">
        <v>202861.31345063701</v>
      </c>
      <c r="E68" s="1314">
        <v>7</v>
      </c>
      <c r="F68" s="1314">
        <v>895008.83329899202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42441342</v>
      </c>
      <c r="E73" s="453"/>
      <c r="F73" s="332"/>
    </row>
    <row r="74" spans="1:6">
      <c r="A74" s="1310" t="s">
        <v>63</v>
      </c>
      <c r="B74" s="1310" t="s">
        <v>648</v>
      </c>
      <c r="C74" s="1324" t="s">
        <v>650</v>
      </c>
      <c r="D74" s="1325">
        <v>3791669.5256210417</v>
      </c>
      <c r="E74" s="453"/>
      <c r="F74" s="332"/>
    </row>
    <row r="75" spans="1:6">
      <c r="A75" s="1310" t="s">
        <v>64</v>
      </c>
      <c r="B75" s="1310" t="s">
        <v>647</v>
      </c>
      <c r="C75" s="1324" t="s">
        <v>651</v>
      </c>
      <c r="D75" s="1325">
        <v>14371496</v>
      </c>
      <c r="E75" s="453"/>
      <c r="F75" s="332"/>
    </row>
    <row r="76" spans="1:6">
      <c r="A76" s="1310" t="s">
        <v>64</v>
      </c>
      <c r="B76" s="1310" t="s">
        <v>648</v>
      </c>
      <c r="C76" s="1324" t="s">
        <v>652</v>
      </c>
      <c r="D76" s="1325">
        <v>2015036.5256210414</v>
      </c>
      <c r="E76" s="453"/>
      <c r="F76" s="332"/>
    </row>
    <row r="77" spans="1:6">
      <c r="A77" s="1310" t="s">
        <v>65</v>
      </c>
      <c r="B77" s="1310" t="s">
        <v>647</v>
      </c>
      <c r="C77" s="1324" t="s">
        <v>653</v>
      </c>
      <c r="D77" s="1325">
        <v>139663774</v>
      </c>
      <c r="E77" s="453"/>
      <c r="F77" s="332"/>
    </row>
    <row r="78" spans="1:6">
      <c r="A78" s="1305" t="s">
        <v>65</v>
      </c>
      <c r="B78" s="1305" t="s">
        <v>648</v>
      </c>
      <c r="C78" s="1305" t="s">
        <v>654</v>
      </c>
      <c r="D78" s="1326">
        <v>32956974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286986.94875791698</v>
      </c>
      <c r="C83" s="453"/>
      <c r="D83" s="332"/>
      <c r="E83" s="332"/>
      <c r="F83" s="332"/>
    </row>
    <row r="84" spans="1:6">
      <c r="A84" s="1305" t="s">
        <v>336</v>
      </c>
      <c r="B84" s="1326">
        <v>331105.73672637797</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2916.4827177243237</v>
      </c>
      <c r="C91" s="332"/>
      <c r="D91" s="332"/>
      <c r="E91" s="332"/>
      <c r="F91" s="332"/>
    </row>
    <row r="92" spans="1:6">
      <c r="A92" s="1305" t="s">
        <v>68</v>
      </c>
      <c r="B92" s="1306">
        <v>3163.5224427792673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5156</v>
      </c>
      <c r="C97" s="332"/>
      <c r="D97" s="332"/>
      <c r="E97" s="332"/>
      <c r="F97" s="332"/>
    </row>
    <row r="98" spans="1:6">
      <c r="A98" s="1310" t="s">
        <v>71</v>
      </c>
      <c r="B98" s="1311">
        <v>14</v>
      </c>
      <c r="C98" s="332"/>
      <c r="D98" s="332"/>
      <c r="E98" s="332"/>
      <c r="F98" s="332"/>
    </row>
    <row r="99" spans="1:6">
      <c r="A99" s="1310" t="s">
        <v>72</v>
      </c>
      <c r="B99" s="1311">
        <v>13</v>
      </c>
      <c r="C99" s="332"/>
      <c r="D99" s="332"/>
      <c r="E99" s="332"/>
      <c r="F99" s="332"/>
    </row>
    <row r="100" spans="1:6">
      <c r="A100" s="1310" t="s">
        <v>73</v>
      </c>
      <c r="B100" s="1311">
        <v>969</v>
      </c>
      <c r="C100" s="332"/>
      <c r="D100" s="332"/>
      <c r="E100" s="332"/>
      <c r="F100" s="332"/>
    </row>
    <row r="101" spans="1:6">
      <c r="A101" s="1310" t="s">
        <v>74</v>
      </c>
      <c r="B101" s="1311">
        <v>49</v>
      </c>
      <c r="C101" s="332"/>
      <c r="D101" s="332"/>
      <c r="E101" s="332"/>
      <c r="F101" s="332"/>
    </row>
    <row r="102" spans="1:6">
      <c r="A102" s="1310" t="s">
        <v>75</v>
      </c>
      <c r="B102" s="1311">
        <v>101</v>
      </c>
      <c r="C102" s="332"/>
      <c r="D102" s="332"/>
      <c r="E102" s="332"/>
      <c r="F102" s="332"/>
    </row>
    <row r="103" spans="1:6">
      <c r="A103" s="1310" t="s">
        <v>76</v>
      </c>
      <c r="B103" s="1311">
        <v>138</v>
      </c>
      <c r="C103" s="332"/>
      <c r="D103" s="332"/>
      <c r="E103" s="332"/>
      <c r="F103" s="332"/>
    </row>
    <row r="104" spans="1:6">
      <c r="A104" s="1310" t="s">
        <v>77</v>
      </c>
      <c r="B104" s="1311">
        <v>696</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7</v>
      </c>
      <c r="C123" s="1311">
        <v>19</v>
      </c>
      <c r="D123" s="332"/>
      <c r="E123" s="332"/>
      <c r="F123" s="332"/>
    </row>
    <row r="124" spans="1:6" s="43" customFormat="1">
      <c r="A124" s="1312" t="s">
        <v>88</v>
      </c>
      <c r="B124" s="1333">
        <v>2</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78</v>
      </c>
      <c r="C129" s="332"/>
      <c r="D129" s="332"/>
      <c r="E129" s="332"/>
      <c r="F129" s="332"/>
    </row>
    <row r="130" spans="1:6">
      <c r="A130" s="1310" t="s">
        <v>294</v>
      </c>
      <c r="B130" s="1311">
        <v>1</v>
      </c>
      <c r="C130" s="332"/>
      <c r="D130" s="332"/>
      <c r="E130" s="332"/>
      <c r="F130" s="332"/>
    </row>
    <row r="131" spans="1:6">
      <c r="A131" s="1310" t="s">
        <v>295</v>
      </c>
      <c r="B131" s="1311">
        <v>1</v>
      </c>
      <c r="C131" s="332"/>
      <c r="D131" s="332"/>
      <c r="E131" s="332"/>
      <c r="F131" s="332"/>
    </row>
    <row r="132" spans="1:6">
      <c r="A132" s="1305" t="s">
        <v>296</v>
      </c>
      <c r="B132" s="1306">
        <v>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100283.23219518724</v>
      </c>
      <c r="C3" s="43" t="s">
        <v>169</v>
      </c>
      <c r="D3" s="43"/>
      <c r="E3" s="154"/>
      <c r="F3" s="43"/>
      <c r="G3" s="43"/>
      <c r="H3" s="43"/>
      <c r="I3" s="43"/>
      <c r="J3" s="43"/>
      <c r="K3" s="96"/>
    </row>
    <row r="4" spans="1:11">
      <c r="A4" s="360" t="s">
        <v>170</v>
      </c>
      <c r="B4" s="49">
        <f>IF(ISERROR('SEAP template'!B78+'SEAP template'!C78),0,'SEAP template'!B78+'SEAP template'!C78)</f>
        <v>46022.005160503591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9492.0988235294135</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0.21423152732432119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13560.14117647059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57060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1288.8822028206901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1288.8822028206901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0.21423152732432119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276.11920285141196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27825.089059205446</v>
      </c>
      <c r="C5" s="17">
        <f>IF(ISERROR('Eigen informatie GS &amp; warmtenet'!B59),0,'Eigen informatie GS &amp; warmtenet'!B59)</f>
        <v>0</v>
      </c>
      <c r="D5" s="30">
        <f>(SUM(HH_hh_gas_kWh,HH_rest_gas_kWh)/1000)*0.903</f>
        <v>84804.011920880948</v>
      </c>
      <c r="E5" s="17">
        <f>B46*B57</f>
        <v>597.17429866441489</v>
      </c>
      <c r="F5" s="17">
        <f>B51*B62</f>
        <v>0</v>
      </c>
      <c r="G5" s="18"/>
      <c r="H5" s="17"/>
      <c r="I5" s="17"/>
      <c r="J5" s="17">
        <f>B50*B61+C50*C61</f>
        <v>0</v>
      </c>
      <c r="K5" s="17"/>
      <c r="L5" s="17"/>
      <c r="M5" s="17"/>
      <c r="N5" s="17">
        <f>B48*B59+C48*C59</f>
        <v>4218.9529081144365</v>
      </c>
      <c r="O5" s="17">
        <f>B69*B70*B71</f>
        <v>196.41186371931616</v>
      </c>
      <c r="P5" s="17">
        <f>B77*B78*B79/1000-B77*B78*B79/1000/B80</f>
        <v>179.07730823064537</v>
      </c>
    </row>
    <row r="6" spans="1:16">
      <c r="A6" s="16" t="s">
        <v>612</v>
      </c>
      <c r="B6" s="786">
        <f>kWh_PV_kleiner_dan_10kW</f>
        <v>2916.4827177243237</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30741.57177692977</v>
      </c>
      <c r="C8" s="21">
        <f>C5</f>
        <v>0</v>
      </c>
      <c r="D8" s="21">
        <f>D5</f>
        <v>84804.011920880948</v>
      </c>
      <c r="E8" s="21">
        <f>E5</f>
        <v>597.17429866441489</v>
      </c>
      <c r="F8" s="21">
        <f>F5</f>
        <v>0</v>
      </c>
      <c r="G8" s="21"/>
      <c r="H8" s="21"/>
      <c r="I8" s="21"/>
      <c r="J8" s="21">
        <f>J5</f>
        <v>0</v>
      </c>
      <c r="K8" s="21"/>
      <c r="L8" s="21">
        <f>L5</f>
        <v>0</v>
      </c>
      <c r="M8" s="21">
        <f>M5</f>
        <v>0</v>
      </c>
      <c r="N8" s="21">
        <f>N5</f>
        <v>4218.9529081144365</v>
      </c>
      <c r="O8" s="21">
        <f>O5</f>
        <v>196.41186371931616</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0.21423152732432119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6585.8138741219109</v>
      </c>
      <c r="C12" s="23">
        <f ca="1">C10*C8</f>
        <v>0</v>
      </c>
      <c r="D12" s="23">
        <f>D8*D10</f>
        <v>17130.410408017953</v>
      </c>
      <c r="E12" s="23">
        <f>E10*E8</f>
        <v>135.55856579682219</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5156</v>
      </c>
      <c r="C18" s="166" t="s">
        <v>110</v>
      </c>
      <c r="D18" s="228"/>
      <c r="E18" s="15"/>
    </row>
    <row r="19" spans="1:7">
      <c r="A19" s="171" t="s">
        <v>71</v>
      </c>
      <c r="B19" s="37">
        <f>aantalw2001_ander</f>
        <v>14</v>
      </c>
      <c r="C19" s="166" t="s">
        <v>110</v>
      </c>
      <c r="D19" s="229"/>
      <c r="E19" s="15"/>
    </row>
    <row r="20" spans="1:7">
      <c r="A20" s="171" t="s">
        <v>72</v>
      </c>
      <c r="B20" s="37">
        <f>aantalw2001_propaan</f>
        <v>13</v>
      </c>
      <c r="C20" s="167">
        <f>IF(ISERROR(B20/SUM($B$20,$B$21,$B$22)*100),0,B20/SUM($B$20,$B$21,$B$22)*100)</f>
        <v>1.2609117361784674</v>
      </c>
      <c r="D20" s="229"/>
      <c r="E20" s="15"/>
    </row>
    <row r="21" spans="1:7">
      <c r="A21" s="171" t="s">
        <v>73</v>
      </c>
      <c r="B21" s="37">
        <f>aantalw2001_elektriciteit</f>
        <v>969</v>
      </c>
      <c r="C21" s="167">
        <f>IF(ISERROR(B21/SUM($B$20,$B$21,$B$22)*100),0,B21/SUM($B$20,$B$21,$B$22)*100)</f>
        <v>93.986420950533471</v>
      </c>
      <c r="D21" s="229"/>
      <c r="E21" s="15"/>
    </row>
    <row r="22" spans="1:7">
      <c r="A22" s="171" t="s">
        <v>74</v>
      </c>
      <c r="B22" s="37">
        <f>aantalw2001_hout</f>
        <v>49</v>
      </c>
      <c r="C22" s="167">
        <f>IF(ISERROR(B22/SUM($B$20,$B$21,$B$22)*100),0,B22/SUM($B$20,$B$21,$B$22)*100)</f>
        <v>4.7526673132880699</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696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8168</v>
      </c>
      <c r="C28" s="36"/>
      <c r="D28" s="228"/>
    </row>
    <row r="29" spans="1:7" s="15" customFormat="1">
      <c r="A29" s="230" t="s">
        <v>839</v>
      </c>
      <c r="B29" s="37">
        <f>SUM(HH_hh_gas_aantal,HH_rest_gas_aantal)</f>
        <v>6834</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6834</v>
      </c>
      <c r="C32" s="167">
        <f>IF(ISERROR(B32/SUM($B$32,$B$34,$B$35,$B$36,$B$38,$B$39)*100),0,B32/SUM($B$32,$B$34,$B$35,$B$36,$B$38,$B$39)*100)</f>
        <v>83.842473316157523</v>
      </c>
      <c r="D32" s="233"/>
      <c r="G32" s="15"/>
    </row>
    <row r="33" spans="1:7">
      <c r="A33" s="171" t="s">
        <v>71</v>
      </c>
      <c r="B33" s="34" t="s">
        <v>110</v>
      </c>
      <c r="C33" s="167"/>
      <c r="D33" s="233"/>
      <c r="G33" s="15"/>
    </row>
    <row r="34" spans="1:7">
      <c r="A34" s="171" t="s">
        <v>72</v>
      </c>
      <c r="B34" s="33">
        <f>IF((($B$28-$B$32-$B$39-$B$77-$B$38)*C20/100)&lt;0,0,($B$28-$B$32-$B$39-$B$77-$B$38)*C20/100)</f>
        <v>16.606207565470417</v>
      </c>
      <c r="C34" s="167">
        <f>IF(ISERROR(B34/SUM($B$32,$B$34,$B$35,$B$36,$B$38,$B$39)*100),0,B34/SUM($B$32,$B$34,$B$35,$B$36,$B$38,$B$39)*100)</f>
        <v>0.20373215023273727</v>
      </c>
      <c r="D34" s="233"/>
      <c r="G34" s="15"/>
    </row>
    <row r="35" spans="1:7">
      <c r="A35" s="171" t="s">
        <v>73</v>
      </c>
      <c r="B35" s="33">
        <f>IF((($B$28-$B$32-$B$39-$B$77-$B$38)*C21/100)&lt;0,0,($B$28-$B$32-$B$39-$B$77-$B$38)*C21/100)</f>
        <v>1237.8011639185258</v>
      </c>
      <c r="C35" s="167">
        <f>IF(ISERROR(B35/SUM($B$32,$B$34,$B$35,$B$36,$B$38,$B$39)*100),0,B35/SUM($B$32,$B$34,$B$35,$B$36,$B$38,$B$39)*100)</f>
        <v>15.185881044270957</v>
      </c>
      <c r="D35" s="233"/>
      <c r="G35" s="15"/>
    </row>
    <row r="36" spans="1:7">
      <c r="A36" s="171" t="s">
        <v>74</v>
      </c>
      <c r="B36" s="33">
        <f>IF((($B$28-$B$32-$B$39-$B$77-$B$38)*C22/100)&lt;0,0,($B$28-$B$32-$B$39-$B$77-$B$38)*C22/100)</f>
        <v>62.592628516003877</v>
      </c>
      <c r="C36" s="167">
        <f>IF(ISERROR(B36/SUM($B$32,$B$34,$B$35,$B$36,$B$38,$B$39)*100),0,B36/SUM($B$32,$B$34,$B$35,$B$36,$B$38,$B$39)*100)</f>
        <v>0.7679134893387789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6834</v>
      </c>
      <c r="C44" s="34" t="s">
        <v>110</v>
      </c>
      <c r="D44" s="174"/>
    </row>
    <row r="45" spans="1:7">
      <c r="A45" s="171" t="s">
        <v>71</v>
      </c>
      <c r="B45" s="33" t="str">
        <f t="shared" si="0"/>
        <v>-</v>
      </c>
      <c r="C45" s="34" t="s">
        <v>110</v>
      </c>
      <c r="D45" s="174"/>
    </row>
    <row r="46" spans="1:7">
      <c r="A46" s="171" t="s">
        <v>72</v>
      </c>
      <c r="B46" s="33">
        <f t="shared" si="0"/>
        <v>16.606207565470417</v>
      </c>
      <c r="C46" s="34" t="s">
        <v>110</v>
      </c>
      <c r="D46" s="174"/>
    </row>
    <row r="47" spans="1:7">
      <c r="A47" s="171" t="s">
        <v>73</v>
      </c>
      <c r="B47" s="33">
        <f t="shared" si="0"/>
        <v>1237.8011639185258</v>
      </c>
      <c r="C47" s="34" t="s">
        <v>110</v>
      </c>
      <c r="D47" s="174"/>
    </row>
    <row r="48" spans="1:7">
      <c r="A48" s="171" t="s">
        <v>74</v>
      </c>
      <c r="B48" s="33">
        <f t="shared" si="0"/>
        <v>62.592628516003877</v>
      </c>
      <c r="C48" s="33">
        <f>B48*10</f>
        <v>625.92628516003879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25021.294525450645</v>
      </c>
      <c r="C5" s="17">
        <f>IF(ISERROR('Eigen informatie GS &amp; warmtenet'!B60),0,'Eigen informatie GS &amp; warmtenet'!B60)</f>
        <v>0</v>
      </c>
      <c r="D5" s="30">
        <f>SUM(D6:D12)</f>
        <v>76229.324555193612</v>
      </c>
      <c r="E5" s="17">
        <f>SUM(E6:E12)</f>
        <v>80.315819661019574</v>
      </c>
      <c r="F5" s="17">
        <f>SUM(F6:F12)</f>
        <v>4082.5792965324372</v>
      </c>
      <c r="G5" s="18"/>
      <c r="H5" s="17"/>
      <c r="I5" s="17"/>
      <c r="J5" s="17">
        <f>SUM(J6:J12)</f>
        <v>3.3757035405281979E-2</v>
      </c>
      <c r="K5" s="17"/>
      <c r="L5" s="17"/>
      <c r="M5" s="17"/>
      <c r="N5" s="17">
        <f>SUM(N6:N12)</f>
        <v>1241.0426011352447</v>
      </c>
      <c r="O5" s="17">
        <f>B38*B39*B40</f>
        <v>4.8972607658411542</v>
      </c>
      <c r="P5" s="17">
        <f>B46*B47*B48/1000-B46*B47*B48/1000/B49</f>
        <v>105.07827661299004</v>
      </c>
      <c r="R5" s="32"/>
    </row>
    <row r="6" spans="1:18">
      <c r="A6" s="32" t="s">
        <v>53</v>
      </c>
      <c r="B6" s="37">
        <f>B26</f>
        <v>9652.2856027655907</v>
      </c>
      <c r="C6" s="33"/>
      <c r="D6" s="37">
        <f>IF(ISERROR(TER_kantoor_gas_kWh/1000),0,TER_kantoor_gas_kWh/1000)*0.903</f>
        <v>60294.870166092645</v>
      </c>
      <c r="E6" s="33">
        <f>$C$26*'E Balans VL '!I12/100/3.6*1000000</f>
        <v>2.312458199271028</v>
      </c>
      <c r="F6" s="33">
        <f>$C$26*('E Balans VL '!L12+'E Balans VL '!N12)/100/3.6*1000000</f>
        <v>915.31490679796366</v>
      </c>
      <c r="G6" s="34"/>
      <c r="H6" s="33"/>
      <c r="I6" s="33"/>
      <c r="J6" s="33">
        <f>$C$26*('E Balans VL '!D12+'E Balans VL '!E12)/100/3.6*1000000</f>
        <v>0</v>
      </c>
      <c r="K6" s="33"/>
      <c r="L6" s="33"/>
      <c r="M6" s="33"/>
      <c r="N6" s="33">
        <f>$C$26*'E Balans VL '!Y12/100/3.6*1000000</f>
        <v>4.902861834320384</v>
      </c>
      <c r="O6" s="33"/>
      <c r="P6" s="33"/>
      <c r="R6" s="32"/>
    </row>
    <row r="7" spans="1:18">
      <c r="A7" s="32" t="s">
        <v>52</v>
      </c>
      <c r="B7" s="37">
        <f t="shared" ref="B7:B12" si="0">B27</f>
        <v>1834.1726751884298</v>
      </c>
      <c r="C7" s="33"/>
      <c r="D7" s="37">
        <f>IF(ISERROR(TER_horeca_gas_kWh/1000),0,TER_horeca_gas_kWh/1000)*0.903</f>
        <v>2721.8722613654791</v>
      </c>
      <c r="E7" s="33">
        <f>$C$27*'E Balans VL '!I9/100/3.6*1000000</f>
        <v>0</v>
      </c>
      <c r="F7" s="33">
        <f>$C$27*('E Balans VL '!L9+'E Balans VL '!N9)/100/3.6*1000000</f>
        <v>150.39784779537231</v>
      </c>
      <c r="G7" s="34"/>
      <c r="H7" s="33"/>
      <c r="I7" s="33"/>
      <c r="J7" s="33">
        <f>$C$27*('E Balans VL '!D9+'E Balans VL '!E9)/100/3.6*1000000</f>
        <v>0</v>
      </c>
      <c r="K7" s="33"/>
      <c r="L7" s="33"/>
      <c r="M7" s="33"/>
      <c r="N7" s="33">
        <f>$C$27*'E Balans VL '!Y9/100/3.6*1000000</f>
        <v>0.56224761659926259</v>
      </c>
      <c r="O7" s="33"/>
      <c r="P7" s="33"/>
      <c r="R7" s="32"/>
    </row>
    <row r="8" spans="1:18">
      <c r="A8" s="6" t="s">
        <v>51</v>
      </c>
      <c r="B8" s="37">
        <f t="shared" si="0"/>
        <v>8265.2701939277504</v>
      </c>
      <c r="C8" s="33"/>
      <c r="D8" s="37">
        <f>IF(ISERROR(TER_handel_gas_kWh/1000),0,TER_handel_gas_kWh/1000)*0.903</f>
        <v>6355.5322285390957</v>
      </c>
      <c r="E8" s="33">
        <f>$C$28*'E Balans VL '!I13/100/3.6*1000000</f>
        <v>29.04790732258984</v>
      </c>
      <c r="F8" s="33">
        <f>$C$28*('E Balans VL '!L13+'E Balans VL '!N13)/100/3.6*1000000</f>
        <v>756.25737970436796</v>
      </c>
      <c r="G8" s="34"/>
      <c r="H8" s="33"/>
      <c r="I8" s="33"/>
      <c r="J8" s="33">
        <f>$C$28*('E Balans VL '!D13+'E Balans VL '!E13)/100/3.6*1000000</f>
        <v>0</v>
      </c>
      <c r="K8" s="33"/>
      <c r="L8" s="33"/>
      <c r="M8" s="33"/>
      <c r="N8" s="33">
        <f>$C$28*'E Balans VL '!Y13/100/3.6*1000000</f>
        <v>2.9933250310418553</v>
      </c>
      <c r="O8" s="33"/>
      <c r="P8" s="33"/>
      <c r="R8" s="32"/>
    </row>
    <row r="9" spans="1:18">
      <c r="A9" s="32" t="s">
        <v>50</v>
      </c>
      <c r="B9" s="37">
        <f t="shared" si="0"/>
        <v>1625.40696790488</v>
      </c>
      <c r="C9" s="33"/>
      <c r="D9" s="37">
        <f>IF(ISERROR(TER_gezond_gas_kWh/1000),0,TER_gezond_gas_kWh/1000)*0.903</f>
        <v>3185.1300465456716</v>
      </c>
      <c r="E9" s="33">
        <f>$C$29*'E Balans VL '!I10/100/3.6*1000000</f>
        <v>0</v>
      </c>
      <c r="F9" s="33">
        <f>$C$29*('E Balans VL '!L10+'E Balans VL '!N10)/100/3.6*1000000</f>
        <v>199.24504700105308</v>
      </c>
      <c r="G9" s="34"/>
      <c r="H9" s="33"/>
      <c r="I9" s="33"/>
      <c r="J9" s="33">
        <f>$C$29*('E Balans VL '!D10+'E Balans VL '!E10)/100/3.6*1000000</f>
        <v>0</v>
      </c>
      <c r="K9" s="33"/>
      <c r="L9" s="33"/>
      <c r="M9" s="33"/>
      <c r="N9" s="33">
        <f>$C$29*'E Balans VL '!Y10/100/3.6*1000000</f>
        <v>11.986243715593531</v>
      </c>
      <c r="O9" s="33"/>
      <c r="P9" s="33"/>
      <c r="R9" s="32"/>
    </row>
    <row r="10" spans="1:18">
      <c r="A10" s="32" t="s">
        <v>49</v>
      </c>
      <c r="B10" s="37">
        <f t="shared" si="0"/>
        <v>3418.1500917560597</v>
      </c>
      <c r="C10" s="33"/>
      <c r="D10" s="37">
        <f>IF(ISERROR(TER_ander_gas_kWh/1000),0,TER_ander_gas_kWh/1000)*0.903</f>
        <v>3024.3560144707621</v>
      </c>
      <c r="E10" s="33">
        <f>$C$30*'E Balans VL '!I14/100/3.6*1000000</f>
        <v>48.955454139158711</v>
      </c>
      <c r="F10" s="33">
        <f>$C$30*('E Balans VL '!L14+'E Balans VL '!N14)/100/3.6*1000000</f>
        <v>2034.9409724374493</v>
      </c>
      <c r="G10" s="34"/>
      <c r="H10" s="33"/>
      <c r="I10" s="33"/>
      <c r="J10" s="33">
        <f>$C$30*('E Balans VL '!D14+'E Balans VL '!E14)/100/3.6*1000000</f>
        <v>3.3757035405281979E-2</v>
      </c>
      <c r="K10" s="33"/>
      <c r="L10" s="33"/>
      <c r="M10" s="33"/>
      <c r="N10" s="33">
        <f>$C$30*'E Balans VL '!Y14/100/3.6*1000000</f>
        <v>1219.9615075637328</v>
      </c>
      <c r="O10" s="33"/>
      <c r="P10" s="33"/>
      <c r="R10" s="32"/>
    </row>
    <row r="11" spans="1:18">
      <c r="A11" s="32" t="s">
        <v>54</v>
      </c>
      <c r="B11" s="37">
        <f t="shared" si="0"/>
        <v>226.00899390793199</v>
      </c>
      <c r="C11" s="33"/>
      <c r="D11" s="37">
        <f>IF(ISERROR(TER_onderwijs_gas_kWh/1000),0,TER_onderwijs_gas_kWh/1000)*0.903</f>
        <v>647.56383817995641</v>
      </c>
      <c r="E11" s="33">
        <f>$C$31*'E Balans VL '!I11/100/3.6*1000000</f>
        <v>0</v>
      </c>
      <c r="F11" s="33">
        <f>$C$31*('E Balans VL '!L11+'E Balans VL '!N11)/100/3.6*1000000</f>
        <v>26.423142796230586</v>
      </c>
      <c r="G11" s="34"/>
      <c r="H11" s="33"/>
      <c r="I11" s="33"/>
      <c r="J11" s="33">
        <f>$C$31*('E Balans VL '!D11+'E Balans VL '!E11)/100/3.6*1000000</f>
        <v>0</v>
      </c>
      <c r="K11" s="33"/>
      <c r="L11" s="33"/>
      <c r="M11" s="33"/>
      <c r="N11" s="33">
        <f>$C$31*'E Balans VL '!Y11/100/3.6*1000000</f>
        <v>0.63641537395684766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22.5</v>
      </c>
      <c r="C13" s="247">
        <f ca="1">'lokale energieproductie'!O41+'lokale energieproductie'!O34</f>
        <v>32.142857142857146</v>
      </c>
      <c r="D13" s="310">
        <f ca="1">('lokale energieproductie'!P34+'lokale energieproductie'!P41)*(-1)</f>
        <v>-64.285714285714292</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25043.794525450645</v>
      </c>
      <c r="C16" s="21">
        <f t="shared" ca="1" si="1"/>
        <v>32.142857142857146</v>
      </c>
      <c r="D16" s="21">
        <f t="shared" ca="1" si="1"/>
        <v>76165.038840907902</v>
      </c>
      <c r="E16" s="21">
        <f t="shared" si="1"/>
        <v>80.315819661019574</v>
      </c>
      <c r="F16" s="21">
        <f t="shared" ca="1" si="1"/>
        <v>4082.5792965324372</v>
      </c>
      <c r="G16" s="21">
        <f t="shared" si="1"/>
        <v>0</v>
      </c>
      <c r="H16" s="21">
        <f t="shared" si="1"/>
        <v>0</v>
      </c>
      <c r="I16" s="21">
        <f t="shared" si="1"/>
        <v>0</v>
      </c>
      <c r="J16" s="21">
        <f t="shared" si="1"/>
        <v>3.3757035405281979E-2</v>
      </c>
      <c r="K16" s="21">
        <f t="shared" si="1"/>
        <v>0</v>
      </c>
      <c r="L16" s="21">
        <f t="shared" ca="1" si="1"/>
        <v>0</v>
      </c>
      <c r="M16" s="21">
        <f t="shared" si="1"/>
        <v>0</v>
      </c>
      <c r="N16" s="21">
        <f t="shared" ca="1" si="1"/>
        <v>1241.0426011352447</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0.21423152732432119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5365.170351183765</v>
      </c>
      <c r="C20" s="23">
        <f t="shared" ref="C20:P20" ca="1" si="2">C16*C18</f>
        <v>7.6386554621848752</v>
      </c>
      <c r="D20" s="23">
        <f t="shared" ca="1" si="2"/>
        <v>15385.337845863398</v>
      </c>
      <c r="E20" s="23">
        <f t="shared" si="2"/>
        <v>18.231691063051443</v>
      </c>
      <c r="F20" s="23">
        <f t="shared" ca="1" si="2"/>
        <v>1090.0486721741609</v>
      </c>
      <c r="G20" s="23">
        <f t="shared" si="2"/>
        <v>0</v>
      </c>
      <c r="H20" s="23">
        <f t="shared" si="2"/>
        <v>0</v>
      </c>
      <c r="I20" s="23">
        <f t="shared" si="2"/>
        <v>0</v>
      </c>
      <c r="J20" s="23">
        <f t="shared" si="2"/>
        <v>1.1949990533469819E-2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9652.2856027655907</v>
      </c>
      <c r="C26" s="39">
        <f>IF(ISERROR(B26*3.6/1000000/'E Balans VL '!Z12*100),0,B26*3.6/1000000/'E Balans VL '!Z12*100)</f>
        <v>0.27222001454440087</v>
      </c>
      <c r="D26" s="237" t="s">
        <v>702</v>
      </c>
      <c r="F26" s="6"/>
    </row>
    <row r="27" spans="1:18">
      <c r="A27" s="231" t="s">
        <v>52</v>
      </c>
      <c r="B27" s="33">
        <f>IF(ISERROR(TER_horeca_ele_kWh/1000),0,TER_horeca_ele_kWh/1000)</f>
        <v>1834.1726751884298</v>
      </c>
      <c r="C27" s="39">
        <f>IF(ISERROR(B27*3.6/1000000/'E Balans VL '!Z9*100),0,B27*3.6/1000000/'E Balans VL '!Z9*100)</f>
        <v>0.13598137164592272</v>
      </c>
      <c r="D27" s="237" t="s">
        <v>702</v>
      </c>
      <c r="F27" s="6"/>
    </row>
    <row r="28" spans="1:18">
      <c r="A28" s="171" t="s">
        <v>51</v>
      </c>
      <c r="B28" s="33">
        <f>IF(ISERROR(TER_handel_ele_kWh/1000),0,TER_handel_ele_kWh/1000)</f>
        <v>8265.2701939277504</v>
      </c>
      <c r="C28" s="39">
        <f>IF(ISERROR(B28*3.6/1000000/'E Balans VL '!Z13*100),0,B28*3.6/1000000/'E Balans VL '!Z13*100)</f>
        <v>0.2476078435964881</v>
      </c>
      <c r="D28" s="237" t="s">
        <v>702</v>
      </c>
      <c r="F28" s="6"/>
    </row>
    <row r="29" spans="1:18">
      <c r="A29" s="231" t="s">
        <v>50</v>
      </c>
      <c r="B29" s="33">
        <f>IF(ISERROR(TER_gezond_ele_kWh/1000),0,TER_gezond_ele_kWh/1000)</f>
        <v>1625.40696790488</v>
      </c>
      <c r="C29" s="39">
        <f>IF(ISERROR(B29*3.6/1000000/'E Balans VL '!Z10*100),0,B29*3.6/1000000/'E Balans VL '!Z10*100)</f>
        <v>0.16072087806162666</v>
      </c>
      <c r="D29" s="237" t="s">
        <v>702</v>
      </c>
      <c r="F29" s="6"/>
    </row>
    <row r="30" spans="1:18">
      <c r="A30" s="231" t="s">
        <v>49</v>
      </c>
      <c r="B30" s="33">
        <f>IF(ISERROR(TER_ander_ele_kWh/1000),0,TER_ander_ele_kWh/1000)</f>
        <v>3418.1500917560597</v>
      </c>
      <c r="C30" s="39">
        <f>IF(ISERROR(B30*3.6/1000000/'E Balans VL '!Z14*100),0,B30*3.6/1000000/'E Balans VL '!Z14*100)</f>
        <v>0.13825406991924361</v>
      </c>
      <c r="D30" s="237" t="s">
        <v>702</v>
      </c>
      <c r="F30" s="6"/>
    </row>
    <row r="31" spans="1:18">
      <c r="A31" s="231" t="s">
        <v>54</v>
      </c>
      <c r="B31" s="33">
        <f>IF(ISERROR(TER_onderwijs_ele_kWh/1000),0,TER_onderwijs_ele_kWh/1000)</f>
        <v>226.00899390793199</v>
      </c>
      <c r="C31" s="39">
        <f>IF(ISERROR(B31*3.6/1000000/'E Balans VL '!Z11*100),0,B31*3.6/1000000/'E Balans VL '!Z11*100)</f>
        <v>6.2094555047598907E-2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39803.243044178962</v>
      </c>
      <c r="C5" s="17">
        <f>IF(ISERROR('Eigen informatie GS &amp; warmtenet'!B61),0,'Eigen informatie GS &amp; warmtenet'!B61)</f>
        <v>0</v>
      </c>
      <c r="D5" s="30">
        <f>SUM(D6:D15)</f>
        <v>8267.57361225776</v>
      </c>
      <c r="E5" s="17">
        <f>SUM(E6:E15)</f>
        <v>668.69653901910613</v>
      </c>
      <c r="F5" s="17">
        <f>SUM(F6:F15)</f>
        <v>4484.3127865914194</v>
      </c>
      <c r="G5" s="18"/>
      <c r="H5" s="17"/>
      <c r="I5" s="17"/>
      <c r="J5" s="17">
        <f>SUM(J6:J15)</f>
        <v>4.1492808613746242</v>
      </c>
      <c r="K5" s="17"/>
      <c r="L5" s="17"/>
      <c r="M5" s="17"/>
      <c r="N5" s="17">
        <f>SUM(N6:N15)</f>
        <v>3583.1711285095603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4663.9681574651404</v>
      </c>
      <c r="C8" s="33"/>
      <c r="D8" s="37">
        <f>IF( ISERROR(IND_metaal_Gas_kWH/1000),0,IND_metaal_Gas_kWH/1000)*0.903</f>
        <v>2726.2898123596833</v>
      </c>
      <c r="E8" s="33">
        <f>C30*'E Balans VL '!I18/100/3.6*1000000</f>
        <v>23.516541215958945</v>
      </c>
      <c r="F8" s="33">
        <f>C30*'E Balans VL '!L18/100/3.6*1000000+C30*'E Balans VL '!N18/100/3.6*1000000</f>
        <v>318.65183510854075</v>
      </c>
      <c r="G8" s="34"/>
      <c r="H8" s="33"/>
      <c r="I8" s="33"/>
      <c r="J8" s="40">
        <f>C30*'E Balans VL '!D18/100/3.6*1000000+C30*'E Balans VL '!E18/100/3.6*1000000</f>
        <v>4.135005613201864</v>
      </c>
      <c r="K8" s="33"/>
      <c r="L8" s="33"/>
      <c r="M8" s="33"/>
      <c r="N8" s="33">
        <f>C30*'E Balans VL '!Y18/100/3.6*1000000</f>
        <v>61.984164491158019</v>
      </c>
      <c r="O8" s="33"/>
      <c r="P8" s="33"/>
      <c r="R8" s="32"/>
    </row>
    <row r="9" spans="1:18">
      <c r="A9" s="6" t="s">
        <v>32</v>
      </c>
      <c r="B9" s="37">
        <f t="shared" si="0"/>
        <v>5473.4455850618797</v>
      </c>
      <c r="C9" s="33"/>
      <c r="D9" s="37">
        <f>IF( ISERROR(IND_andere_gas_kWh/1000),0,IND_andere_gas_kWh/1000)*0.903</f>
        <v>1668.1830440581211</v>
      </c>
      <c r="E9" s="33">
        <f>C31*'E Balans VL '!I19/100/3.6*1000000</f>
        <v>17.25359409633721</v>
      </c>
      <c r="F9" s="33">
        <f>C31*'E Balans VL '!L19/100/3.6*1000000+C31*'E Balans VL '!N19/100/3.6*1000000</f>
        <v>3350.6131811066257</v>
      </c>
      <c r="G9" s="34"/>
      <c r="H9" s="33"/>
      <c r="I9" s="33"/>
      <c r="J9" s="40">
        <f>C31*'E Balans VL '!D19/100/3.6*1000000+C31*'E Balans VL '!E19/100/3.6*1000000</f>
        <v>0</v>
      </c>
      <c r="K9" s="33"/>
      <c r="L9" s="33"/>
      <c r="M9" s="33"/>
      <c r="N9" s="33">
        <f>C31*'E Balans VL '!Y19/100/3.6*1000000</f>
        <v>229.50900534025533</v>
      </c>
      <c r="O9" s="33"/>
      <c r="P9" s="33"/>
      <c r="R9" s="32"/>
    </row>
    <row r="10" spans="1:18">
      <c r="A10" s="6" t="s">
        <v>40</v>
      </c>
      <c r="B10" s="37">
        <f t="shared" si="0"/>
        <v>1291.59475269481</v>
      </c>
      <c r="C10" s="33"/>
      <c r="D10" s="37">
        <f>IF( ISERROR(IND_voed_gas_kWh/1000),0,IND_voed_gas_kWh/1000)*0.903</f>
        <v>1317.1898208619521</v>
      </c>
      <c r="E10" s="33">
        <f>C32*'E Balans VL '!I20/100/3.6*1000000</f>
        <v>2.0584393001846855</v>
      </c>
      <c r="F10" s="33">
        <f>C32*'E Balans VL '!L20/100/3.6*1000000+C32*'E Balans VL '!N20/100/3.6*1000000</f>
        <v>20.985277091972023</v>
      </c>
      <c r="G10" s="34"/>
      <c r="H10" s="33"/>
      <c r="I10" s="33"/>
      <c r="J10" s="40">
        <f>C32*'E Balans VL '!D20/100/3.6*1000000+C32*'E Balans VL '!E20/100/3.6*1000000</f>
        <v>0</v>
      </c>
      <c r="K10" s="33"/>
      <c r="L10" s="33"/>
      <c r="M10" s="33"/>
      <c r="N10" s="33">
        <f>C32*'E Balans VL '!Y20/100/3.6*1000000</f>
        <v>40.795012994668753</v>
      </c>
      <c r="O10" s="33"/>
      <c r="P10" s="33"/>
      <c r="R10" s="32"/>
    </row>
    <row r="11" spans="1:18">
      <c r="A11" s="6" t="s">
        <v>39</v>
      </c>
      <c r="B11" s="37">
        <f t="shared" si="0"/>
        <v>34.703466236015601</v>
      </c>
      <c r="C11" s="33"/>
      <c r="D11" s="37">
        <f>IF( ISERROR(IND_textiel_gas_kWh/1000),0,IND_textiel_gas_kWh/1000)*0.903</f>
        <v>67.421476062377067</v>
      </c>
      <c r="E11" s="33">
        <f>C33*'E Balans VL '!I21/100/3.6*1000000</f>
        <v>5.0348388191157403E-2</v>
      </c>
      <c r="F11" s="33">
        <f>C33*'E Balans VL '!L21/100/3.6*1000000+C33*'E Balans VL '!N21/100/3.6*1000000</f>
        <v>0.67916913181145189</v>
      </c>
      <c r="G11" s="34"/>
      <c r="H11" s="33"/>
      <c r="I11" s="33"/>
      <c r="J11" s="40">
        <f>C33*'E Balans VL '!D21/100/3.6*1000000+C33*'E Balans VL '!E21/100/3.6*1000000</f>
        <v>0</v>
      </c>
      <c r="K11" s="33"/>
      <c r="L11" s="33"/>
      <c r="M11" s="33"/>
      <c r="N11" s="33">
        <f>C33*'E Balans VL '!Y21/100/3.6*1000000</f>
        <v>1.6906741140080008</v>
      </c>
      <c r="O11" s="33"/>
      <c r="P11" s="33"/>
      <c r="R11" s="32"/>
    </row>
    <row r="12" spans="1:18">
      <c r="A12" s="6" t="s">
        <v>36</v>
      </c>
      <c r="B12" s="37">
        <f t="shared" si="0"/>
        <v>19043.8281748595</v>
      </c>
      <c r="C12" s="33"/>
      <c r="D12" s="37">
        <f>IF( ISERROR(IND_min_gas_kWh/1000),0,IND_min_gas_kWh/1000)*0.903</f>
        <v>960.26294506603608</v>
      </c>
      <c r="E12" s="33">
        <f>C34*'E Balans VL '!I22/100/3.6*1000000</f>
        <v>82.407801281292421</v>
      </c>
      <c r="F12" s="33">
        <f>C34*'E Balans VL '!L22/100/3.6*1000000+C34*'E Balans VL '!N22/100/3.6*1000000</f>
        <v>727.11686797651464</v>
      </c>
      <c r="G12" s="34"/>
      <c r="H12" s="33"/>
      <c r="I12" s="33"/>
      <c r="J12" s="40">
        <f>C34*'E Balans VL '!D22/100/3.6*1000000+C34*'E Balans VL '!E22/100/3.6*1000000</f>
        <v>0</v>
      </c>
      <c r="K12" s="33"/>
      <c r="L12" s="33"/>
      <c r="M12" s="33"/>
      <c r="N12" s="33">
        <f>C34*'E Balans VL '!Y22/100/3.6*1000000</f>
        <v>3248.4480972447059</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9288.7105821942005</v>
      </c>
      <c r="C14" s="33"/>
      <c r="D14" s="37">
        <f>IF( ISERROR(IND_chemie_gas_kWh/1000),0,IND_chemie_gas_kWh/1000)*0.903</f>
        <v>0</v>
      </c>
      <c r="E14" s="33">
        <f>C36*'E Balans VL '!I24/100/3.6*1000000</f>
        <v>543.23356767317864</v>
      </c>
      <c r="F14" s="33">
        <f>C36*'E Balans VL '!L24/100/3.6*1000000+C36*'E Balans VL '!N24/100/3.6*1000000</f>
        <v>65.69880995280532</v>
      </c>
      <c r="G14" s="34"/>
      <c r="H14" s="33"/>
      <c r="I14" s="33"/>
      <c r="J14" s="40">
        <f>C36*'E Balans VL '!D24/100/3.6*1000000+C36*'E Balans VL '!E24/100/3.6*1000000</f>
        <v>0</v>
      </c>
      <c r="K14" s="33"/>
      <c r="L14" s="33"/>
      <c r="M14" s="33"/>
      <c r="N14" s="33">
        <f>C36*'E Balans VL '!Y24/100/3.6*1000000</f>
        <v>0.62602319085870461</v>
      </c>
      <c r="O14" s="33"/>
      <c r="P14" s="33"/>
      <c r="R14" s="32"/>
    </row>
    <row r="15" spans="1:18">
      <c r="A15" s="6" t="s">
        <v>269</v>
      </c>
      <c r="B15" s="37">
        <f t="shared" si="0"/>
        <v>6.9923256674122003</v>
      </c>
      <c r="C15" s="33"/>
      <c r="D15" s="37">
        <f>IF( ISERROR(IND_rest_gas_kWh/1000),0,IND_rest_gas_kWh/1000)*0.903</f>
        <v>1528.2265138495902</v>
      </c>
      <c r="E15" s="33">
        <f>C37*'E Balans VL '!I15/100/3.6*1000000</f>
        <v>0.17624706396303369</v>
      </c>
      <c r="F15" s="33">
        <f>C37*'E Balans VL '!L15/100/3.6*1000000+C37*'E Balans VL '!N15/100/3.6*1000000</f>
        <v>0.56764622315068436</v>
      </c>
      <c r="G15" s="34"/>
      <c r="H15" s="33"/>
      <c r="I15" s="33"/>
      <c r="J15" s="40">
        <f>C37*'E Balans VL '!D15/100/3.6*1000000+C37*'E Balans VL '!E15/100/3.6*1000000</f>
        <v>1.4275248172760468E-2</v>
      </c>
      <c r="K15" s="33"/>
      <c r="L15" s="33"/>
      <c r="M15" s="33"/>
      <c r="N15" s="33">
        <f>C37*'E Balans VL '!Y15/100/3.6*1000000</f>
        <v>0.11815113390569418</v>
      </c>
      <c r="O15" s="33"/>
      <c r="P15" s="33"/>
      <c r="R15" s="32"/>
    </row>
    <row r="16" spans="1:18">
      <c r="A16" s="16" t="s">
        <v>479</v>
      </c>
      <c r="B16" s="247">
        <f>'lokale energieproductie'!N40+'lokale energieproductie'!N33</f>
        <v>0</v>
      </c>
      <c r="C16" s="247">
        <f>'lokale energieproductie'!O40+'lokale energieproductie'!O33</f>
        <v>0</v>
      </c>
      <c r="D16" s="310">
        <f>('lokale energieproductie'!P33+'lokale energieproductie'!P40)*(-1)</f>
        <v>0</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39803.243044178962</v>
      </c>
      <c r="C18" s="21">
        <f>C5+C16</f>
        <v>0</v>
      </c>
      <c r="D18" s="21">
        <f>MAX((D5+D16),0)</f>
        <v>8267.57361225776</v>
      </c>
      <c r="E18" s="21">
        <f>MAX((E5+E16),0)</f>
        <v>668.69653901910613</v>
      </c>
      <c r="F18" s="21">
        <f>MAX((F5+F16),0)</f>
        <v>4484.3127865914194</v>
      </c>
      <c r="G18" s="21"/>
      <c r="H18" s="21"/>
      <c r="I18" s="21"/>
      <c r="J18" s="21">
        <f>MAX((J5+J16),0)</f>
        <v>4.1492808613746242</v>
      </c>
      <c r="K18" s="21"/>
      <c r="L18" s="21">
        <f>MAX((L5+L16),0)</f>
        <v>0</v>
      </c>
      <c r="M18" s="21"/>
      <c r="N18" s="21">
        <f>MAX((N5+N16),0)</f>
        <v>3583.1711285095603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0.21423152732432119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8527.1095498156228</v>
      </c>
      <c r="C22" s="23">
        <f ca="1">C18*C20</f>
        <v>0</v>
      </c>
      <c r="D22" s="23">
        <f>D18*D20</f>
        <v>1670.0498696760676</v>
      </c>
      <c r="E22" s="23">
        <f>E18*E20</f>
        <v>151.79411435733709</v>
      </c>
      <c r="F22" s="23">
        <f>F18*F20</f>
        <v>1197.3115140199091</v>
      </c>
      <c r="G22" s="23"/>
      <c r="H22" s="23"/>
      <c r="I22" s="23"/>
      <c r="J22" s="23">
        <f>J18*J20</f>
        <v>1.468845424926617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4663.9681574651404</v>
      </c>
      <c r="C30" s="39">
        <f>IF(ISERROR(B30*3.6/1000000/'E Balans VL '!Z18*100),0,B30*3.6/1000000/'E Balans VL '!Z18*100)</f>
        <v>0.23150886792420947</v>
      </c>
      <c r="D30" s="237" t="s">
        <v>702</v>
      </c>
    </row>
    <row r="31" spans="1:18">
      <c r="A31" s="6" t="s">
        <v>32</v>
      </c>
      <c r="B31" s="37">
        <f>IF( ISERROR(IND_ander_ele_kWh/1000),0,IND_ander_ele_kWh/1000)</f>
        <v>5473.4455850618797</v>
      </c>
      <c r="C31" s="39">
        <f>IF(ISERROR(B31*3.6/1000000/'E Balans VL '!Z19*100),0,B31*3.6/1000000/'E Balans VL '!Z19*100)</f>
        <v>0.18470074082521037</v>
      </c>
      <c r="D31" s="237" t="s">
        <v>702</v>
      </c>
    </row>
    <row r="32" spans="1:18">
      <c r="A32" s="171" t="s">
        <v>40</v>
      </c>
      <c r="B32" s="37">
        <f>IF( ISERROR(IND_voed_ele_kWh/1000),0,IND_voed_ele_kWh/1000)</f>
        <v>1291.59475269481</v>
      </c>
      <c r="C32" s="39">
        <f>IF(ISERROR(B32*3.6/1000000/'E Balans VL '!Z20*100),0,B32*3.6/1000000/'E Balans VL '!Z20*100)</f>
        <v>3.0332215545139721E-2</v>
      </c>
      <c r="D32" s="237" t="s">
        <v>702</v>
      </c>
    </row>
    <row r="33" spans="1:5">
      <c r="A33" s="171" t="s">
        <v>39</v>
      </c>
      <c r="B33" s="37">
        <f>IF( ISERROR(IND_textiel_ele_kWh/1000),0,IND_textiel_ele_kWh/1000)</f>
        <v>34.703466236015601</v>
      </c>
      <c r="C33" s="39">
        <f>IF(ISERROR(B33*3.6/1000000/'E Balans VL '!Z21*100),0,B33*3.6/1000000/'E Balans VL '!Z21*100)</f>
        <v>3.8086614307242411E-3</v>
      </c>
      <c r="D33" s="237" t="s">
        <v>702</v>
      </c>
    </row>
    <row r="34" spans="1:5">
      <c r="A34" s="171" t="s">
        <v>36</v>
      </c>
      <c r="B34" s="37">
        <f>IF( ISERROR(IND_min_ele_kWh/1000),0,IND_min_ele_kWh/1000)</f>
        <v>19043.8281748595</v>
      </c>
      <c r="C34" s="39">
        <f>IF(ISERROR(B34*3.6/1000000/'E Balans VL '!Z22*100),0,B34*3.6/1000000/'E Balans VL '!Z22*100)</f>
        <v>2.701762348843519</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9288.7105821942005</v>
      </c>
      <c r="C36" s="39">
        <f>IF(ISERROR(B36*3.6/1000000/'E Balans VL '!Z24*100),0,B36*3.6/1000000/'E Balans VL '!Z24*100)</f>
        <v>8.4820605460719581E-2</v>
      </c>
      <c r="D36" s="237" t="s">
        <v>702</v>
      </c>
    </row>
    <row r="37" spans="1:5">
      <c r="A37" s="171" t="s">
        <v>269</v>
      </c>
      <c r="B37" s="37">
        <f>IF( ISERROR(IND_rest_ele_kWh/1000),0,IND_rest_ele_kWh/1000)</f>
        <v>6.9923256674122003</v>
      </c>
      <c r="C37" s="39">
        <f>IF(ISERROR(B37*3.6/1000000/'E Balans VL '!Z15*100),0,B37*3.6/1000000/'E Balans VL '!Z15*100)</f>
        <v>2.6203944633340909E-5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1328.24743055306</v>
      </c>
      <c r="C5" s="17">
        <f>'Eigen informatie GS &amp; warmtenet'!B62</f>
        <v>0</v>
      </c>
      <c r="D5" s="30">
        <f>IF(ISERROR(SUM(LB_lb_gas_kWh,LB_rest_gas_kWh)/1000),0,SUM(LB_lb_gas_kWh,LB_rest_gas_kWh)/1000)*0.903</f>
        <v>16862.491374826885</v>
      </c>
      <c r="E5" s="17">
        <f>B17*'E Balans VL '!I25/3.6*1000000/100</f>
        <v>49.534409504389302</v>
      </c>
      <c r="F5" s="17">
        <f>B17*('E Balans VL '!L25/3.6*1000000+'E Balans VL '!N25/3.6*1000000)/100</f>
        <v>4309.3479197245815</v>
      </c>
      <c r="G5" s="18"/>
      <c r="H5" s="17"/>
      <c r="I5" s="17"/>
      <c r="J5" s="17">
        <f>('E Balans VL '!D25+'E Balans VL '!E25)/3.6*1000000*landbouw!B17/100</f>
        <v>348.67150795439329</v>
      </c>
      <c r="K5" s="17"/>
      <c r="L5" s="17">
        <f>L6*(-1)</f>
        <v>0</v>
      </c>
      <c r="M5" s="17"/>
      <c r="N5" s="17">
        <f>N6*(-1)</f>
        <v>0</v>
      </c>
      <c r="O5" s="17"/>
      <c r="P5" s="17"/>
      <c r="R5" s="32"/>
    </row>
    <row r="6" spans="1:18">
      <c r="A6" s="16" t="s">
        <v>479</v>
      </c>
      <c r="B6" s="17" t="s">
        <v>210</v>
      </c>
      <c r="C6" s="17">
        <f>'lokale energieproductie'!O42+'lokale energieproductie'!O35</f>
        <v>57027.857142857145</v>
      </c>
      <c r="D6" s="310">
        <f>('lokale energieproductie'!P35+'lokale energieproductie'!P42)*(-1)</f>
        <v>-114055.71428571429</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1328.24743055306</v>
      </c>
      <c r="C8" s="21">
        <f>C5+C6</f>
        <v>57027.857142857145</v>
      </c>
      <c r="D8" s="21">
        <f>MAX((D5+D6),0)</f>
        <v>0</v>
      </c>
      <c r="E8" s="21">
        <f>MAX((E5+E6),0)</f>
        <v>49.534409504389302</v>
      </c>
      <c r="F8" s="21">
        <f>MAX((F5+F6),0)</f>
        <v>4309.3479197245815</v>
      </c>
      <c r="G8" s="21"/>
      <c r="H8" s="21"/>
      <c r="I8" s="21"/>
      <c r="J8" s="21">
        <f>MAX((J5+J6),0)</f>
        <v>348.67150795439329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0.21423152732432119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284.55247571198726</v>
      </c>
      <c r="C12" s="23">
        <f ca="1">C8*C10</f>
        <v>13552.502521008406</v>
      </c>
      <c r="D12" s="23">
        <f>D8*D10</f>
        <v>0</v>
      </c>
      <c r="E12" s="23">
        <f>E8*E10</f>
        <v>11.244310957496372</v>
      </c>
      <c r="F12" s="23">
        <f>F8*F10</f>
        <v>1150.5958945664634</v>
      </c>
      <c r="G12" s="23"/>
      <c r="H12" s="23"/>
      <c r="I12" s="23"/>
      <c r="J12" s="23">
        <f>J8*J10</f>
        <v>123.42971381585522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0.182431318500414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8.5986107649940902</v>
      </c>
      <c r="C26" s="247">
        <f>B26*'GWP N2O_CH4'!B5</f>
        <v>180.57082606487589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2.5398340216201318</v>
      </c>
      <c r="C27" s="247">
        <f>B27*'GWP N2O_CH4'!B5</f>
        <v>53.336514454022769</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0.10084041197242631</v>
      </c>
      <c r="C28" s="247">
        <f>B28*'GWP N2O_CH4'!B4</f>
        <v>31.260527711452156</v>
      </c>
      <c r="D28" s="50"/>
    </row>
    <row r="29" spans="1:4">
      <c r="A29" s="41" t="s">
        <v>276</v>
      </c>
      <c r="B29" s="247">
        <f>B34*'ha_N2O bodem landbouw'!B4</f>
        <v>2.3821905080697396</v>
      </c>
      <c r="C29" s="247">
        <f>B29*'GWP N2O_CH4'!B4</f>
        <v>738.47905750161931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5.4290801987703788E-4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4.7780114787683938E-4</v>
      </c>
      <c r="C5" s="440" t="s">
        <v>210</v>
      </c>
      <c r="D5" s="425">
        <f>SUM(D6:D11)</f>
        <v>1.8184716758673928E-3</v>
      </c>
      <c r="E5" s="425">
        <f>SUM(E6:E11)</f>
        <v>1.1472586941216742E-3</v>
      </c>
      <c r="F5" s="438" t="s">
        <v>210</v>
      </c>
      <c r="G5" s="425">
        <f>SUM(G6:G11)</f>
        <v>0.68499787775084409</v>
      </c>
      <c r="H5" s="425">
        <f>SUM(H6:H11)</f>
        <v>0.11960516276619218</v>
      </c>
      <c r="I5" s="440" t="s">
        <v>210</v>
      </c>
      <c r="J5" s="440" t="s">
        <v>210</v>
      </c>
      <c r="K5" s="440" t="s">
        <v>210</v>
      </c>
      <c r="L5" s="440" t="s">
        <v>210</v>
      </c>
      <c r="M5" s="425">
        <f>SUM(M6:M11)</f>
        <v>4.6880749544351605E-2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1.0321086931727791E-4</v>
      </c>
      <c r="C6" s="426"/>
      <c r="D6" s="893">
        <f>vkm_GW_PW*SUMIFS(TableVerdeelsleutelVkm[CNG],TableVerdeelsleutelVkm[Voertuigtype],"Lichte voertuigen")*SUMIFS(TableECFTransport[EnergieConsumptieFactor (PJ per km)],TableECFTransport[Index],CONCATENATE($A6,"_CNG_CNG"))</f>
        <v>3.7276616312601873E-4</v>
      </c>
      <c r="E6" s="893">
        <f>vkm_GW_PW*SUMIFS(TableVerdeelsleutelVkm[LPG],TableVerdeelsleutelVkm[Voertuigtype],"Lichte voertuigen")*SUMIFS(TableECFTransport[EnergieConsumptieFactor (PJ per km)],TableECFTransport[Index],CONCATENATE($A6,"_LPG_LPG"))</f>
        <v>2.0258884124431828E-4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6.3044399176032759E-2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2.3859773731295449E-2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5.2081531303834619E-3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3.6221077249071663E-2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3.8131895013024284E-7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2.0393033836065126E-3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3.4949285900285204E-5</v>
      </c>
      <c r="C8" s="426"/>
      <c r="D8" s="428">
        <f>vkm_NGW_PW*SUMIFS(TableVerdeelsleutelVkm[CNG],TableVerdeelsleutelVkm[Voertuigtype],"Lichte voertuigen")*SUMIFS(TableECFTransport[EnergieConsumptieFactor (PJ per km)],TableECFTransport[Index],CONCATENATE($A8,"_CNG_CNG"))</f>
        <v>2.1396156172578484E-4</v>
      </c>
      <c r="E8" s="428">
        <f>vkm_NGW_PW*SUMIFS(TableVerdeelsleutelVkm[LPG],TableVerdeelsleutelVkm[Voertuigtype],"Lichte voertuigen")*SUMIFS(TableECFTransport[EnergieConsumptieFactor (PJ per km)],TableECFTransport[Index],CONCATENATE($A8,"_LPG_LPG"))</f>
        <v>1.104995557308867E-4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3.200069861204604E-2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1.3486612627724824E-2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2.7392380365841391E-3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2.3202949653594051E-2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3.5479144132488272E-7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1.306370092486113E-3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3.3964099265927628E-4</v>
      </c>
      <c r="C10" s="426"/>
      <c r="D10" s="428">
        <f>vkm_SW_PW*SUMIFS(TableVerdeelsleutelVkm[CNG],TableVerdeelsleutelVkm[Voertuigtype],"Lichte voertuigen")*SUMIFS(TableECFTransport[EnergieConsumptieFactor (PJ per km)],TableECFTransport[Index],CONCATENATE($A10,"_CNG_CNG"))</f>
        <v>1.2317439510155892E-3</v>
      </c>
      <c r="E10" s="428">
        <f>vkm_SW_PW*SUMIFS(TableVerdeelsleutelVkm[LPG],TableVerdeelsleutelVkm[Voertuigtype],"Lichte voertuigen")*SUMIFS(TableECFTransport[EnergieConsumptieFactor (PJ per km)],TableECFTransport[Index],CONCATENATE($A10,"_LPG_LPG"))</f>
        <v>8.3417029714646907E-4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0.23068220723058763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8.2254697351530418E-2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1.8705841758582781E-2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0.29984654582951198</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3.3429452500286655E-6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1.6881843142708592E-2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132.72254107689983</v>
      </c>
      <c r="C14" s="21"/>
      <c r="D14" s="21">
        <f t="shared" ref="D14:M14" si="0">((D5)*10^9/3600)+D12</f>
        <v>505.13102107427574</v>
      </c>
      <c r="E14" s="21">
        <f t="shared" si="0"/>
        <v>318.68297058935394</v>
      </c>
      <c r="F14" s="21"/>
      <c r="G14" s="21">
        <f t="shared" si="0"/>
        <v>190277.18826412337</v>
      </c>
      <c r="H14" s="21">
        <f t="shared" si="0"/>
        <v>33223.656323942276</v>
      </c>
      <c r="I14" s="21"/>
      <c r="J14" s="21"/>
      <c r="K14" s="21"/>
      <c r="L14" s="21"/>
      <c r="M14" s="21">
        <f t="shared" si="0"/>
        <v>13022.430428986558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0.21423152732432119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28.433352685269206</v>
      </c>
      <c r="C18" s="23"/>
      <c r="D18" s="23">
        <f t="shared" ref="D18:M18" si="1">D14*D16</f>
        <v>102.03646625700371</v>
      </c>
      <c r="E18" s="23">
        <f t="shared" si="1"/>
        <v>72.341034323783347</v>
      </c>
      <c r="F18" s="23"/>
      <c r="G18" s="23">
        <f t="shared" si="1"/>
        <v>50804.009266520945</v>
      </c>
      <c r="H18" s="23">
        <f t="shared" si="1"/>
        <v>8272.6904246616268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4.2017317990577369E-3</v>
      </c>
      <c r="C50" s="321">
        <f t="shared" ref="C50:P50" si="2">SUM(C51:C52)</f>
        <v>0</v>
      </c>
      <c r="D50" s="321">
        <f t="shared" si="2"/>
        <v>0</v>
      </c>
      <c r="E50" s="321">
        <f t="shared" si="2"/>
        <v>0</v>
      </c>
      <c r="F50" s="321">
        <f t="shared" si="2"/>
        <v>0</v>
      </c>
      <c r="G50" s="321">
        <f t="shared" si="2"/>
        <v>3.5330203687490144E-3</v>
      </c>
      <c r="H50" s="321">
        <f t="shared" si="2"/>
        <v>0</v>
      </c>
      <c r="I50" s="321">
        <f t="shared" si="2"/>
        <v>0</v>
      </c>
      <c r="J50" s="321">
        <f t="shared" si="2"/>
        <v>0</v>
      </c>
      <c r="K50" s="321">
        <f t="shared" si="2"/>
        <v>0</v>
      </c>
      <c r="L50" s="321">
        <f t="shared" si="2"/>
        <v>0</v>
      </c>
      <c r="M50" s="321">
        <f t="shared" si="2"/>
        <v>1.9172180783797577E-4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3.5330203687490144E-3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1.9172180783797577E-4</v>
      </c>
      <c r="N51" s="323"/>
      <c r="O51" s="323"/>
      <c r="P51" s="326"/>
    </row>
    <row r="52" spans="1:18">
      <c r="A52" s="4" t="s">
        <v>329</v>
      </c>
      <c r="B52" s="894">
        <f>vkm_tram*SUMIFS(TableECFTransport[EnergieConsumptieFactor (PJ per km)],TableECFTransport[Index],"Tram_gemiddeld_Electric_Electric")</f>
        <v>4.2017317990577369E-3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1167.1477219604824</v>
      </c>
      <c r="C54" s="21">
        <f t="shared" ref="C54:P54" si="3">(C50)*10^9/3600</f>
        <v>0</v>
      </c>
      <c r="D54" s="21">
        <f t="shared" si="3"/>
        <v>0</v>
      </c>
      <c r="E54" s="21">
        <f t="shared" si="3"/>
        <v>0</v>
      </c>
      <c r="F54" s="21">
        <f t="shared" si="3"/>
        <v>0</v>
      </c>
      <c r="G54" s="21">
        <f t="shared" si="3"/>
        <v>981.3945468747263</v>
      </c>
      <c r="H54" s="21">
        <f t="shared" si="3"/>
        <v>0</v>
      </c>
      <c r="I54" s="21">
        <f t="shared" si="3"/>
        <v>0</v>
      </c>
      <c r="J54" s="21">
        <f t="shared" si="3"/>
        <v>0</v>
      </c>
      <c r="K54" s="21">
        <f t="shared" si="3"/>
        <v>0</v>
      </c>
      <c r="L54" s="21">
        <f t="shared" si="3"/>
        <v>0</v>
      </c>
      <c r="M54" s="21">
        <f t="shared" si="3"/>
        <v>53.256057732771048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0.21423152732432119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250.03983908869631</v>
      </c>
      <c r="C58" s="23">
        <f t="shared" ref="C58:P58" ca="1" si="4">C54*C56</f>
        <v>0</v>
      </c>
      <c r="D58" s="23">
        <f t="shared" si="4"/>
        <v>0</v>
      </c>
      <c r="E58" s="23">
        <f t="shared" si="4"/>
        <v>0</v>
      </c>
      <c r="F58" s="23">
        <f t="shared" si="4"/>
        <v>0</v>
      </c>
      <c r="G58" s="23">
        <f t="shared" si="4"/>
        <v>262.03234401555193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26332.676728271334</v>
      </c>
      <c r="D10" s="689">
        <f ca="1">tertiair!C16</f>
        <v>32.142857142857146</v>
      </c>
      <c r="E10" s="689">
        <f ca="1">tertiair!D16</f>
        <v>76165.038840907902</v>
      </c>
      <c r="F10" s="689">
        <f>tertiair!E16</f>
        <v>80.315819661019574</v>
      </c>
      <c r="G10" s="689">
        <f ca="1">tertiair!F16</f>
        <v>4082.5792965324372</v>
      </c>
      <c r="H10" s="689">
        <f>tertiair!G16</f>
        <v>0</v>
      </c>
      <c r="I10" s="689">
        <f>tertiair!H16</f>
        <v>0</v>
      </c>
      <c r="J10" s="689">
        <f>tertiair!I16</f>
        <v>0</v>
      </c>
      <c r="K10" s="689">
        <f>tertiair!J16</f>
        <v>3.3757035405281979E-2</v>
      </c>
      <c r="L10" s="689">
        <f>tertiair!K16</f>
        <v>0</v>
      </c>
      <c r="M10" s="689">
        <f ca="1">tertiair!L16</f>
        <v>0</v>
      </c>
      <c r="N10" s="689">
        <f>tertiair!M16</f>
        <v>0</v>
      </c>
      <c r="O10" s="689">
        <f ca="1">tertiair!N16</f>
        <v>1241.0426011352447</v>
      </c>
      <c r="P10" s="689">
        <f>tertiair!O16</f>
        <v>4.8972607658411542</v>
      </c>
      <c r="Q10" s="690">
        <f>tertiair!P16</f>
        <v>105.07827661299004</v>
      </c>
      <c r="R10" s="692">
        <f ca="1">SUM(C10:Q10)</f>
        <v>108043.80543806501</v>
      </c>
      <c r="S10" s="67"/>
    </row>
    <row r="11" spans="1:19" s="451" customFormat="1">
      <c r="A11" s="811" t="s">
        <v>224</v>
      </c>
      <c r="B11" s="816"/>
      <c r="C11" s="689">
        <f>huishoudens!B8</f>
        <v>30741.57177692977</v>
      </c>
      <c r="D11" s="689">
        <f>huishoudens!C8</f>
        <v>0</v>
      </c>
      <c r="E11" s="689">
        <f>huishoudens!D8</f>
        <v>84804.011920880948</v>
      </c>
      <c r="F11" s="689">
        <f>huishoudens!E8</f>
        <v>597.17429866441489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4218.9529081144365</v>
      </c>
      <c r="P11" s="689">
        <f>huishoudens!O8</f>
        <v>196.41186371931616</v>
      </c>
      <c r="Q11" s="690">
        <f>huishoudens!P8</f>
        <v>179.07730823064537</v>
      </c>
      <c r="R11" s="692">
        <f>SUM(C11:Q11)</f>
        <v>120737.20007653952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39803.243044178962</v>
      </c>
      <c r="D13" s="689">
        <f>industrie!C18</f>
        <v>0</v>
      </c>
      <c r="E13" s="689">
        <f>industrie!D18</f>
        <v>8267.57361225776</v>
      </c>
      <c r="F13" s="689">
        <f>industrie!E18</f>
        <v>668.69653901910613</v>
      </c>
      <c r="G13" s="689">
        <f>industrie!F18</f>
        <v>4484.3127865914194</v>
      </c>
      <c r="H13" s="689">
        <f>industrie!G18</f>
        <v>0</v>
      </c>
      <c r="I13" s="689">
        <f>industrie!H18</f>
        <v>0</v>
      </c>
      <c r="J13" s="689">
        <f>industrie!I18</f>
        <v>0</v>
      </c>
      <c r="K13" s="689">
        <f>industrie!J18</f>
        <v>4.1492808613746242</v>
      </c>
      <c r="L13" s="689">
        <f>industrie!K18</f>
        <v>0</v>
      </c>
      <c r="M13" s="689">
        <f>industrie!L18</f>
        <v>0</v>
      </c>
      <c r="N13" s="689">
        <f>industrie!M18</f>
        <v>0</v>
      </c>
      <c r="O13" s="689">
        <f>industrie!N18</f>
        <v>3583.1711285095603</v>
      </c>
      <c r="P13" s="689">
        <f>industrie!O18</f>
        <v>0</v>
      </c>
      <c r="Q13" s="690">
        <f>industrie!P18</f>
        <v>0</v>
      </c>
      <c r="R13" s="692">
        <f>SUM(C13:Q13)</f>
        <v>56811.14639141818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96877.491549380065</v>
      </c>
      <c r="D16" s="725">
        <f t="shared" ref="D16:R16" ca="1" si="0">SUM(D9:D15)</f>
        <v>32.142857142857146</v>
      </c>
      <c r="E16" s="725">
        <f t="shared" ca="1" si="0"/>
        <v>169236.6243740466</v>
      </c>
      <c r="F16" s="725">
        <f t="shared" si="0"/>
        <v>1346.1866573445404</v>
      </c>
      <c r="G16" s="725">
        <f t="shared" ca="1" si="0"/>
        <v>8566.8920831238574</v>
      </c>
      <c r="H16" s="725">
        <f t="shared" si="0"/>
        <v>0</v>
      </c>
      <c r="I16" s="725">
        <f t="shared" si="0"/>
        <v>0</v>
      </c>
      <c r="J16" s="725">
        <f t="shared" si="0"/>
        <v>0</v>
      </c>
      <c r="K16" s="725">
        <f t="shared" si="0"/>
        <v>4.183037896779906</v>
      </c>
      <c r="L16" s="725">
        <f t="shared" si="0"/>
        <v>0</v>
      </c>
      <c r="M16" s="725">
        <f t="shared" ca="1" si="0"/>
        <v>0</v>
      </c>
      <c r="N16" s="725">
        <f t="shared" si="0"/>
        <v>0</v>
      </c>
      <c r="O16" s="725">
        <f t="shared" ca="1" si="0"/>
        <v>9043.166637759241</v>
      </c>
      <c r="P16" s="725">
        <f t="shared" si="0"/>
        <v>201.30912448515733</v>
      </c>
      <c r="Q16" s="725">
        <f t="shared" si="0"/>
        <v>284.15558484363544</v>
      </c>
      <c r="R16" s="725">
        <f t="shared" ca="1" si="0"/>
        <v>285592.15190602269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1167.1477219604824</v>
      </c>
      <c r="D19" s="689">
        <f>transport!C54</f>
        <v>0</v>
      </c>
      <c r="E19" s="689">
        <f>transport!D54</f>
        <v>0</v>
      </c>
      <c r="F19" s="689">
        <f>transport!E54</f>
        <v>0</v>
      </c>
      <c r="G19" s="689">
        <f>transport!F54</f>
        <v>0</v>
      </c>
      <c r="H19" s="689">
        <f>transport!G54</f>
        <v>981.3945468747263</v>
      </c>
      <c r="I19" s="689">
        <f>transport!H54</f>
        <v>0</v>
      </c>
      <c r="J19" s="689">
        <f>transport!I54</f>
        <v>0</v>
      </c>
      <c r="K19" s="689">
        <f>transport!J54</f>
        <v>0</v>
      </c>
      <c r="L19" s="689">
        <f>transport!K54</f>
        <v>0</v>
      </c>
      <c r="M19" s="689">
        <f>transport!L54</f>
        <v>0</v>
      </c>
      <c r="N19" s="689">
        <f>transport!M54</f>
        <v>53.256057732771048</v>
      </c>
      <c r="O19" s="689">
        <f>transport!N54</f>
        <v>0</v>
      </c>
      <c r="P19" s="689">
        <f>transport!O54</f>
        <v>0</v>
      </c>
      <c r="Q19" s="690">
        <f>transport!P54</f>
        <v>0</v>
      </c>
      <c r="R19" s="692">
        <f>SUM(C19:Q19)</f>
        <v>2201.7983265679795</v>
      </c>
      <c r="S19" s="67"/>
    </row>
    <row r="20" spans="1:19" s="451" customFormat="1">
      <c r="A20" s="811" t="s">
        <v>306</v>
      </c>
      <c r="B20" s="816"/>
      <c r="C20" s="689">
        <f>transport!B14</f>
        <v>132.72254107689983</v>
      </c>
      <c r="D20" s="689">
        <f>transport!C14</f>
        <v>0</v>
      </c>
      <c r="E20" s="689">
        <f>transport!D14</f>
        <v>505.13102107427574</v>
      </c>
      <c r="F20" s="689">
        <f>transport!E14</f>
        <v>318.68297058935394</v>
      </c>
      <c r="G20" s="689">
        <f>transport!F14</f>
        <v>0</v>
      </c>
      <c r="H20" s="689">
        <f>transport!G14</f>
        <v>190277.18826412337</v>
      </c>
      <c r="I20" s="689">
        <f>transport!H14</f>
        <v>33223.656323942276</v>
      </c>
      <c r="J20" s="689">
        <f>transport!I14</f>
        <v>0</v>
      </c>
      <c r="K20" s="689">
        <f>transport!J14</f>
        <v>0</v>
      </c>
      <c r="L20" s="689">
        <f>transport!K14</f>
        <v>0</v>
      </c>
      <c r="M20" s="689">
        <f>transport!L14</f>
        <v>0</v>
      </c>
      <c r="N20" s="689">
        <f>transport!M14</f>
        <v>13022.430428986558</v>
      </c>
      <c r="O20" s="689">
        <f>transport!N14</f>
        <v>0</v>
      </c>
      <c r="P20" s="689">
        <f>transport!O14</f>
        <v>0</v>
      </c>
      <c r="Q20" s="690">
        <f>transport!P14</f>
        <v>0</v>
      </c>
      <c r="R20" s="692">
        <f>SUM(C20:Q20)</f>
        <v>237479.81154979271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1299.8702630373823</v>
      </c>
      <c r="D22" s="814">
        <f t="shared" ref="D22:R22" si="1">SUM(D18:D21)</f>
        <v>0</v>
      </c>
      <c r="E22" s="814">
        <f t="shared" si="1"/>
        <v>505.13102107427574</v>
      </c>
      <c r="F22" s="814">
        <f t="shared" si="1"/>
        <v>318.68297058935394</v>
      </c>
      <c r="G22" s="814">
        <f t="shared" si="1"/>
        <v>0</v>
      </c>
      <c r="H22" s="814">
        <f t="shared" si="1"/>
        <v>191258.58281099811</v>
      </c>
      <c r="I22" s="814">
        <f t="shared" si="1"/>
        <v>33223.656323942276</v>
      </c>
      <c r="J22" s="814">
        <f t="shared" si="1"/>
        <v>0</v>
      </c>
      <c r="K22" s="814">
        <f t="shared" si="1"/>
        <v>0</v>
      </c>
      <c r="L22" s="814">
        <f t="shared" si="1"/>
        <v>0</v>
      </c>
      <c r="M22" s="814">
        <f t="shared" si="1"/>
        <v>0</v>
      </c>
      <c r="N22" s="814">
        <f t="shared" si="1"/>
        <v>13075.686486719329</v>
      </c>
      <c r="O22" s="814">
        <f t="shared" si="1"/>
        <v>0</v>
      </c>
      <c r="P22" s="814">
        <f t="shared" si="1"/>
        <v>0</v>
      </c>
      <c r="Q22" s="814">
        <f t="shared" si="1"/>
        <v>0</v>
      </c>
      <c r="R22" s="814">
        <f t="shared" si="1"/>
        <v>239681.60987636069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1328.24743055306</v>
      </c>
      <c r="D24" s="689">
        <f>+landbouw!C8</f>
        <v>57027.857142857145</v>
      </c>
      <c r="E24" s="689">
        <f>+landbouw!D8</f>
        <v>0</v>
      </c>
      <c r="F24" s="689">
        <f>+landbouw!E8</f>
        <v>49.534409504389302</v>
      </c>
      <c r="G24" s="689">
        <f>+landbouw!F8</f>
        <v>4309.3479197245815</v>
      </c>
      <c r="H24" s="689">
        <f>+landbouw!G8</f>
        <v>0</v>
      </c>
      <c r="I24" s="689">
        <f>+landbouw!H8</f>
        <v>0</v>
      </c>
      <c r="J24" s="689">
        <f>+landbouw!I8</f>
        <v>0</v>
      </c>
      <c r="K24" s="689">
        <f>+landbouw!J8</f>
        <v>348.67150795439329</v>
      </c>
      <c r="L24" s="689">
        <f>+landbouw!K8</f>
        <v>0</v>
      </c>
      <c r="M24" s="689">
        <f>+landbouw!L8</f>
        <v>0</v>
      </c>
      <c r="N24" s="689">
        <f>+landbouw!M8</f>
        <v>0</v>
      </c>
      <c r="O24" s="689">
        <f>+landbouw!N8</f>
        <v>0</v>
      </c>
      <c r="P24" s="689">
        <f>+landbouw!O8</f>
        <v>0</v>
      </c>
      <c r="Q24" s="690">
        <f>+landbouw!P8</f>
        <v>0</v>
      </c>
      <c r="R24" s="692">
        <f>SUM(C24:Q24)</f>
        <v>63063.658410593576</v>
      </c>
      <c r="S24" s="67"/>
    </row>
    <row r="25" spans="1:19" s="451" customFormat="1" ht="15" thickBot="1">
      <c r="A25" s="833" t="s">
        <v>714</v>
      </c>
      <c r="B25" s="947"/>
      <c r="C25" s="948">
        <f>IF(Onbekend_ele_kWh="---",0,Onbekend_ele_kWh)/1000+IF(REST_rest_ele_kWh="---",0,REST_rest_ele_kWh)/1000</f>
        <v>777.62295221673003</v>
      </c>
      <c r="D25" s="948"/>
      <c r="E25" s="948">
        <f>IF(onbekend_gas_kWh="---",0,onbekend_gas_kWh)/1000+IF(REST_rest_gas_kWh="---",0,REST_rest_gas_kWh)/1000</f>
        <v>5756.8156102115208</v>
      </c>
      <c r="F25" s="948"/>
      <c r="G25" s="948"/>
      <c r="H25" s="948"/>
      <c r="I25" s="948"/>
      <c r="J25" s="948"/>
      <c r="K25" s="948"/>
      <c r="L25" s="948"/>
      <c r="M25" s="948"/>
      <c r="N25" s="948"/>
      <c r="O25" s="948"/>
      <c r="P25" s="948"/>
      <c r="Q25" s="949"/>
      <c r="R25" s="692">
        <f>SUM(C25:Q25)</f>
        <v>6534.4385624282513</v>
      </c>
      <c r="S25" s="67"/>
    </row>
    <row r="26" spans="1:19" s="451" customFormat="1" ht="15.75" thickBot="1">
      <c r="A26" s="697" t="s">
        <v>715</v>
      </c>
      <c r="B26" s="819"/>
      <c r="C26" s="814">
        <f>SUM(C24:C25)</f>
        <v>2105.87038276979</v>
      </c>
      <c r="D26" s="814">
        <f t="shared" ref="D26:R26" si="2">SUM(D24:D25)</f>
        <v>57027.857142857145</v>
      </c>
      <c r="E26" s="814">
        <f t="shared" si="2"/>
        <v>5756.8156102115208</v>
      </c>
      <c r="F26" s="814">
        <f t="shared" si="2"/>
        <v>49.534409504389302</v>
      </c>
      <c r="G26" s="814">
        <f t="shared" si="2"/>
        <v>4309.3479197245815</v>
      </c>
      <c r="H26" s="814">
        <f t="shared" si="2"/>
        <v>0</v>
      </c>
      <c r="I26" s="814">
        <f t="shared" si="2"/>
        <v>0</v>
      </c>
      <c r="J26" s="814">
        <f t="shared" si="2"/>
        <v>0</v>
      </c>
      <c r="K26" s="814">
        <f t="shared" si="2"/>
        <v>348.67150795439329</v>
      </c>
      <c r="L26" s="814">
        <f t="shared" si="2"/>
        <v>0</v>
      </c>
      <c r="M26" s="814">
        <f t="shared" si="2"/>
        <v>0</v>
      </c>
      <c r="N26" s="814">
        <f t="shared" si="2"/>
        <v>0</v>
      </c>
      <c r="O26" s="814">
        <f t="shared" si="2"/>
        <v>0</v>
      </c>
      <c r="P26" s="814">
        <f t="shared" si="2"/>
        <v>0</v>
      </c>
      <c r="Q26" s="814">
        <f t="shared" si="2"/>
        <v>0</v>
      </c>
      <c r="R26" s="814">
        <f t="shared" si="2"/>
        <v>69598.096973021835</v>
      </c>
      <c r="S26" s="67"/>
    </row>
    <row r="27" spans="1:19" s="451" customFormat="1" ht="17.25" thickTop="1" thickBot="1">
      <c r="A27" s="698" t="s">
        <v>115</v>
      </c>
      <c r="B27" s="806"/>
      <c r="C27" s="699">
        <f ca="1">C22+C16+C26</f>
        <v>100283.23219518724</v>
      </c>
      <c r="D27" s="699">
        <f t="shared" ref="D27:R27" ca="1" si="3">D22+D16+D26</f>
        <v>57060</v>
      </c>
      <c r="E27" s="699">
        <f t="shared" ca="1" si="3"/>
        <v>175498.5710053324</v>
      </c>
      <c r="F27" s="699">
        <f t="shared" si="3"/>
        <v>1714.4040374382837</v>
      </c>
      <c r="G27" s="699">
        <f t="shared" ca="1" si="3"/>
        <v>12876.240002848439</v>
      </c>
      <c r="H27" s="699">
        <f t="shared" si="3"/>
        <v>191258.58281099811</v>
      </c>
      <c r="I27" s="699">
        <f t="shared" si="3"/>
        <v>33223.656323942276</v>
      </c>
      <c r="J27" s="699">
        <f t="shared" si="3"/>
        <v>0</v>
      </c>
      <c r="K27" s="699">
        <f t="shared" si="3"/>
        <v>352.85454585117321</v>
      </c>
      <c r="L27" s="699">
        <f t="shared" si="3"/>
        <v>0</v>
      </c>
      <c r="M27" s="699">
        <f t="shared" ca="1" si="3"/>
        <v>0</v>
      </c>
      <c r="N27" s="699">
        <f t="shared" si="3"/>
        <v>13075.686486719329</v>
      </c>
      <c r="O27" s="699">
        <f t="shared" ca="1" si="3"/>
        <v>9043.166637759241</v>
      </c>
      <c r="P27" s="699">
        <f t="shared" si="3"/>
        <v>201.30912448515733</v>
      </c>
      <c r="Q27" s="699">
        <f t="shared" si="3"/>
        <v>284.15558484363544</v>
      </c>
      <c r="R27" s="699">
        <f t="shared" ca="1" si="3"/>
        <v>594871.85875540518</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5641.2895540351765</v>
      </c>
      <c r="D40" s="689">
        <f ca="1">tertiair!C20</f>
        <v>7.6386554621848752</v>
      </c>
      <c r="E40" s="689">
        <f ca="1">tertiair!D20</f>
        <v>15385.337845863398</v>
      </c>
      <c r="F40" s="689">
        <f>tertiair!E20</f>
        <v>18.231691063051443</v>
      </c>
      <c r="G40" s="689">
        <f ca="1">tertiair!F20</f>
        <v>1090.0486721741609</v>
      </c>
      <c r="H40" s="689">
        <f>tertiair!G20</f>
        <v>0</v>
      </c>
      <c r="I40" s="689">
        <f>tertiair!H20</f>
        <v>0</v>
      </c>
      <c r="J40" s="689">
        <f>tertiair!I20</f>
        <v>0</v>
      </c>
      <c r="K40" s="689">
        <f>tertiair!J20</f>
        <v>1.1949990533469819E-2</v>
      </c>
      <c r="L40" s="689">
        <f>tertiair!K20</f>
        <v>0</v>
      </c>
      <c r="M40" s="689">
        <f ca="1">tertiair!L20</f>
        <v>0</v>
      </c>
      <c r="N40" s="689">
        <f>tertiair!M20</f>
        <v>0</v>
      </c>
      <c r="O40" s="689">
        <f ca="1">tertiair!N20</f>
        <v>0</v>
      </c>
      <c r="P40" s="689">
        <f>tertiair!O20</f>
        <v>0</v>
      </c>
      <c r="Q40" s="772">
        <f>tertiair!P20</f>
        <v>0</v>
      </c>
      <c r="R40" s="852">
        <f t="shared" ca="1" si="4"/>
        <v>22142.558368588507</v>
      </c>
    </row>
    <row r="41" spans="1:18">
      <c r="A41" s="824" t="s">
        <v>224</v>
      </c>
      <c r="B41" s="831"/>
      <c r="C41" s="689">
        <f ca="1">huishoudens!B12</f>
        <v>6585.8138741219109</v>
      </c>
      <c r="D41" s="689">
        <f ca="1">huishoudens!C12</f>
        <v>0</v>
      </c>
      <c r="E41" s="689">
        <f>huishoudens!D12</f>
        <v>17130.410408017953</v>
      </c>
      <c r="F41" s="689">
        <f>huishoudens!E12</f>
        <v>135.55856579682219</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23851.782847936687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8527.1095498156228</v>
      </c>
      <c r="D43" s="689">
        <f ca="1">industrie!C22</f>
        <v>0</v>
      </c>
      <c r="E43" s="689">
        <f>industrie!D22</f>
        <v>1670.0498696760676</v>
      </c>
      <c r="F43" s="689">
        <f>industrie!E22</f>
        <v>151.79411435733709</v>
      </c>
      <c r="G43" s="689">
        <f>industrie!F22</f>
        <v>1197.3115140199091</v>
      </c>
      <c r="H43" s="689">
        <f>industrie!G22</f>
        <v>0</v>
      </c>
      <c r="I43" s="689">
        <f>industrie!H22</f>
        <v>0</v>
      </c>
      <c r="J43" s="689">
        <f>industrie!I22</f>
        <v>0</v>
      </c>
      <c r="K43" s="689">
        <f>industrie!J22</f>
        <v>1.468845424926617</v>
      </c>
      <c r="L43" s="689">
        <f>industrie!K22</f>
        <v>0</v>
      </c>
      <c r="M43" s="689">
        <f>industrie!L22</f>
        <v>0</v>
      </c>
      <c r="N43" s="689">
        <f>industrie!M22</f>
        <v>0</v>
      </c>
      <c r="O43" s="689">
        <f>industrie!N22</f>
        <v>0</v>
      </c>
      <c r="P43" s="689">
        <f>industrie!O22</f>
        <v>0</v>
      </c>
      <c r="Q43" s="772">
        <f>industrie!P22</f>
        <v>0</v>
      </c>
      <c r="R43" s="851">
        <f t="shared" ca="1" si="4"/>
        <v>11547.733893293864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20754.212977972711</v>
      </c>
      <c r="D46" s="725">
        <f t="shared" ref="D46:Q46" ca="1" si="5">SUM(D39:D45)</f>
        <v>7.6386554621848752</v>
      </c>
      <c r="E46" s="725">
        <f t="shared" ca="1" si="5"/>
        <v>34185.798123557419</v>
      </c>
      <c r="F46" s="725">
        <f t="shared" si="5"/>
        <v>305.58437121721073</v>
      </c>
      <c r="G46" s="725">
        <f t="shared" ca="1" si="5"/>
        <v>2287.3601861940697</v>
      </c>
      <c r="H46" s="725">
        <f t="shared" si="5"/>
        <v>0</v>
      </c>
      <c r="I46" s="725">
        <f t="shared" si="5"/>
        <v>0</v>
      </c>
      <c r="J46" s="725">
        <f t="shared" si="5"/>
        <v>0</v>
      </c>
      <c r="K46" s="725">
        <f t="shared" si="5"/>
        <v>1.4807954154600869</v>
      </c>
      <c r="L46" s="725">
        <f t="shared" si="5"/>
        <v>0</v>
      </c>
      <c r="M46" s="725">
        <f t="shared" ca="1" si="5"/>
        <v>0</v>
      </c>
      <c r="N46" s="725">
        <f t="shared" si="5"/>
        <v>0</v>
      </c>
      <c r="O46" s="725">
        <f t="shared" ca="1" si="5"/>
        <v>0</v>
      </c>
      <c r="P46" s="725">
        <f t="shared" si="5"/>
        <v>0</v>
      </c>
      <c r="Q46" s="725">
        <f t="shared" si="5"/>
        <v>0</v>
      </c>
      <c r="R46" s="725">
        <f ca="1">SUM(R39:R45)</f>
        <v>57542.075109819059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250.03983908869631</v>
      </c>
      <c r="D49" s="689">
        <f ca="1">transport!C58</f>
        <v>0</v>
      </c>
      <c r="E49" s="689">
        <f>transport!D58</f>
        <v>0</v>
      </c>
      <c r="F49" s="689">
        <f>transport!E58</f>
        <v>0</v>
      </c>
      <c r="G49" s="689">
        <f>transport!F58</f>
        <v>0</v>
      </c>
      <c r="H49" s="689">
        <f>transport!G58</f>
        <v>262.03234401555193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512.07218310424821</v>
      </c>
    </row>
    <row r="50" spans="1:18">
      <c r="A50" s="827" t="s">
        <v>306</v>
      </c>
      <c r="B50" s="837"/>
      <c r="C50" s="695">
        <f ca="1">transport!B18</f>
        <v>28.433352685269206</v>
      </c>
      <c r="D50" s="695">
        <f>transport!C18</f>
        <v>0</v>
      </c>
      <c r="E50" s="695">
        <f>transport!D18</f>
        <v>102.03646625700371</v>
      </c>
      <c r="F50" s="695">
        <f>transport!E18</f>
        <v>72.341034323783347</v>
      </c>
      <c r="G50" s="695">
        <f>transport!F18</f>
        <v>0</v>
      </c>
      <c r="H50" s="695">
        <f>transport!G18</f>
        <v>50804.009266520945</v>
      </c>
      <c r="I50" s="695">
        <f>transport!H18</f>
        <v>8272.6904246616268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59279.510544448625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278.47319177396554</v>
      </c>
      <c r="D52" s="725">
        <f t="shared" ref="D52:Q52" ca="1" si="6">SUM(D48:D51)</f>
        <v>0</v>
      </c>
      <c r="E52" s="725">
        <f t="shared" si="6"/>
        <v>102.03646625700371</v>
      </c>
      <c r="F52" s="725">
        <f t="shared" si="6"/>
        <v>72.341034323783347</v>
      </c>
      <c r="G52" s="725">
        <f t="shared" si="6"/>
        <v>0</v>
      </c>
      <c r="H52" s="725">
        <f t="shared" si="6"/>
        <v>51066.0416105365</v>
      </c>
      <c r="I52" s="725">
        <f t="shared" si="6"/>
        <v>8272.6904246616268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59791.582727552872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284.55247571198726</v>
      </c>
      <c r="D54" s="695">
        <f ca="1">+landbouw!C12</f>
        <v>13552.502521008406</v>
      </c>
      <c r="E54" s="695">
        <f>+landbouw!D12</f>
        <v>0</v>
      </c>
      <c r="F54" s="695">
        <f>+landbouw!E12</f>
        <v>11.244310957496372</v>
      </c>
      <c r="G54" s="695">
        <f>+landbouw!F12</f>
        <v>1150.5958945664634</v>
      </c>
      <c r="H54" s="695">
        <f>+landbouw!G12</f>
        <v>0</v>
      </c>
      <c r="I54" s="695">
        <f>+landbouw!H12</f>
        <v>0</v>
      </c>
      <c r="J54" s="695">
        <f>+landbouw!I12</f>
        <v>0</v>
      </c>
      <c r="K54" s="695">
        <f>+landbouw!J12</f>
        <v>123.42971381585522</v>
      </c>
      <c r="L54" s="695">
        <f>+landbouw!K12</f>
        <v>0</v>
      </c>
      <c r="M54" s="695">
        <f>+landbouw!L12</f>
        <v>0</v>
      </c>
      <c r="N54" s="695">
        <f>+landbouw!M12</f>
        <v>0</v>
      </c>
      <c r="O54" s="695">
        <f>+landbouw!N12</f>
        <v>0</v>
      </c>
      <c r="P54" s="695">
        <f>+landbouw!O12</f>
        <v>0</v>
      </c>
      <c r="Q54" s="696">
        <f>+landbouw!P12</f>
        <v>0</v>
      </c>
      <c r="R54" s="724">
        <f ca="1">SUM(C54:Q54)</f>
        <v>15122.324916060206</v>
      </c>
    </row>
    <row r="55" spans="1:18" ht="15" thickBot="1">
      <c r="A55" s="827" t="s">
        <v>714</v>
      </c>
      <c r="B55" s="837"/>
      <c r="C55" s="695">
        <f ca="1">C25*'EF ele_warmte'!B12</f>
        <v>166.59135273583772</v>
      </c>
      <c r="D55" s="695"/>
      <c r="E55" s="695">
        <f>E25*EF_CO2_aardgas</f>
        <v>1162.8767532627273</v>
      </c>
      <c r="F55" s="695"/>
      <c r="G55" s="695"/>
      <c r="H55" s="695"/>
      <c r="I55" s="695"/>
      <c r="J55" s="695"/>
      <c r="K55" s="695"/>
      <c r="L55" s="695"/>
      <c r="M55" s="695"/>
      <c r="N55" s="695"/>
      <c r="O55" s="695"/>
      <c r="P55" s="695"/>
      <c r="Q55" s="696"/>
      <c r="R55" s="724">
        <f ca="1">SUM(C55:Q55)</f>
        <v>1329.4681059985651</v>
      </c>
    </row>
    <row r="56" spans="1:18" ht="15.75" thickBot="1">
      <c r="A56" s="825" t="s">
        <v>715</v>
      </c>
      <c r="B56" s="838"/>
      <c r="C56" s="725">
        <f ca="1">SUM(C54:C55)</f>
        <v>451.14382844782494</v>
      </c>
      <c r="D56" s="725">
        <f t="shared" ref="D56:Q56" ca="1" si="7">SUM(D54:D55)</f>
        <v>13552.502521008406</v>
      </c>
      <c r="E56" s="725">
        <f t="shared" si="7"/>
        <v>1162.8767532627273</v>
      </c>
      <c r="F56" s="725">
        <f t="shared" si="7"/>
        <v>11.244310957496372</v>
      </c>
      <c r="G56" s="725">
        <f t="shared" si="7"/>
        <v>1150.5958945664634</v>
      </c>
      <c r="H56" s="725">
        <f t="shared" si="7"/>
        <v>0</v>
      </c>
      <c r="I56" s="725">
        <f t="shared" si="7"/>
        <v>0</v>
      </c>
      <c r="J56" s="725">
        <f t="shared" si="7"/>
        <v>0</v>
      </c>
      <c r="K56" s="725">
        <f t="shared" si="7"/>
        <v>123.42971381585522</v>
      </c>
      <c r="L56" s="725">
        <f t="shared" si="7"/>
        <v>0</v>
      </c>
      <c r="M56" s="725">
        <f t="shared" si="7"/>
        <v>0</v>
      </c>
      <c r="N56" s="725">
        <f t="shared" si="7"/>
        <v>0</v>
      </c>
      <c r="O56" s="725">
        <f t="shared" si="7"/>
        <v>0</v>
      </c>
      <c r="P56" s="725">
        <f t="shared" si="7"/>
        <v>0</v>
      </c>
      <c r="Q56" s="726">
        <f t="shared" si="7"/>
        <v>0</v>
      </c>
      <c r="R56" s="727">
        <f ca="1">SUM(R54:R55)</f>
        <v>16451.793022058773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21483.829998194502</v>
      </c>
      <c r="D61" s="733">
        <f t="shared" ref="D61:Q61" ca="1" si="8">D46+D52+D56</f>
        <v>13560.14117647059</v>
      </c>
      <c r="E61" s="733">
        <f t="shared" ca="1" si="8"/>
        <v>35450.71134307715</v>
      </c>
      <c r="F61" s="733">
        <f t="shared" si="8"/>
        <v>389.16971649849046</v>
      </c>
      <c r="G61" s="733">
        <f t="shared" ca="1" si="8"/>
        <v>3437.956080760533</v>
      </c>
      <c r="H61" s="733">
        <f t="shared" si="8"/>
        <v>51066.0416105365</v>
      </c>
      <c r="I61" s="733">
        <f t="shared" si="8"/>
        <v>8272.6904246616268</v>
      </c>
      <c r="J61" s="733">
        <f t="shared" si="8"/>
        <v>0</v>
      </c>
      <c r="K61" s="733">
        <f t="shared" si="8"/>
        <v>124.91050923131532</v>
      </c>
      <c r="L61" s="733">
        <f t="shared" si="8"/>
        <v>0</v>
      </c>
      <c r="M61" s="733">
        <f t="shared" ca="1" si="8"/>
        <v>0</v>
      </c>
      <c r="N61" s="733">
        <f t="shared" si="8"/>
        <v>0</v>
      </c>
      <c r="O61" s="733">
        <f t="shared" ca="1" si="8"/>
        <v>0</v>
      </c>
      <c r="P61" s="733">
        <f t="shared" si="8"/>
        <v>0</v>
      </c>
      <c r="Q61" s="733">
        <f t="shared" si="8"/>
        <v>0</v>
      </c>
      <c r="R61" s="733">
        <f ca="1">R46+R52+R56</f>
        <v>133785.45085943071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0.21423152732432119</v>
      </c>
      <c r="D63" s="779">
        <f t="shared" ca="1" si="9"/>
        <v>0.23764705882352943</v>
      </c>
      <c r="E63" s="973">
        <f t="shared" ca="1" si="9"/>
        <v>0.20200000000000004</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6080.0051605035915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39942</v>
      </c>
      <c r="D76" s="956">
        <f>'lokale energieproductie'!C8</f>
        <v>46990.588235294119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9492.0988235294135</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6080.0051605035915</v>
      </c>
      <c r="C78" s="751">
        <f>SUM(C72:C77)</f>
        <v>39942</v>
      </c>
      <c r="D78" s="752">
        <f t="shared" ref="D78:H78" si="10">SUM(D76:D77)</f>
        <v>46990.588235294119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9492.0988235294135</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57060</v>
      </c>
      <c r="D87" s="775">
        <f>'lokale energieproductie'!C17</f>
        <v>67129.411764705888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13560.14117647059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57060</v>
      </c>
      <c r="D90" s="751">
        <f t="shared" ref="D90:H90" si="12">SUM(D87:D89)</f>
        <v>67129.411764705888</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13560.14117647059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6080.0051605035915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39942</v>
      </c>
      <c r="C8" s="551">
        <f>B51</f>
        <v>46990.588235294119</v>
      </c>
      <c r="D8" s="552"/>
      <c r="E8" s="552">
        <f>E51</f>
        <v>0</v>
      </c>
      <c r="F8" s="553"/>
      <c r="G8" s="554"/>
      <c r="H8" s="552">
        <f>I51</f>
        <v>0</v>
      </c>
      <c r="I8" s="552">
        <f>G51+F51</f>
        <v>0</v>
      </c>
      <c r="J8" s="552">
        <f>H51+D51+C51</f>
        <v>0</v>
      </c>
      <c r="K8" s="552"/>
      <c r="L8" s="552"/>
      <c r="M8" s="552"/>
      <c r="N8" s="555"/>
      <c r="O8" s="556">
        <f>C8*$C$12+D8*$D$12+E8*$E$12+F8*$F$12+G8*$G$12+H8*$H$12+I8*$I$12+J8*$J$12</f>
        <v>9492.0988235294135</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46022.005160503591</v>
      </c>
      <c r="C10" s="566">
        <f t="shared" ref="C10:L10" si="0">SUM(C8:C9)</f>
        <v>46990.588235294119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9492.0988235294135</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57060</v>
      </c>
      <c r="C17" s="582">
        <f>B52</f>
        <v>67129.411764705888</v>
      </c>
      <c r="D17" s="583"/>
      <c r="E17" s="583">
        <f>E52</f>
        <v>0</v>
      </c>
      <c r="F17" s="584"/>
      <c r="G17" s="585"/>
      <c r="H17" s="582">
        <f>I52</f>
        <v>0</v>
      </c>
      <c r="I17" s="583">
        <f>G52+F52</f>
        <v>0</v>
      </c>
      <c r="J17" s="583">
        <f>H52+D52+C52</f>
        <v>0</v>
      </c>
      <c r="K17" s="583"/>
      <c r="L17" s="583"/>
      <c r="M17" s="583"/>
      <c r="N17" s="970"/>
      <c r="O17" s="586">
        <f>C17*$C$22+E17*$E$22+H17*$H$22+I17*$I$22+J17*$J$22+D17*$D$22+F17*$F$22+G17*$G$22+K17*$K$22+L17*$L$22</f>
        <v>13560.14117647059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57060</v>
      </c>
      <c r="C20" s="565">
        <f>SUM(C17:C19)</f>
        <v>67129.411764705888</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13560.14117647059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11056</v>
      </c>
      <c r="C28" s="794">
        <v>2070</v>
      </c>
      <c r="D28" s="643" t="s">
        <v>865</v>
      </c>
      <c r="E28" s="642" t="s">
        <v>866</v>
      </c>
      <c r="F28" s="642" t="s">
        <v>867</v>
      </c>
      <c r="G28" s="642" t="s">
        <v>868</v>
      </c>
      <c r="H28" s="642" t="s">
        <v>869</v>
      </c>
      <c r="I28" s="642" t="s">
        <v>870</v>
      </c>
      <c r="J28" s="793">
        <v>40946</v>
      </c>
      <c r="K28" s="793">
        <v>39043</v>
      </c>
      <c r="L28" s="642" t="s">
        <v>871</v>
      </c>
      <c r="M28" s="642">
        <v>4800</v>
      </c>
      <c r="N28" s="642">
        <v>21600</v>
      </c>
      <c r="O28" s="642">
        <v>30857.142857142859</v>
      </c>
      <c r="P28" s="642">
        <v>61714.285714285717</v>
      </c>
      <c r="Q28" s="642">
        <v>0</v>
      </c>
      <c r="R28" s="642">
        <v>0</v>
      </c>
      <c r="S28" s="642">
        <v>0</v>
      </c>
      <c r="T28" s="642">
        <v>0</v>
      </c>
      <c r="U28" s="642">
        <v>0</v>
      </c>
      <c r="V28" s="642">
        <v>0</v>
      </c>
      <c r="W28" s="642">
        <v>0</v>
      </c>
      <c r="X28" s="642">
        <v>10</v>
      </c>
      <c r="Y28" s="642" t="s">
        <v>111</v>
      </c>
      <c r="Z28" s="644" t="s">
        <v>111</v>
      </c>
    </row>
    <row r="29" spans="1:26" s="596" customFormat="1" ht="25.5">
      <c r="A29" s="595"/>
      <c r="B29" s="794">
        <v>11056</v>
      </c>
      <c r="C29" s="794">
        <v>2070</v>
      </c>
      <c r="D29" s="643" t="s">
        <v>872</v>
      </c>
      <c r="E29" s="642" t="s">
        <v>873</v>
      </c>
      <c r="F29" s="642" t="s">
        <v>874</v>
      </c>
      <c r="G29" s="642" t="s">
        <v>868</v>
      </c>
      <c r="H29" s="642" t="s">
        <v>869</v>
      </c>
      <c r="I29" s="642" t="s">
        <v>873</v>
      </c>
      <c r="J29" s="793">
        <v>40267</v>
      </c>
      <c r="K29" s="793">
        <v>40269</v>
      </c>
      <c r="L29" s="642" t="s">
        <v>871</v>
      </c>
      <c r="M29" s="642">
        <v>2067</v>
      </c>
      <c r="N29" s="642">
        <v>9301.5</v>
      </c>
      <c r="O29" s="642">
        <v>13287.857142857143</v>
      </c>
      <c r="P29" s="642">
        <v>26575.714285714286</v>
      </c>
      <c r="Q29" s="642">
        <v>0</v>
      </c>
      <c r="R29" s="642">
        <v>0</v>
      </c>
      <c r="S29" s="642">
        <v>0</v>
      </c>
      <c r="T29" s="642">
        <v>0</v>
      </c>
      <c r="U29" s="642">
        <v>0</v>
      </c>
      <c r="V29" s="642">
        <v>0</v>
      </c>
      <c r="W29" s="642">
        <v>0</v>
      </c>
      <c r="X29" s="642">
        <v>10</v>
      </c>
      <c r="Y29" s="642" t="s">
        <v>111</v>
      </c>
      <c r="Z29" s="644" t="s">
        <v>111</v>
      </c>
    </row>
    <row r="30" spans="1:26" s="596" customFormat="1" ht="63.75">
      <c r="A30" s="595"/>
      <c r="B30" s="794">
        <v>11056</v>
      </c>
      <c r="C30" s="794">
        <v>2070</v>
      </c>
      <c r="D30" s="643" t="s">
        <v>875</v>
      </c>
      <c r="E30" s="642" t="s">
        <v>876</v>
      </c>
      <c r="F30" s="642" t="s">
        <v>877</v>
      </c>
      <c r="G30" s="642" t="s">
        <v>868</v>
      </c>
      <c r="H30" s="642" t="s">
        <v>869</v>
      </c>
      <c r="I30" s="642" t="s">
        <v>876</v>
      </c>
      <c r="J30" s="793">
        <v>40735</v>
      </c>
      <c r="K30" s="793">
        <v>40848</v>
      </c>
      <c r="L30" s="642" t="s">
        <v>871</v>
      </c>
      <c r="M30" s="642">
        <v>5</v>
      </c>
      <c r="N30" s="642">
        <v>22.5</v>
      </c>
      <c r="O30" s="642">
        <v>32.142857142857146</v>
      </c>
      <c r="P30" s="642">
        <v>64.285714285714292</v>
      </c>
      <c r="Q30" s="642">
        <v>0</v>
      </c>
      <c r="R30" s="642">
        <v>0</v>
      </c>
      <c r="S30" s="642">
        <v>0</v>
      </c>
      <c r="T30" s="642">
        <v>0</v>
      </c>
      <c r="U30" s="642">
        <v>0</v>
      </c>
      <c r="V30" s="642">
        <v>0</v>
      </c>
      <c r="W30" s="642">
        <v>0</v>
      </c>
      <c r="X30" s="642">
        <v>1600</v>
      </c>
      <c r="Y30" s="642" t="s">
        <v>49</v>
      </c>
      <c r="Z30" s="644" t="s">
        <v>155</v>
      </c>
    </row>
    <row r="31" spans="1:26" s="596" customFormat="1" ht="25.5">
      <c r="A31" s="595"/>
      <c r="B31" s="794">
        <v>11056</v>
      </c>
      <c r="C31" s="794">
        <v>2070</v>
      </c>
      <c r="D31" s="643" t="s">
        <v>878</v>
      </c>
      <c r="E31" s="642"/>
      <c r="F31" s="642" t="s">
        <v>879</v>
      </c>
      <c r="G31" s="642" t="s">
        <v>880</v>
      </c>
      <c r="H31" s="642" t="s">
        <v>869</v>
      </c>
      <c r="I31" s="642" t="s">
        <v>881</v>
      </c>
      <c r="J31" s="793">
        <v>43059</v>
      </c>
      <c r="K31" s="793">
        <v>43059</v>
      </c>
      <c r="L31" s="642" t="s">
        <v>882</v>
      </c>
      <c r="M31" s="642">
        <v>2004</v>
      </c>
      <c r="N31" s="642">
        <v>9018</v>
      </c>
      <c r="O31" s="642">
        <v>12882.857142857143</v>
      </c>
      <c r="P31" s="642">
        <v>25765.714285714286</v>
      </c>
      <c r="Q31" s="642">
        <v>0</v>
      </c>
      <c r="R31" s="642">
        <v>0</v>
      </c>
      <c r="S31" s="642">
        <v>0</v>
      </c>
      <c r="T31" s="642">
        <v>0</v>
      </c>
      <c r="U31" s="642">
        <v>0</v>
      </c>
      <c r="V31" s="642">
        <v>0</v>
      </c>
      <c r="W31" s="642">
        <v>0</v>
      </c>
      <c r="X31" s="642">
        <v>10</v>
      </c>
      <c r="Y31" s="642" t="s">
        <v>111</v>
      </c>
      <c r="Z31" s="644" t="s">
        <v>111</v>
      </c>
    </row>
    <row r="32" spans="1:26" s="576" customFormat="1">
      <c r="A32" s="598" t="s">
        <v>279</v>
      </c>
      <c r="B32" s="599"/>
      <c r="C32" s="599"/>
      <c r="D32" s="599"/>
      <c r="E32" s="599"/>
      <c r="F32" s="599"/>
      <c r="G32" s="599"/>
      <c r="H32" s="599"/>
      <c r="I32" s="599"/>
      <c r="J32" s="599"/>
      <c r="K32" s="599"/>
      <c r="L32" s="600"/>
      <c r="M32" s="600">
        <f>SUM(M28:M31)</f>
        <v>8876</v>
      </c>
      <c r="N32" s="600">
        <f>SUM(N28:N31)</f>
        <v>39942</v>
      </c>
      <c r="O32" s="600">
        <f>SUM(O28:O31)</f>
        <v>57060</v>
      </c>
      <c r="P32" s="600">
        <f>SUM(P28:P31)</f>
        <v>114120</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0</v>
      </c>
      <c r="N33" s="600">
        <f>SUMIF($Z$28:$Z$31,"industrie",N28:N31)</f>
        <v>0</v>
      </c>
      <c r="O33" s="600">
        <f>SUMIF($Z$28:$Z$31,"industrie",O28:O31)</f>
        <v>0</v>
      </c>
      <c r="P33" s="600">
        <f>SUMIF($Z$28:$Z$31,"industrie",P28:P31)</f>
        <v>0</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5</v>
      </c>
      <c r="N34" s="600">
        <f ca="1">SUMIF($Z$28:AD31,"tertiair",N28:N31)</f>
        <v>22.5</v>
      </c>
      <c r="O34" s="600">
        <f ca="1">SUMIF($Z$28:AE31,"tertiair",O28:O31)</f>
        <v>32.142857142857146</v>
      </c>
      <c r="P34" s="600">
        <f ca="1">SUMIF($Z$28:AF31,"tertiair",P28:P31)</f>
        <v>64.285714285714292</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8871</v>
      </c>
      <c r="N35" s="605">
        <f>SUMIF($Z$28:$Z$31,"landbouw",N28:N31)</f>
        <v>39919.5</v>
      </c>
      <c r="O35" s="605">
        <f>SUMIF($Z$28:$Z$31,"landbouw",O28:O31)</f>
        <v>57027.857142857145</v>
      </c>
      <c r="P35" s="605">
        <f>SUMIF($Z$28:$Z$31,"landbouw",P28:P31)</f>
        <v>114055.71428571429</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0.58823529411764708</v>
      </c>
      <c r="C48" s="625">
        <f>IF(ISERROR(N32/(O32+N32)),0,N32/(N32+O32))</f>
        <v>0.41176470588235292</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46990.588235294119</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67129.411764705888</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30741.57177692977</v>
      </c>
      <c r="C4" s="455">
        <f>huishoudens!C8</f>
        <v>0</v>
      </c>
      <c r="D4" s="455">
        <f>huishoudens!D8</f>
        <v>84804.011920880948</v>
      </c>
      <c r="E4" s="455">
        <f>huishoudens!E8</f>
        <v>597.17429866441489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4218.9529081144365</v>
      </c>
      <c r="O4" s="455">
        <f>huishoudens!O8</f>
        <v>196.41186371931616</v>
      </c>
      <c r="P4" s="456">
        <f>huishoudens!P8</f>
        <v>179.07730823064537</v>
      </c>
      <c r="Q4" s="457">
        <f>SUM(B4:P4)</f>
        <v>120737.20007653952</v>
      </c>
    </row>
    <row r="5" spans="1:17">
      <c r="A5" s="454" t="s">
        <v>155</v>
      </c>
      <c r="B5" s="455">
        <f ca="1">tertiair!B16</f>
        <v>25043.794525450645</v>
      </c>
      <c r="C5" s="455">
        <f ca="1">tertiair!C16</f>
        <v>32.142857142857146</v>
      </c>
      <c r="D5" s="455">
        <f ca="1">tertiair!D16</f>
        <v>76165.038840907902</v>
      </c>
      <c r="E5" s="455">
        <f>tertiair!E16</f>
        <v>80.315819661019574</v>
      </c>
      <c r="F5" s="455">
        <f ca="1">tertiair!F16</f>
        <v>4082.5792965324372</v>
      </c>
      <c r="G5" s="455">
        <f>tertiair!G16</f>
        <v>0</v>
      </c>
      <c r="H5" s="455">
        <f>tertiair!H16</f>
        <v>0</v>
      </c>
      <c r="I5" s="455">
        <f>tertiair!I16</f>
        <v>0</v>
      </c>
      <c r="J5" s="455">
        <f>tertiair!J16</f>
        <v>3.3757035405281979E-2</v>
      </c>
      <c r="K5" s="455">
        <f>tertiair!K16</f>
        <v>0</v>
      </c>
      <c r="L5" s="455">
        <f ca="1">tertiair!L16</f>
        <v>0</v>
      </c>
      <c r="M5" s="455">
        <f>tertiair!M16</f>
        <v>0</v>
      </c>
      <c r="N5" s="455">
        <f ca="1">tertiair!N16</f>
        <v>1241.0426011352447</v>
      </c>
      <c r="O5" s="455">
        <f>tertiair!O16</f>
        <v>4.8972607658411542</v>
      </c>
      <c r="P5" s="456">
        <f>tertiair!P16</f>
        <v>105.07827661299004</v>
      </c>
      <c r="Q5" s="454">
        <f t="shared" ref="Q5:Q14" ca="1" si="0">SUM(B5:P5)</f>
        <v>106754.92323524432</v>
      </c>
    </row>
    <row r="6" spans="1:17">
      <c r="A6" s="454" t="s">
        <v>193</v>
      </c>
      <c r="B6" s="455">
        <f>'openbare verlichting'!B8</f>
        <v>1288.8822028206901</v>
      </c>
      <c r="C6" s="455"/>
      <c r="D6" s="455"/>
      <c r="E6" s="455"/>
      <c r="F6" s="455"/>
      <c r="G6" s="455"/>
      <c r="H6" s="455"/>
      <c r="I6" s="455"/>
      <c r="J6" s="455"/>
      <c r="K6" s="455"/>
      <c r="L6" s="455"/>
      <c r="M6" s="455"/>
      <c r="N6" s="455"/>
      <c r="O6" s="455"/>
      <c r="P6" s="456"/>
      <c r="Q6" s="454">
        <f t="shared" si="0"/>
        <v>1288.8822028206901</v>
      </c>
    </row>
    <row r="7" spans="1:17">
      <c r="A7" s="454" t="s">
        <v>111</v>
      </c>
      <c r="B7" s="455">
        <f>landbouw!B8</f>
        <v>1328.24743055306</v>
      </c>
      <c r="C7" s="455">
        <f>landbouw!C8</f>
        <v>57027.857142857145</v>
      </c>
      <c r="D7" s="455">
        <f>landbouw!D8</f>
        <v>0</v>
      </c>
      <c r="E7" s="455">
        <f>landbouw!E8</f>
        <v>49.534409504389302</v>
      </c>
      <c r="F7" s="455">
        <f>landbouw!F8</f>
        <v>4309.3479197245815</v>
      </c>
      <c r="G7" s="455">
        <f>landbouw!G8</f>
        <v>0</v>
      </c>
      <c r="H7" s="455">
        <f>landbouw!H8</f>
        <v>0</v>
      </c>
      <c r="I7" s="455">
        <f>landbouw!I8</f>
        <v>0</v>
      </c>
      <c r="J7" s="455">
        <f>landbouw!J8</f>
        <v>348.67150795439329</v>
      </c>
      <c r="K7" s="455">
        <f>landbouw!K8</f>
        <v>0</v>
      </c>
      <c r="L7" s="455">
        <f>landbouw!L8</f>
        <v>0</v>
      </c>
      <c r="M7" s="455">
        <f>landbouw!M8</f>
        <v>0</v>
      </c>
      <c r="N7" s="455">
        <f>landbouw!N8</f>
        <v>0</v>
      </c>
      <c r="O7" s="455">
        <f>landbouw!O8</f>
        <v>0</v>
      </c>
      <c r="P7" s="456">
        <f>landbouw!P8</f>
        <v>0</v>
      </c>
      <c r="Q7" s="454">
        <f t="shared" si="0"/>
        <v>63063.658410593576</v>
      </c>
    </row>
    <row r="8" spans="1:17">
      <c r="A8" s="454" t="s">
        <v>626</v>
      </c>
      <c r="B8" s="455">
        <f>industrie!B18</f>
        <v>39803.243044178962</v>
      </c>
      <c r="C8" s="455">
        <f>industrie!C18</f>
        <v>0</v>
      </c>
      <c r="D8" s="455">
        <f>industrie!D18</f>
        <v>8267.57361225776</v>
      </c>
      <c r="E8" s="455">
        <f>industrie!E18</f>
        <v>668.69653901910613</v>
      </c>
      <c r="F8" s="455">
        <f>industrie!F18</f>
        <v>4484.3127865914194</v>
      </c>
      <c r="G8" s="455">
        <f>industrie!G18</f>
        <v>0</v>
      </c>
      <c r="H8" s="455">
        <f>industrie!H18</f>
        <v>0</v>
      </c>
      <c r="I8" s="455">
        <f>industrie!I18</f>
        <v>0</v>
      </c>
      <c r="J8" s="455">
        <f>industrie!J18</f>
        <v>4.1492808613746242</v>
      </c>
      <c r="K8" s="455">
        <f>industrie!K18</f>
        <v>0</v>
      </c>
      <c r="L8" s="455">
        <f>industrie!L18</f>
        <v>0</v>
      </c>
      <c r="M8" s="455">
        <f>industrie!M18</f>
        <v>0</v>
      </c>
      <c r="N8" s="455">
        <f>industrie!N18</f>
        <v>3583.1711285095603</v>
      </c>
      <c r="O8" s="455">
        <f>industrie!O18</f>
        <v>0</v>
      </c>
      <c r="P8" s="456">
        <f>industrie!P18</f>
        <v>0</v>
      </c>
      <c r="Q8" s="454">
        <f t="shared" si="0"/>
        <v>56811.14639141818</v>
      </c>
    </row>
    <row r="9" spans="1:17" s="460" customFormat="1">
      <c r="A9" s="458" t="s">
        <v>552</v>
      </c>
      <c r="B9" s="459">
        <f>transport!B14</f>
        <v>132.72254107689983</v>
      </c>
      <c r="C9" s="459">
        <f>transport!C14</f>
        <v>0</v>
      </c>
      <c r="D9" s="459">
        <f>transport!D14</f>
        <v>505.13102107427574</v>
      </c>
      <c r="E9" s="459">
        <f>transport!E14</f>
        <v>318.68297058935394</v>
      </c>
      <c r="F9" s="459">
        <f>transport!F14</f>
        <v>0</v>
      </c>
      <c r="G9" s="459">
        <f>transport!G14</f>
        <v>190277.18826412337</v>
      </c>
      <c r="H9" s="459">
        <f>transport!H14</f>
        <v>33223.656323942276</v>
      </c>
      <c r="I9" s="459">
        <f>transport!I14</f>
        <v>0</v>
      </c>
      <c r="J9" s="459">
        <f>transport!J14</f>
        <v>0</v>
      </c>
      <c r="K9" s="459">
        <f>transport!K14</f>
        <v>0</v>
      </c>
      <c r="L9" s="459">
        <f>transport!L14</f>
        <v>0</v>
      </c>
      <c r="M9" s="459">
        <f>transport!M14</f>
        <v>13022.430428986558</v>
      </c>
      <c r="N9" s="459">
        <f>transport!N14</f>
        <v>0</v>
      </c>
      <c r="O9" s="459">
        <f>transport!O14</f>
        <v>0</v>
      </c>
      <c r="P9" s="459">
        <f>transport!P14</f>
        <v>0</v>
      </c>
      <c r="Q9" s="458">
        <f>SUM(B9:P9)</f>
        <v>237479.81154979271</v>
      </c>
    </row>
    <row r="10" spans="1:17">
      <c r="A10" s="454" t="s">
        <v>542</v>
      </c>
      <c r="B10" s="455">
        <f>transport!B54</f>
        <v>1167.1477219604824</v>
      </c>
      <c r="C10" s="455">
        <f>transport!C54</f>
        <v>0</v>
      </c>
      <c r="D10" s="455">
        <f>transport!D54</f>
        <v>0</v>
      </c>
      <c r="E10" s="455">
        <f>transport!E54</f>
        <v>0</v>
      </c>
      <c r="F10" s="455">
        <f>transport!F54</f>
        <v>0</v>
      </c>
      <c r="G10" s="455">
        <f>transport!G54</f>
        <v>981.3945468747263</v>
      </c>
      <c r="H10" s="455">
        <f>transport!H54</f>
        <v>0</v>
      </c>
      <c r="I10" s="455">
        <f>transport!I54</f>
        <v>0</v>
      </c>
      <c r="J10" s="455">
        <f>transport!J54</f>
        <v>0</v>
      </c>
      <c r="K10" s="455">
        <f>transport!K54</f>
        <v>0</v>
      </c>
      <c r="L10" s="455">
        <f>transport!L54</f>
        <v>0</v>
      </c>
      <c r="M10" s="455">
        <f>transport!M54</f>
        <v>53.256057732771048</v>
      </c>
      <c r="N10" s="455">
        <f>transport!N54</f>
        <v>0</v>
      </c>
      <c r="O10" s="455">
        <f>transport!O54</f>
        <v>0</v>
      </c>
      <c r="P10" s="456">
        <f>transport!P54</f>
        <v>0</v>
      </c>
      <c r="Q10" s="454">
        <f t="shared" si="0"/>
        <v>2201.7983265679795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777.62295221673003</v>
      </c>
      <c r="C14" s="462"/>
      <c r="D14" s="462">
        <f>'SEAP template'!E25</f>
        <v>5756.8156102115208</v>
      </c>
      <c r="E14" s="462"/>
      <c r="F14" s="462"/>
      <c r="G14" s="462"/>
      <c r="H14" s="462"/>
      <c r="I14" s="462"/>
      <c r="J14" s="462"/>
      <c r="K14" s="462"/>
      <c r="L14" s="462"/>
      <c r="M14" s="462"/>
      <c r="N14" s="462"/>
      <c r="O14" s="462"/>
      <c r="P14" s="463"/>
      <c r="Q14" s="454">
        <f t="shared" si="0"/>
        <v>6534.4385624282513</v>
      </c>
    </row>
    <row r="15" spans="1:17" s="466" customFormat="1">
      <c r="A15" s="464" t="s">
        <v>546</v>
      </c>
      <c r="B15" s="465">
        <f ca="1">SUM(B4:B14)</f>
        <v>100283.23219518724</v>
      </c>
      <c r="C15" s="465">
        <f t="shared" ref="C15:Q15" ca="1" si="1">SUM(C4:C14)</f>
        <v>57060</v>
      </c>
      <c r="D15" s="465">
        <f t="shared" ca="1" si="1"/>
        <v>175498.5710053324</v>
      </c>
      <c r="E15" s="465">
        <f t="shared" si="1"/>
        <v>1714.4040374382837</v>
      </c>
      <c r="F15" s="465">
        <f t="shared" ca="1" si="1"/>
        <v>12876.240002848439</v>
      </c>
      <c r="G15" s="465">
        <f t="shared" si="1"/>
        <v>191258.58281099811</v>
      </c>
      <c r="H15" s="465">
        <f t="shared" si="1"/>
        <v>33223.656323942276</v>
      </c>
      <c r="I15" s="465">
        <f t="shared" si="1"/>
        <v>0</v>
      </c>
      <c r="J15" s="465">
        <f t="shared" si="1"/>
        <v>352.85454585117321</v>
      </c>
      <c r="K15" s="465">
        <f t="shared" si="1"/>
        <v>0</v>
      </c>
      <c r="L15" s="465">
        <f t="shared" ca="1" si="1"/>
        <v>0</v>
      </c>
      <c r="M15" s="465">
        <f t="shared" si="1"/>
        <v>13075.686486719329</v>
      </c>
      <c r="N15" s="465">
        <f t="shared" ca="1" si="1"/>
        <v>9043.166637759241</v>
      </c>
      <c r="O15" s="465">
        <f t="shared" si="1"/>
        <v>201.30912448515733</v>
      </c>
      <c r="P15" s="465">
        <f t="shared" si="1"/>
        <v>284.15558484363544</v>
      </c>
      <c r="Q15" s="465">
        <f t="shared" ca="1" si="1"/>
        <v>594871.85875540518</v>
      </c>
    </row>
    <row r="17" spans="1:17">
      <c r="A17" s="467" t="s">
        <v>547</v>
      </c>
      <c r="B17" s="784">
        <f ca="1">huishoudens!B10</f>
        <v>0.21423152732432119</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6585.8138741219109</v>
      </c>
      <c r="C22" s="455">
        <f t="shared" ref="C22:C32" ca="1" si="3">C4*$C$17</f>
        <v>0</v>
      </c>
      <c r="D22" s="455">
        <f t="shared" ref="D22:D32" si="4">D4*$D$17</f>
        <v>17130.410408017953</v>
      </c>
      <c r="E22" s="455">
        <f t="shared" ref="E22:E32" si="5">E4*$E$17</f>
        <v>135.55856579682219</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23851.782847936687</v>
      </c>
    </row>
    <row r="23" spans="1:17">
      <c r="A23" s="454" t="s">
        <v>155</v>
      </c>
      <c r="B23" s="455">
        <f t="shared" ca="1" si="2"/>
        <v>5365.170351183765</v>
      </c>
      <c r="C23" s="455">
        <f t="shared" ca="1" si="3"/>
        <v>7.6386554621848752</v>
      </c>
      <c r="D23" s="455">
        <f t="shared" ca="1" si="4"/>
        <v>15385.337845863398</v>
      </c>
      <c r="E23" s="455">
        <f t="shared" si="5"/>
        <v>18.231691063051443</v>
      </c>
      <c r="F23" s="455">
        <f t="shared" ca="1" si="6"/>
        <v>1090.0486721741609</v>
      </c>
      <c r="G23" s="455">
        <f t="shared" si="7"/>
        <v>0</v>
      </c>
      <c r="H23" s="455">
        <f t="shared" si="8"/>
        <v>0</v>
      </c>
      <c r="I23" s="455">
        <f t="shared" si="9"/>
        <v>0</v>
      </c>
      <c r="J23" s="455">
        <f t="shared" si="10"/>
        <v>1.1949990533469819E-2</v>
      </c>
      <c r="K23" s="455">
        <f t="shared" si="11"/>
        <v>0</v>
      </c>
      <c r="L23" s="455">
        <f t="shared" ca="1" si="12"/>
        <v>0</v>
      </c>
      <c r="M23" s="455">
        <f t="shared" si="13"/>
        <v>0</v>
      </c>
      <c r="N23" s="455">
        <f t="shared" ca="1" si="14"/>
        <v>0</v>
      </c>
      <c r="O23" s="455">
        <f t="shared" si="15"/>
        <v>0</v>
      </c>
      <c r="P23" s="456">
        <f t="shared" si="16"/>
        <v>0</v>
      </c>
      <c r="Q23" s="454">
        <f t="shared" ref="Q23:Q31" ca="1" si="17">SUM(B23:P23)</f>
        <v>21866.439165737094</v>
      </c>
    </row>
    <row r="24" spans="1:17">
      <c r="A24" s="454" t="s">
        <v>193</v>
      </c>
      <c r="B24" s="455">
        <f t="shared" ca="1" si="2"/>
        <v>276.11920285141196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276.11920285141196</v>
      </c>
    </row>
    <row r="25" spans="1:17">
      <c r="A25" s="454" t="s">
        <v>111</v>
      </c>
      <c r="B25" s="455">
        <f t="shared" ca="1" si="2"/>
        <v>284.55247571198726</v>
      </c>
      <c r="C25" s="455">
        <f t="shared" ca="1" si="3"/>
        <v>13552.502521008406</v>
      </c>
      <c r="D25" s="455">
        <f t="shared" si="4"/>
        <v>0</v>
      </c>
      <c r="E25" s="455">
        <f t="shared" si="5"/>
        <v>11.244310957496372</v>
      </c>
      <c r="F25" s="455">
        <f t="shared" si="6"/>
        <v>1150.5958945664634</v>
      </c>
      <c r="G25" s="455">
        <f t="shared" si="7"/>
        <v>0</v>
      </c>
      <c r="H25" s="455">
        <f t="shared" si="8"/>
        <v>0</v>
      </c>
      <c r="I25" s="455">
        <f t="shared" si="9"/>
        <v>0</v>
      </c>
      <c r="J25" s="455">
        <f t="shared" si="10"/>
        <v>123.42971381585522</v>
      </c>
      <c r="K25" s="455">
        <f t="shared" si="11"/>
        <v>0</v>
      </c>
      <c r="L25" s="455">
        <f t="shared" si="12"/>
        <v>0</v>
      </c>
      <c r="M25" s="455">
        <f t="shared" si="13"/>
        <v>0</v>
      </c>
      <c r="N25" s="455">
        <f t="shared" si="14"/>
        <v>0</v>
      </c>
      <c r="O25" s="455">
        <f t="shared" si="15"/>
        <v>0</v>
      </c>
      <c r="P25" s="456">
        <f t="shared" si="16"/>
        <v>0</v>
      </c>
      <c r="Q25" s="454">
        <f t="shared" ca="1" si="17"/>
        <v>15122.324916060206</v>
      </c>
    </row>
    <row r="26" spans="1:17">
      <c r="A26" s="454" t="s">
        <v>626</v>
      </c>
      <c r="B26" s="455">
        <f t="shared" ca="1" si="2"/>
        <v>8527.1095498156228</v>
      </c>
      <c r="C26" s="455">
        <f t="shared" ca="1" si="3"/>
        <v>0</v>
      </c>
      <c r="D26" s="455">
        <f t="shared" si="4"/>
        <v>1670.0498696760676</v>
      </c>
      <c r="E26" s="455">
        <f t="shared" si="5"/>
        <v>151.79411435733709</v>
      </c>
      <c r="F26" s="455">
        <f t="shared" si="6"/>
        <v>1197.3115140199091</v>
      </c>
      <c r="G26" s="455">
        <f t="shared" si="7"/>
        <v>0</v>
      </c>
      <c r="H26" s="455">
        <f t="shared" si="8"/>
        <v>0</v>
      </c>
      <c r="I26" s="455">
        <f t="shared" si="9"/>
        <v>0</v>
      </c>
      <c r="J26" s="455">
        <f t="shared" si="10"/>
        <v>1.468845424926617</v>
      </c>
      <c r="K26" s="455">
        <f t="shared" si="11"/>
        <v>0</v>
      </c>
      <c r="L26" s="455">
        <f t="shared" si="12"/>
        <v>0</v>
      </c>
      <c r="M26" s="455">
        <f t="shared" si="13"/>
        <v>0</v>
      </c>
      <c r="N26" s="455">
        <f t="shared" si="14"/>
        <v>0</v>
      </c>
      <c r="O26" s="455">
        <f t="shared" si="15"/>
        <v>0</v>
      </c>
      <c r="P26" s="456">
        <f t="shared" si="16"/>
        <v>0</v>
      </c>
      <c r="Q26" s="454">
        <f t="shared" ca="1" si="17"/>
        <v>11547.733893293864</v>
      </c>
    </row>
    <row r="27" spans="1:17" s="460" customFormat="1">
      <c r="A27" s="458" t="s">
        <v>552</v>
      </c>
      <c r="B27" s="778">
        <f t="shared" ca="1" si="2"/>
        <v>28.433352685269206</v>
      </c>
      <c r="C27" s="459">
        <f t="shared" ca="1" si="3"/>
        <v>0</v>
      </c>
      <c r="D27" s="459">
        <f t="shared" si="4"/>
        <v>102.03646625700371</v>
      </c>
      <c r="E27" s="459">
        <f t="shared" si="5"/>
        <v>72.341034323783347</v>
      </c>
      <c r="F27" s="459">
        <f t="shared" si="6"/>
        <v>0</v>
      </c>
      <c r="G27" s="459">
        <f t="shared" si="7"/>
        <v>50804.009266520945</v>
      </c>
      <c r="H27" s="459">
        <f t="shared" si="8"/>
        <v>8272.6904246616268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59279.510544448625</v>
      </c>
    </row>
    <row r="28" spans="1:17" ht="16.5" customHeight="1">
      <c r="A28" s="454" t="s">
        <v>542</v>
      </c>
      <c r="B28" s="455">
        <f t="shared" ca="1" si="2"/>
        <v>250.03983908869631</v>
      </c>
      <c r="C28" s="455">
        <f t="shared" ca="1" si="3"/>
        <v>0</v>
      </c>
      <c r="D28" s="455">
        <f t="shared" si="4"/>
        <v>0</v>
      </c>
      <c r="E28" s="455">
        <f t="shared" si="5"/>
        <v>0</v>
      </c>
      <c r="F28" s="455">
        <f t="shared" si="6"/>
        <v>0</v>
      </c>
      <c r="G28" s="455">
        <f t="shared" si="7"/>
        <v>262.03234401555193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512.07218310424821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166.59135273583772</v>
      </c>
      <c r="C32" s="455">
        <f t="shared" ca="1" si="3"/>
        <v>0</v>
      </c>
      <c r="D32" s="455">
        <f t="shared" si="4"/>
        <v>1162.8767532627273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1329.4681059985651</v>
      </c>
    </row>
    <row r="33" spans="1:17" s="466" customFormat="1">
      <c r="A33" s="464" t="s">
        <v>546</v>
      </c>
      <c r="B33" s="465">
        <f ca="1">SUM(B22:B32)</f>
        <v>21483.829998194498</v>
      </c>
      <c r="C33" s="465">
        <f t="shared" ref="C33:Q33" ca="1" si="19">SUM(C22:C32)</f>
        <v>13560.14117647059</v>
      </c>
      <c r="D33" s="465">
        <f t="shared" ca="1" si="19"/>
        <v>35450.71134307715</v>
      </c>
      <c r="E33" s="465">
        <f t="shared" si="19"/>
        <v>389.1697164984904</v>
      </c>
      <c r="F33" s="465">
        <f t="shared" ca="1" si="19"/>
        <v>3437.956080760533</v>
      </c>
      <c r="G33" s="465">
        <f t="shared" si="19"/>
        <v>51066.0416105365</v>
      </c>
      <c r="H33" s="465">
        <f t="shared" si="19"/>
        <v>8272.6904246616268</v>
      </c>
      <c r="I33" s="465">
        <f t="shared" si="19"/>
        <v>0</v>
      </c>
      <c r="J33" s="465">
        <f t="shared" si="19"/>
        <v>124.9105092313153</v>
      </c>
      <c r="K33" s="465">
        <f t="shared" si="19"/>
        <v>0</v>
      </c>
      <c r="L33" s="465">
        <f t="shared" ca="1" si="19"/>
        <v>0</v>
      </c>
      <c r="M33" s="465">
        <f t="shared" si="19"/>
        <v>0</v>
      </c>
      <c r="N33" s="465">
        <f t="shared" ca="1" si="19"/>
        <v>0</v>
      </c>
      <c r="O33" s="465">
        <f t="shared" si="19"/>
        <v>0</v>
      </c>
      <c r="P33" s="465">
        <f t="shared" si="19"/>
        <v>0</v>
      </c>
      <c r="Q33" s="465">
        <f t="shared" ca="1" si="19"/>
        <v>133785.45085943071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6080.0051605035915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39942</v>
      </c>
      <c r="D8" s="1026">
        <f>'SEAP template'!D76</f>
        <v>46990.588235294119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9492.0988235294135</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6080.0051605035915</v>
      </c>
      <c r="C10" s="1028">
        <f>SUM(C4:C9)</f>
        <v>39942</v>
      </c>
      <c r="D10" s="1028">
        <f t="shared" ref="D10:H10" si="0">SUM(D8:D9)</f>
        <v>46990.588235294119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9492.0988235294135</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0.21423152732432119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57060</v>
      </c>
      <c r="D17" s="1027">
        <f>'SEAP template'!D87</f>
        <v>67129.411764705888</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13560.14117647059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57060</v>
      </c>
      <c r="D20" s="1028">
        <f t="shared" ref="D20:H20" si="2">SUM(D17:D19)</f>
        <v>67129.411764705888</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13560.14117647059</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0.21423152732432119</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2020-06-20T15:17:51Z</dcterms:modified>
</cp:coreProperties>
</file>