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0" i="13"/>
  <c r="C12" i="13" s="1"/>
  <c r="C29" i="20"/>
  <c r="C17" i="19"/>
  <c r="C19" i="19" s="1"/>
  <c r="D39" i="14" s="1"/>
  <c r="C18" i="15"/>
  <c r="C20" i="15" s="1"/>
  <c r="D40" i="14" s="1"/>
  <c r="C20" i="16"/>
  <c r="C22" i="16" s="1"/>
  <c r="D43" i="14" s="1"/>
  <c r="C10" i="17"/>
  <c r="C12" i="17" s="1"/>
  <c r="D54" i="14" s="1"/>
  <c r="D56" i="14" s="1"/>
  <c r="C22" i="59"/>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<sst xmlns="http://schemas.openxmlformats.org/spreadsheetml/2006/main" count="2393" uniqueCount="878">
  <si>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</si>
  <si>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</si>
  <si>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</si>
  <si>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</si>
  <si>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</si>
  <si>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</si>
  <si>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</si>
  <si>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</si>
  <si>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</si>
  <si>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</si>
  <si>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</si>
  <si>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</si>
  <si>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</si>
  <si>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</si>
  <si>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</si>
  <si>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</si>
  <si>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</si>
  <si>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</si>
  <si>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</si>
  <si>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</si>
  <si>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</si>
  <si>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</si>
  <si>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</si>
  <si>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</si>
  <si>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</si>
  <si>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</si>
  <si>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</si>
  <si>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</si>
  <si>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</si>
  <si>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</si>
  <si>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</si>
  <si>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</si>
  <si>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</si>
  <si>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</si>
  <si>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</si>
  <si>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</si>
  <si>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</si>
  <si>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</si>
  <si>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</si>
  <si>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</si>
  <si>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</si>
  <si>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</si>
  <si>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</si>
  <si>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</si>
  <si>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</si>
  <si>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</si>
  <si>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</si>
  <si>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</si>
  <si>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</si>
  <si>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</si>
  <si>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</si>
  <si>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</si>
  <si>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</si>
  <si>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</si>
  <si>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</si>
  <si>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</si>
  <si>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</si>
  <si>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</si>
  <si>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</si>
  <si>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</si>
  <si>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</si>
  <si>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</si>
  <si>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</si>
  <si>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</si>
  <si>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</si>
  <si>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</si>
  <si>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</si>
  <si>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</si>
  <si>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</si>
  <si>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</si>
  <si>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</si>
  <si>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</si>
  <si>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</si>
  <si>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</si>
  <si>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</si>
  <si>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</si>
  <si>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</si>
  <si>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</si>
  <si>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</si>
  <si>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</si>
  <si>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</si>
  <si>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</si>
  <si>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</si>
  <si>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</si>
  <si>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</si>
  <si>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</si>
  <si>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</si>
  <si>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</si>
  <si>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</si>
  <si>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</si>
  <si>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</si>
  <si>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</si>
  <si>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</si>
  <si>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</si>
  <si>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</si>
  <si>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</si>
  <si>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</si>
  <si>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</si>
  <si>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</si>
  <si>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</si>
  <si>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</si>
  <si>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</si>
  <si>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</si>
  <si>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</si>
  <si>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</si>
  <si>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</si>
  <si>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</si>
  <si>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</si>
  <si>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</si>
  <si>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</si>
  <si>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</si>
  <si>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</si>
  <si>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</si>
  <si>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</si>
  <si>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</si>
  <si>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</si>
  <si>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</si>
  <si>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</si>
  <si>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</si>
  <si>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</si>
  <si>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</si>
  <si>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</si>
  <si>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</si>
  <si>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</si>
  <si>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</si>
  <si>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</si>
  <si>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</si>
  <si>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</si>
  <si>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</si>
  <si>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</si>
  <si>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</si>
  <si>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</si>
  <si>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</si>
  <si>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</si>
  <si>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</si>
  <si>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</si>
  <si>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</si>
  <si>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</si>
  <si>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</si>
  <si>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</si>
  <si>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</si>
  <si>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</si>
  <si>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</si>
  <si>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</si>
  <si>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</si>
  <si>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</si>
  <si>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</si>
  <si>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</si>
  <si>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</si>
  <si>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</si>
  <si>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</si>
  <si>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</si>
  <si>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</si>
  <si>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</si>
  <si>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</si>
  <si>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</si>
  <si>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</si>
  <si>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</si>
  <si>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</si>
  <si>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</si>
  <si>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</si>
  <si>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</si>
  <si>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</si>
  <si>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</si>
  <si>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</si>
  <si>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</si>
  <si>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</si>
  <si>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</si>
  <si>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</si>
  <si>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</si>
  <si>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</si>
  <si>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</si>
  <si>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</si>
  <si>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</si>
  <si>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</si>
  <si>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</si>
  <si>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</si>
  <si>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</si>
  <si>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</si>
  <si>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</si>
  <si>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</si>
  <si>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</si>
  <si>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</si>
  <si>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</si>
  <si>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</si>
  <si>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</si>
  <si>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</si>
  <si>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</si>
  <si>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</si>
  <si>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</si>
  <si>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</si>
  <si>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</si>
  <si>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</si>
  <si>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</si>
  <si>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</si>
  <si>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</si>
  <si>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</si>
  <si>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</si>
  <si>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</si>
  <si>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</si>
  <si>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</si>
  <si>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</si>
  <si>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</si>
  <si>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</si>
  <si>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</si>
  <si>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</si>
  <si>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</si>
  <si>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</si>
  <si>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</si>
  <si>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</si>
  <si>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</si>
  <si>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</si>
  <si>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</si>
  <si>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</si>
  <si>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</si>
  <si>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</si>
  <si>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</si>
  <si>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</si>
  <si>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</si>
  <si>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</si>
  <si>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</si>
  <si>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</si>
  <si>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</si>
  <si>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</si>
  <si>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</si>
  <si>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</si>
  <si>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</si>
  <si>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</si>
  <si>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</si>
  <si>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</si>
  <si>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</si>
  <si>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</si>
  <si>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</si>
  <si>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</si>
  <si>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</si>
  <si>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</si>
  <si>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</si>
  <si>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</si>
  <si>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</si>
  <si>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</si>
  <si>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</si>
  <si>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</si>
  <si>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</si>
  <si>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</si>
  <si>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</si>
  <si>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</si>
  <si>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</si>
  <si>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</si>
  <si>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</si>
  <si>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</si>
  <si>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</si>
  <si>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</si>
  <si>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</si>
  <si>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</si>
  <si>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</si>
  <si>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</si>
  <si>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</si>
  <si>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</si>
  <si>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</si>
  <si>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</si>
  <si>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</si>
  <si>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</si>
  <si>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</si>
  <si>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</si>
  <si>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</si>
  <si>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</si>
  <si>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</si>
  <si>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</si>
  <si>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</si>
  <si>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</si>
  <si>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</si>
  <si>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</si>
  <si>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</si>
  <si>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</si>
  <si>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</si>
  <si>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</si>
  <si>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</si>
  <si>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</si>
  <si>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</si>
  <si>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</si>
  <si>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</si>
  <si>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</si>
  <si>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</si>
  <si>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</si>
  <si>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</si>
  <si>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</si>
  <si>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</si>
  <si>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</si>
  <si>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</si>
  <si>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</si>
  <si>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</si>
  <si>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</si>
  <si>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</si>
  <si>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</si>
  <si>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</si>
  <si>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</si>
  <si>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</si>
  <si>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</si>
  <si>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</si>
  <si>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</si>
  <si>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</si>
  <si>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</si>
  <si>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</si>
  <si>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</si>
  <si>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</si>
  <si>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</si>
  <si>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</si>
  <si>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</si>
  <si>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</si>
  <si>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</si>
  <si>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</si>
  <si>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</si>
  <si>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</si>
  <si>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</si>
  <si>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</si>
  <si>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</si>
  <si>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</si>
  <si>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</si>
  <si>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</si>
  <si>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</si>
  <si>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</si>
  <si>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</si>
  <si>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</si>
  <si>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</si>
  <si>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</si>
  <si>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</si>
  <si>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</si>
  <si>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</si>
  <si>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</si>
  <si>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</si>
  <si>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</si>
  <si>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</si>
  <si>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</si>
  <si>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</si>
  <si>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</si>
  <si>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</si>
  <si>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</si>
  <si>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</si>
  <si>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</si>
  <si>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</si>
  <si>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</si>
  <si>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</si>
  <si>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</si>
  <si>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</si>
  <si>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</si>
  <si>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</si>
  <si>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</si>
  <si>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</si>
  <si>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</si>
  <si>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</si>
  <si>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</si>
  <si>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</si>
  <si>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</si>
  <si>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</si>
  <si>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</si>
  <si>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</si>
  <si>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</si>
  <si>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</si>
  <si>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</si>
  <si>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</si>
  <si>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</si>
  <si>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</si>
  <si>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</si>
  <si>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</si>
  <si>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</si>
  <si>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</si>
  <si>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</si>
  <si>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</si>
  <si>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</si>
  <si>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</si>
  <si>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</si>
  <si>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</si>
  <si>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</si>
  <si>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</si>
  <si>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</si>
  <si>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</si>
  <si>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</si>
  <si>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</si>
  <si>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</si>
  <si>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</si>
  <si>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</si>
  <si>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</si>
  <si>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</si>
  <si>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</si>
  <si>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</si>
  <si>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</si>
  <si>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</si>
  <si>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</si>
  <si>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</si>
  <si>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</si>
  <si>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</si>
  <si>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</si>
  <si>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</si>
  <si>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</si>
  <si>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</si>
  <si>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</si>
  <si>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</si>
  <si>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</si>
  <si>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</si>
  <si>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</si>
  <si>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</si>
  <si>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</si>
  <si>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</si>
  <si>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</si>
  <si>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</si>
  <si>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</si>
  <si>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</si>
  <si>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</si>
  <si>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</si>
  <si>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</si>
  <si>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</si>
  <si>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</si>
  <si>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</si>
  <si>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</si>
  <si>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</si>
  <si>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</si>
  <si>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</si>
  <si>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</si>
  <si>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</si>
  <si>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</si>
  <si>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</si>
  <si>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</si>
  <si>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</si>
  <si>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</si>
  <si>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</si>
  <si>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</si>
  <si>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</si>
  <si>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</si>
  <si>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</si>
  <si>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</si>
  <si>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</si>
  <si>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</si>
  <si>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</si>
  <si>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</si>
  <si>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</si>
  <si>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</si>
  <si>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</si>
  <si>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</si>
  <si>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</si>
  <si>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</si>
  <si>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</si>
  <si>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</si>
  <si>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</si>
  <si>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</si>
  <si>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</si>
  <si>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</si>
  <si>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</si>
  <si>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</si>
  <si>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</si>
  <si>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</si>
  <si>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</si>
  <si>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</si>
  <si>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</si>
  <si>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</si>
  <si>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</si>
  <si>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</si>
  <si>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</si>
  <si>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</si>
  <si>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</si>
  <si>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</si>
  <si>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</si>
  <si>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</si>
  <si>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</si>
  <si>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</si>
  <si>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</si>
  <si>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</si>
  <si>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</si>
  <si>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</si>
  <si>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</si>
  <si>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</si>
  <si>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</si>
  <si>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</si>
  <si>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</si>
  <si>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</si>
  <si>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</si>
  <si>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</si>
  <si>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</si>
  <si>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</si>
  <si>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</si>
  <si>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</si>
  <si>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</si>
  <si>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</si>
  <si>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</si>
  <si>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</si>
  <si>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</si>
  <si>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</si>
  <si>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</si>
  <si>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</si>
  <si>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</si>
  <si>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</si>
  <si>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</si>
  <si>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</si>
  <si>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</si>
  <si>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</si>
  <si>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</si>
  <si>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</si>
  <si>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</si>
  <si>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</si>
  <si>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</si>
  <si>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</si>
  <si>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</si>
  <si>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</si>
  <si>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</si>
  <si>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</si>
  <si>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</si>
  <si>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</si>
  <si>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</si>
  <si>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</si>
  <si>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</si>
  <si>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</si>
  <si>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</si>
  <si>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</si>
  <si>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</si>
  <si>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</si>
  <si>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</si>
  <si>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</si>
  <si>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</si>
  <si>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</si>
  <si>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</si>
  <si>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</si>
  <si>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</si>
  <si>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</si>
  <si>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</si>
  <si>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</si>
  <si>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</si>
  <si>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</si>
  <si>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</si>
  <si>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</si>
  <si>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</si>
  <si>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</si>
  <si>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</si>
  <si>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</si>
  <si>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</si>
  <si>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</si>
  <si>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</si>
  <si>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</si>
  <si>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</si>
  <si>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</si>
  <si>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</si>
  <si>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</si>
  <si>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</si>
  <si>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</si>
  <si>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</si>
  <si>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</si>
  <si>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</si>
  <si>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</si>
  <si>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</si>
  <si>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</si>
  <si>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</si>
  <si>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</si>
  <si>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</si>
  <si>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</si>
  <si>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</si>
  <si>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</si>
  <si>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</si>
  <si>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</si>
  <si>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</si>
  <si>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</si>
  <si>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</si>
  <si>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</si>
  <si>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</si>
  <si>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</si>
  <si>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</si>
  <si>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</si>
  <si>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</si>
  <si>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</si>
  <si>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</si>
  <si>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</si>
  <si>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</si>
  <si>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</si>
  <si>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</si>
  <si>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</si>
  <si>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</si>
  <si>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</si>
  <si>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</si>
  <si>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</si>
  <si>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</si>
  <si>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</si>
  <si>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</si>
  <si>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</si>
  <si>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</si>
  <si>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</si>
  <si>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</si>
  <si>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</si>
  <si>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</si>
  <si>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</si>
  <si>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</si>
  <si>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</si>
  <si>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</si>
  <si>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</si>
  <si>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</si>
  <si>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</si>
  <si>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</si>
  <si>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</si>
  <si>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</si>
  <si>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</si>
  <si>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</si>
  <si>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</si>
  <si>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</si>
  <si>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</si>
  <si>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</si>
  <si>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</si>
  <si>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</si>
  <si>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</si>
  <si>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</si>
  <si>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</si>
  <si>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</si>
  <si>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</si>
  <si>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</si>
  <si>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</si>
  <si>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</si>
  <si>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</si>
  <si>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</si>
  <si>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</si>
  <si>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</si>
  <si>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</si>
  <si>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</si>
  <si>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</si>
  <si>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</si>
  <si>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</si>
  <si>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</si>
  <si>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</si>
  <si>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</si>
  <si>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</si>
  <si>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</si>
  <si>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</si>
  <si>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</si>
  <si>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</si>
  <si>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</si>
  <si>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</si>
  <si>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</si>
  <si>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</si>
  <si>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</si>
  <si>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</si>
  <si>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</si>
  <si>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</si>
  <si>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</si>
  <si>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</si>
  <si>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</si>
  <si>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</si>
  <si>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</si>
  <si>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</si>
  <si>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</si>
  <si>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</si>
  <si>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</si>
  <si>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</si>
  <si>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</si>
  <si>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</si>
  <si>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</si>
  <si>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</si>
  <si>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</si>
  <si>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</si>
  <si>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</si>
  <si>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</si>
  <si>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</si>
  <si>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</si>
  <si>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</si>
  <si>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</si>
  <si>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</si>
  <si>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</si>
  <si>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</si>
  <si>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</si>
  <si>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</si>
  <si>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</si>
  <si>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</si>
  <si>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</si>
  <si>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</si>
  <si>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</si>
  <si>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</si>
  <si>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</si>
  <si>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</si>
  <si>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</si>
  <si>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</si>
  <si>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</si>
  <si>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</si>
  <si>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</si>
  <si>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</si>
  <si>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</si>
  <si>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</si>
  <si>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</si>
  <si>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</si>
  <si>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</si>
  <si>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</si>
  <si>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</si>
  <si>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</si>
  <si>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</si>
  <si>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</si>
  <si>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</si>
  <si>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</si>
  <si>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</si>
  <si>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</si>
  <si>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</si>
  <si>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</si>
  <si>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</si>
  <si>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</si>
  <si>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</si>
  <si>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</si>
  <si>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</si>
  <si>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</si>
  <si>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</si>
  <si>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</si>
  <si>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</si>
  <si>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</si>
  <si>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</si>
  <si>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</si>
  <si>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</si>
  <si>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</si>
  <si>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</si>
  <si>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</si>
  <si>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</si>
  <si>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</si>
  <si>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</si>
  <si>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</si>
  <si>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</si>
  <si>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</si>
  <si>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</si>
  <si>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</si>
  <si>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</si>
  <si>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</si>
  <si>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</si>
  <si>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</si>
  <si>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</si>
  <si>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</si>
  <si>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</si>
  <si>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</si>
  <si>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</si>
  <si>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</si>
  <si>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</si>
  <si>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</si>
  <si>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</si>
  <si>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</si>
  <si>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</si>
  <si>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</si>
  <si>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</si>
  <si>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</si>
  <si>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</si>
  <si>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</si>
  <si>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</si>
  <si>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</si>
  <si>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</si>
  <si>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</si>
  <si>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</si>
  <si>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</si>
  <si>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</si>
  <si>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</si>
  <si>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</si>
  <si>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</si>
  <si>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</si>
  <si>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</si>
  <si>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</si>
  <si>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</si>
  <si>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</si>
  <si>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</si>
  <si>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</si>
  <si>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</si>
  <si>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</si>
  <si>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</si>
  <si>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</si>
  <si>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</si>
  <si>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</si>
  <si>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</si>
  <si>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</si>
  <si>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</si>
  <si>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</si>
  <si>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</si>
  <si>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</si>
  <si>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</si>
  <si>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</si>
  <si>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</si>
  <si>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</si>
  <si>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</si>
  <si>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</si>
  <si>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</si>
  <si>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</si>
  <si>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</si>
  <si>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</si>
  <si>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</si>
  <si>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</si>
  <si>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</si>
  <si>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</si>
  <si>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</si>
  <si>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</si>
  <si>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</si>
  <si>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</si>
  <si>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</si>
  <si>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</si>
  <si>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</si>
  <si>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</si>
  <si>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</si>
  <si>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</si>
  <si>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</si>
  <si>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</si>
  <si>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</si>
  <si>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</si>
  <si>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</si>
  <si>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</si>
  <si>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</si>
  <si>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</si>
  <si>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</si>
  <si>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</si>
  <si>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</si>
  <si>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</si>
  <si>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</si>
  <si>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</si>
  <si>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</si>
  <si>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</si>
  <si>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</si>
  <si>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</si>
  <si>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</si>
  <si>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</si>
  <si>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</si>
  <si>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</si>
  <si>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</si>
  <si>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</si>
  <si>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</si>
  <si>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</si>
  <si>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</si>
  <si>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</si>
  <si>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</si>
  <si>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</si>
  <si>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</si>
  <si>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</si>
  <si>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</si>
  <si>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</si>
  <si>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</si>
  <si>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</si>
  <si>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</si>
  <si>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</si>
  <si>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</si>
  <si>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</si>
  <si>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</si>
  <si>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</si>
  <si>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</si>
  <si>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</si>
  <si>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</si>
  <si>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</si>
  <si>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</si>
  <si>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</si>
  <si>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</si>
  <si>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</si>
  <si>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</si>
  <si>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</si>
  <si>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</si>
  <si>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</si>
  <si>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</si>
  <si>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</si>
  <si>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</si>
  <si>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</si>
  <si>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</si>
  <si>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</si>
  <si>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</si>
  <si>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</si>
  <si>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</si>
  <si>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</si>
  <si>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</si>
  <si>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</si>
  <si>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</si>
  <si>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</si>
  <si>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</si>
  <si>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</si>
  <si>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</si>
  <si>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</si>
  <si>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11052</t>
  </si>
  <si>
    <t>WOMMELGEM</t>
  </si>
  <si>
    <t>referentietaak LNE (2017); Jaarverslag De Lijn</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</si>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</sst>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89154.548155885117</c:v>
                </c:pt>
                <c:pt idx="1">
                  <c:v>73176.509078979128</c:v>
                </c:pt>
                <c:pt idx="2">
                  <c:v>863.54100000000005</c:v>
                </c:pt>
                <c:pt idx="3">
                  <c:v>11714.882773073348</c:v>
                </c:pt>
                <c:pt idx="4">
                  <c:v>111900.89630145641</c:v>
                </c:pt>
                <c:pt idx="5">
                  <c:v>260137.31248097276</c:v>
                </c:pt>
                <c:pt idx="6">
                  <c:v>2221.800386089084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89154.548155885117</c:v>
                </c:pt>
                <c:pt idx="1">
                  <c:v>73176.509078979128</c:v>
                </c:pt>
                <c:pt idx="2">
                  <c:v>863.54100000000005</c:v>
                </c:pt>
                <c:pt idx="3">
                  <c:v>11714.882773073348</c:v>
                </c:pt>
                <c:pt idx="4">
                  <c:v>111900.89630145641</c:v>
                </c:pt>
                <c:pt idx="5">
                  <c:v>260137.31248097276</c:v>
                </c:pt>
                <c:pt idx="6">
                  <c:v>2221.800386089084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16945.673413783294</c:v>
                </c:pt>
                <c:pt idx="1">
                  <c:v>15049.317221876829</c:v>
                </c:pt>
                <c:pt idx="2">
                  <c:v>182.86307059363605</c:v>
                </c:pt>
                <c:pt idx="3">
                  <c:v>2818.6757842603351</c:v>
                </c:pt>
                <c:pt idx="4">
                  <c:v>23987.11728865359</c:v>
                </c:pt>
                <c:pt idx="5">
                  <c:v>64928.545119656832</c:v>
                </c:pt>
                <c:pt idx="6">
                  <c:v>562.68614787350054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16945.673413783294</c:v>
                </c:pt>
                <c:pt idx="1">
                  <c:v>15049.317221876829</c:v>
                </c:pt>
                <c:pt idx="2">
                  <c:v>182.86307059363605</c:v>
                </c:pt>
                <c:pt idx="3">
                  <c:v>2818.6757842603351</c:v>
                </c:pt>
                <c:pt idx="4">
                  <c:v>23987.11728865359</c:v>
                </c:pt>
                <c:pt idx="5">
                  <c:v>64928.545119656832</c:v>
                </c:pt>
                <c:pt idx="6">
                  <c:v>562.68614787350054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11052</v>
      </c>
      <c r="B6" s="392"/>
      <c r="C6" s="393"/>
    </row>
    <row r="7" spans="1:7" s="390" customFormat="1" ht="15.75" customHeight="1">
      <c r="A7" s="394" t="str">
        <f>txtMunicipality</f>
        <v>WOMMELGEM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0.21175956971775056</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0.21175956971775056</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5228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369.85</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0</v>
      </c>
      <c r="C17" s="332"/>
      <c r="D17" s="332"/>
      <c r="E17" s="332"/>
      <c r="F17" s="332"/>
    </row>
    <row r="18" spans="1:6">
      <c r="A18" s="1310" t="s">
        <v>8</v>
      </c>
      <c r="B18" s="1311">
        <v>0</v>
      </c>
      <c r="C18" s="332"/>
      <c r="D18" s="332"/>
      <c r="E18" s="332"/>
      <c r="F18" s="332"/>
    </row>
    <row r="19" spans="1:6">
      <c r="A19" s="1310" t="s">
        <v>9</v>
      </c>
      <c r="B19" s="1311">
        <v>0</v>
      </c>
      <c r="C19" s="332"/>
      <c r="D19" s="332"/>
      <c r="E19" s="332"/>
      <c r="F19" s="332"/>
    </row>
    <row r="20" spans="1:6">
      <c r="A20" s="1310" t="s">
        <v>10</v>
      </c>
      <c r="B20" s="1311">
        <v>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27</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55</v>
      </c>
      <c r="C29" s="338"/>
      <c r="D29" s="338"/>
      <c r="E29" s="338"/>
      <c r="F29" s="338"/>
    </row>
    <row r="30" spans="1:6">
      <c r="A30" s="1305" t="s">
        <v>700</v>
      </c>
      <c r="B30" s="1314">
        <v>42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7569.8190831288002</v>
      </c>
      <c r="E38" s="1311">
        <v>3</v>
      </c>
      <c r="F38" s="1311">
        <v>13136</v>
      </c>
    </row>
    <row r="39" spans="1:6">
      <c r="A39" s="1310" t="s">
        <v>29</v>
      </c>
      <c r="B39" s="1310" t="s">
        <v>30</v>
      </c>
      <c r="C39" s="1311">
        <v>4321</v>
      </c>
      <c r="D39" s="1311">
        <v>65450848.207112603</v>
      </c>
      <c r="E39" s="1311">
        <v>5236</v>
      </c>
      <c r="F39" s="1311">
        <v>18207672.2750629</v>
      </c>
    </row>
    <row r="40" spans="1:6">
      <c r="A40" s="1310" t="s">
        <v>29</v>
      </c>
      <c r="B40" s="1310" t="s">
        <v>28</v>
      </c>
      <c r="C40" s="1311">
        <v>0</v>
      </c>
      <c r="D40" s="1311">
        <v>0</v>
      </c>
      <c r="E40" s="1311">
        <v>0</v>
      </c>
      <c r="F40" s="1311">
        <v>0</v>
      </c>
    </row>
    <row r="41" spans="1:6">
      <c r="A41" s="1310" t="s">
        <v>31</v>
      </c>
      <c r="B41" s="1310" t="s">
        <v>32</v>
      </c>
      <c r="C41" s="1311">
        <v>85</v>
      </c>
      <c r="D41" s="1311">
        <v>2292393.5908287298</v>
      </c>
      <c r="E41" s="1311">
        <v>144</v>
      </c>
      <c r="F41" s="1311">
        <v>1401646.9627328301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23</v>
      </c>
      <c r="D44" s="1311">
        <v>68327667.651553199</v>
      </c>
      <c r="E44" s="1311">
        <v>42</v>
      </c>
      <c r="F44" s="1311">
        <v>5042981.0584432203</v>
      </c>
    </row>
    <row r="45" spans="1:6">
      <c r="A45" s="1310" t="s">
        <v>31</v>
      </c>
      <c r="B45" s="1310" t="s">
        <v>36</v>
      </c>
      <c r="C45" s="1311">
        <v>0</v>
      </c>
      <c r="D45" s="1311">
        <v>0</v>
      </c>
      <c r="E45" s="1311">
        <v>3</v>
      </c>
      <c r="F45" s="1311">
        <v>6516.9208845637004</v>
      </c>
    </row>
    <row r="46" spans="1:6">
      <c r="A46" s="1310" t="s">
        <v>31</v>
      </c>
      <c r="B46" s="1310" t="s">
        <v>37</v>
      </c>
      <c r="C46" s="1311">
        <v>0</v>
      </c>
      <c r="D46" s="1311">
        <v>0</v>
      </c>
      <c r="E46" s="1311">
        <v>0</v>
      </c>
      <c r="F46" s="1311">
        <v>0</v>
      </c>
    </row>
    <row r="47" spans="1:6">
      <c r="A47" s="1310" t="s">
        <v>31</v>
      </c>
      <c r="B47" s="1310" t="s">
        <v>38</v>
      </c>
      <c r="C47" s="1311">
        <v>4</v>
      </c>
      <c r="D47" s="1311">
        <v>3953051.1001738198</v>
      </c>
      <c r="E47" s="1311">
        <v>6</v>
      </c>
      <c r="F47" s="1311">
        <v>3047246.6280923798</v>
      </c>
    </row>
    <row r="48" spans="1:6">
      <c r="A48" s="1310" t="s">
        <v>31</v>
      </c>
      <c r="B48" s="1310" t="s">
        <v>28</v>
      </c>
      <c r="C48" s="1311">
        <v>1</v>
      </c>
      <c r="D48" s="1311">
        <v>423720.52303984202</v>
      </c>
      <c r="E48" s="1311">
        <v>2</v>
      </c>
      <c r="F48" s="1311">
        <v>247774.59531698999</v>
      </c>
    </row>
    <row r="49" spans="1:6">
      <c r="A49" s="1310" t="s">
        <v>31</v>
      </c>
      <c r="B49" s="1310" t="s">
        <v>39</v>
      </c>
      <c r="C49" s="1311">
        <v>0</v>
      </c>
      <c r="D49" s="1311">
        <v>0</v>
      </c>
      <c r="E49" s="1311">
        <v>0</v>
      </c>
      <c r="F49" s="1311">
        <v>0</v>
      </c>
    </row>
    <row r="50" spans="1:6">
      <c r="A50" s="1310" t="s">
        <v>31</v>
      </c>
      <c r="B50" s="1310" t="s">
        <v>40</v>
      </c>
      <c r="C50" s="1311">
        <v>13</v>
      </c>
      <c r="D50" s="1311">
        <v>22973693.459381599</v>
      </c>
      <c r="E50" s="1311">
        <v>15</v>
      </c>
      <c r="F50" s="1311">
        <v>19427894.604660701</v>
      </c>
    </row>
    <row r="51" spans="1:6">
      <c r="A51" s="1310" t="s">
        <v>41</v>
      </c>
      <c r="B51" s="1310" t="s">
        <v>42</v>
      </c>
      <c r="C51" s="1311">
        <v>3</v>
      </c>
      <c r="D51" s="1311">
        <v>14054569.6332993</v>
      </c>
      <c r="E51" s="1311">
        <v>15</v>
      </c>
      <c r="F51" s="1311">
        <v>348457.29364477302</v>
      </c>
    </row>
    <row r="52" spans="1:6">
      <c r="A52" s="1310" t="s">
        <v>41</v>
      </c>
      <c r="B52" s="1310" t="s">
        <v>28</v>
      </c>
      <c r="C52" s="1311">
        <v>0</v>
      </c>
      <c r="D52" s="1311">
        <v>0</v>
      </c>
      <c r="E52" s="1311">
        <v>0</v>
      </c>
      <c r="F52" s="1311">
        <v>0</v>
      </c>
    </row>
    <row r="53" spans="1:6">
      <c r="A53" s="1310" t="s">
        <v>43</v>
      </c>
      <c r="B53" s="1310" t="s">
        <v>44</v>
      </c>
      <c r="C53" s="1311">
        <v>125</v>
      </c>
      <c r="D53" s="1311">
        <v>2334480.0679333899</v>
      </c>
      <c r="E53" s="1311">
        <v>268</v>
      </c>
      <c r="F53" s="1311">
        <v>1257352.5080746501</v>
      </c>
    </row>
    <row r="54" spans="1:6">
      <c r="A54" s="1310" t="s">
        <v>45</v>
      </c>
      <c r="B54" s="1310" t="s">
        <v>46</v>
      </c>
      <c r="C54" s="1311">
        <v>0</v>
      </c>
      <c r="D54" s="1311">
        <v>0</v>
      </c>
      <c r="E54" s="1311">
        <v>1</v>
      </c>
      <c r="F54" s="1311">
        <v>863541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46</v>
      </c>
      <c r="D57" s="1311">
        <v>11560265.8584581</v>
      </c>
      <c r="E57" s="1311">
        <v>74</v>
      </c>
      <c r="F57" s="1311">
        <v>4597176.04345854</v>
      </c>
    </row>
    <row r="58" spans="1:6">
      <c r="A58" s="1310" t="s">
        <v>48</v>
      </c>
      <c r="B58" s="1310" t="s">
        <v>50</v>
      </c>
      <c r="C58" s="1311">
        <v>20</v>
      </c>
      <c r="D58" s="1311">
        <v>3369526.7734852801</v>
      </c>
      <c r="E58" s="1311">
        <v>24</v>
      </c>
      <c r="F58" s="1311">
        <v>1441946.34336707</v>
      </c>
    </row>
    <row r="59" spans="1:6">
      <c r="A59" s="1310" t="s">
        <v>48</v>
      </c>
      <c r="B59" s="1310" t="s">
        <v>51</v>
      </c>
      <c r="C59" s="1311">
        <v>179</v>
      </c>
      <c r="D59" s="1311">
        <v>11375678.9714137</v>
      </c>
      <c r="E59" s="1311">
        <v>291</v>
      </c>
      <c r="F59" s="1311">
        <v>16007250.272810901</v>
      </c>
    </row>
    <row r="60" spans="1:6">
      <c r="A60" s="1310" t="s">
        <v>48</v>
      </c>
      <c r="B60" s="1310" t="s">
        <v>52</v>
      </c>
      <c r="C60" s="1311">
        <v>44</v>
      </c>
      <c r="D60" s="1311">
        <v>2319433.0655756299</v>
      </c>
      <c r="E60" s="1311">
        <v>52</v>
      </c>
      <c r="F60" s="1311">
        <v>1072107.56189199</v>
      </c>
    </row>
    <row r="61" spans="1:6">
      <c r="A61" s="1310" t="s">
        <v>48</v>
      </c>
      <c r="B61" s="1310" t="s">
        <v>53</v>
      </c>
      <c r="C61" s="1311">
        <v>176</v>
      </c>
      <c r="D61" s="1311">
        <v>10251283.859898999</v>
      </c>
      <c r="E61" s="1311">
        <v>338</v>
      </c>
      <c r="F61" s="1311">
        <v>7263650.6028969996</v>
      </c>
    </row>
    <row r="62" spans="1:6">
      <c r="A62" s="1310" t="s">
        <v>48</v>
      </c>
      <c r="B62" s="1310" t="s">
        <v>54</v>
      </c>
      <c r="C62" s="1311">
        <v>7</v>
      </c>
      <c r="D62" s="1311">
        <v>470435.586993078</v>
      </c>
      <c r="E62" s="1311">
        <v>8</v>
      </c>
      <c r="F62" s="1311">
        <v>140130.654441611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12</v>
      </c>
      <c r="F66" s="1311">
        <v>447418.185353885</v>
      </c>
    </row>
    <row r="67" spans="1:6">
      <c r="A67" s="1312" t="s">
        <v>55</v>
      </c>
      <c r="B67" s="1312" t="s">
        <v>58</v>
      </c>
      <c r="C67" s="1311">
        <v>23</v>
      </c>
      <c r="D67" s="1311">
        <v>2304248.9118319298</v>
      </c>
      <c r="E67" s="1311">
        <v>49</v>
      </c>
      <c r="F67" s="1311">
        <v>745846.31685620605</v>
      </c>
    </row>
    <row r="68" spans="1:6">
      <c r="A68" s="1305" t="s">
        <v>55</v>
      </c>
      <c r="B68" s="1305" t="s">
        <v>59</v>
      </c>
      <c r="C68" s="1314">
        <v>6</v>
      </c>
      <c r="D68" s="1314">
        <v>522862.18619952101</v>
      </c>
      <c r="E68" s="1314">
        <v>19</v>
      </c>
      <c r="F68" s="1314">
        <v>307030.03641171003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34052602</v>
      </c>
      <c r="E73" s="453"/>
      <c r="F73" s="332"/>
    </row>
    <row r="74" spans="1:6">
      <c r="A74" s="1310" t="s">
        <v>63</v>
      </c>
      <c r="B74" s="1310" t="s">
        <v>648</v>
      </c>
      <c r="C74" s="1324" t="s">
        <v>650</v>
      </c>
      <c r="D74" s="1325">
        <v>3394128.2673129509</v>
      </c>
      <c r="E74" s="453"/>
      <c r="F74" s="332"/>
    </row>
    <row r="75" spans="1:6">
      <c r="A75" s="1310" t="s">
        <v>64</v>
      </c>
      <c r="B75" s="1310" t="s">
        <v>647</v>
      </c>
      <c r="C75" s="1324" t="s">
        <v>651</v>
      </c>
      <c r="D75" s="1325">
        <v>11060121</v>
      </c>
      <c r="E75" s="453"/>
      <c r="F75" s="332"/>
    </row>
    <row r="76" spans="1:6">
      <c r="A76" s="1310" t="s">
        <v>64</v>
      </c>
      <c r="B76" s="1310" t="s">
        <v>648</v>
      </c>
      <c r="C76" s="1324" t="s">
        <v>652</v>
      </c>
      <c r="D76" s="1325">
        <v>1183766.2673129509</v>
      </c>
      <c r="E76" s="453"/>
      <c r="F76" s="332"/>
    </row>
    <row r="77" spans="1:6">
      <c r="A77" s="1310" t="s">
        <v>65</v>
      </c>
      <c r="B77" s="1310" t="s">
        <v>647</v>
      </c>
      <c r="C77" s="1324" t="s">
        <v>653</v>
      </c>
      <c r="D77" s="1325">
        <v>174022821</v>
      </c>
      <c r="E77" s="453"/>
      <c r="F77" s="332"/>
    </row>
    <row r="78" spans="1:6">
      <c r="A78" s="1305" t="s">
        <v>65</v>
      </c>
      <c r="B78" s="1305" t="s">
        <v>648</v>
      </c>
      <c r="C78" s="1305" t="s">
        <v>654</v>
      </c>
      <c r="D78" s="1326">
        <v>37435933</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616273.46537409804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3048.9433992368718</v>
      </c>
      <c r="C91" s="332"/>
      <c r="D91" s="332"/>
      <c r="E91" s="332"/>
      <c r="F91" s="332"/>
    </row>
    <row r="92" spans="1:6">
      <c r="A92" s="1305" t="s">
        <v>68</v>
      </c>
      <c r="B92" s="1306">
        <v>3192.3561120729223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3049</v>
      </c>
      <c r="C97" s="332"/>
      <c r="D97" s="332"/>
      <c r="E97" s="332"/>
      <c r="F97" s="332"/>
    </row>
    <row r="98" spans="1:6">
      <c r="A98" s="1310" t="s">
        <v>71</v>
      </c>
      <c r="B98" s="1311">
        <v>2</v>
      </c>
      <c r="C98" s="332"/>
      <c r="D98" s="332"/>
      <c r="E98" s="332"/>
      <c r="F98" s="332"/>
    </row>
    <row r="99" spans="1:6">
      <c r="A99" s="1310" t="s">
        <v>72</v>
      </c>
      <c r="B99" s="1311">
        <v>32</v>
      </c>
      <c r="C99" s="332"/>
      <c r="D99" s="332"/>
      <c r="E99" s="332"/>
      <c r="F99" s="332"/>
    </row>
    <row r="100" spans="1:6">
      <c r="A100" s="1310" t="s">
        <v>73</v>
      </c>
      <c r="B100" s="1311">
        <v>376</v>
      </c>
      <c r="C100" s="332"/>
      <c r="D100" s="332"/>
      <c r="E100" s="332"/>
      <c r="F100" s="332"/>
    </row>
    <row r="101" spans="1:6">
      <c r="A101" s="1310" t="s">
        <v>74</v>
      </c>
      <c r="B101" s="1311">
        <v>46</v>
      </c>
      <c r="C101" s="332"/>
      <c r="D101" s="332"/>
      <c r="E101" s="332"/>
      <c r="F101" s="332"/>
    </row>
    <row r="102" spans="1:6">
      <c r="A102" s="1310" t="s">
        <v>75</v>
      </c>
      <c r="B102" s="1311">
        <v>41</v>
      </c>
      <c r="C102" s="332"/>
      <c r="D102" s="332"/>
      <c r="E102" s="332"/>
      <c r="F102" s="332"/>
    </row>
    <row r="103" spans="1:6">
      <c r="A103" s="1310" t="s">
        <v>76</v>
      </c>
      <c r="B103" s="1311">
        <v>57</v>
      </c>
      <c r="C103" s="332"/>
      <c r="D103" s="332"/>
      <c r="E103" s="332"/>
      <c r="F103" s="332"/>
    </row>
    <row r="104" spans="1:6">
      <c r="A104" s="1310" t="s">
        <v>77</v>
      </c>
      <c r="B104" s="1311">
        <v>856</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16</v>
      </c>
      <c r="C123" s="1311">
        <v>26</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109</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12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102461.31767331721</v>
      </c>
      <c r="C3" s="43" t="s">
        <v>169</v>
      </c>
      <c r="D3" s="43"/>
      <c r="E3" s="154"/>
      <c r="F3" s="43"/>
      <c r="G3" s="43"/>
      <c r="H3" s="43"/>
      <c r="I3" s="43"/>
      <c r="J3" s="43"/>
      <c r="K3" s="96"/>
    </row>
    <row r="4" spans="1:11">
      <c r="A4" s="360" t="s">
        <v>170</v>
      </c>
      <c r="B4" s="49">
        <f>IF(ISERROR('SEAP template'!B78+'SEAP template'!C78),0,'SEAP template'!B78+'SEAP template'!C78)</f>
        <v>32224.299511309793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6174.783529411764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0.21175956971775056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8821.119327731094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37118.571428571428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863.54100000000005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863.54100000000005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0.21175956971775056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182.86307059363605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18207.672275062901</v>
      </c>
      <c r="C5" s="17">
        <f>IF(ISERROR('Eigen informatie GS &amp; warmtenet'!B59),0,'Eigen informatie GS &amp; warmtenet'!B59)</f>
        <v>0</v>
      </c>
      <c r="D5" s="30">
        <f>(SUM(HH_hh_gas_kWh,HH_rest_gas_kWh)/1000)*0.903</f>
        <v>59102.115931022687</v>
      </c>
      <c r="E5" s="17">
        <f>B46*B57</f>
        <v>2227.9921007550656</v>
      </c>
      <c r="F5" s="17">
        <f>B51*B62</f>
        <v>0</v>
      </c>
      <c r="G5" s="18"/>
      <c r="H5" s="17"/>
      <c r="I5" s="17"/>
      <c r="J5" s="17">
        <f>B50*B61+C50*C61</f>
        <v>0</v>
      </c>
      <c r="K5" s="17"/>
      <c r="L5" s="17"/>
      <c r="M5" s="17"/>
      <c r="N5" s="17">
        <f>B48*B59+C48*C59</f>
        <v>6003.0552713557809</v>
      </c>
      <c r="O5" s="17">
        <f>B69*B70*B71</f>
        <v>269.81831783663637</v>
      </c>
      <c r="P5" s="17">
        <f>B77*B78*B79/1000-B77*B78*B79/1000/B80</f>
        <v>294.95086061518066</v>
      </c>
    </row>
    <row r="6" spans="1:16">
      <c r="A6" s="16" t="s">
        <v>612</v>
      </c>
      <c r="B6" s="786">
        <f>kWh_PV_kleiner_dan_10kW</f>
        <v>3048.9433992368718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21256.615674299774</v>
      </c>
      <c r="C8" s="21">
        <f>C5</f>
        <v>0</v>
      </c>
      <c r="D8" s="21">
        <f>D5</f>
        <v>59102.115931022687</v>
      </c>
      <c r="E8" s="21">
        <f>E5</f>
        <v>2227.9921007550656</v>
      </c>
      <c r="F8" s="21">
        <f>F5</f>
        <v>0</v>
      </c>
      <c r="G8" s="21"/>
      <c r="H8" s="21"/>
      <c r="I8" s="21"/>
      <c r="J8" s="21">
        <f>J5</f>
        <v>0</v>
      </c>
      <c r="K8" s="21"/>
      <c r="L8" s="21">
        <f>L5</f>
        <v>0</v>
      </c>
      <c r="M8" s="21">
        <f>M5</f>
        <v>0</v>
      </c>
      <c r="N8" s="21">
        <f>N5</f>
        <v>6003.0552713557809</v>
      </c>
      <c r="O8" s="21">
        <f>O5</f>
        <v>269.81831783663637</v>
      </c>
      <c r="P8" s="21">
        <f>P5</f>
        <v>294.95086061518066</v>
      </c>
    </row>
    <row r="9" spans="1:16">
      <c r="B9" s="19"/>
      <c r="C9" s="19"/>
      <c r="D9" s="258"/>
      <c r="E9" s="19"/>
      <c r="F9" s="19"/>
      <c r="G9" s="19"/>
      <c r="H9" s="19"/>
      <c r="I9" s="19"/>
      <c r="J9" s="19"/>
      <c r="K9" s="19"/>
      <c r="L9" s="19"/>
      <c r="M9" s="19"/>
      <c r="N9" s="19"/>
      <c r="O9" s="19"/>
      <c r="P9" s="19"/>
    </row>
    <row r="10" spans="1:16">
      <c r="A10" s="24" t="s">
        <v>213</v>
      </c>
      <c r="B10" s="25">
        <f ca="1">'EF ele_warmte'!B12</f>
        <v>0.21175956971775056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4501.2917888453121</v>
      </c>
      <c r="C12" s="23">
        <f ca="1">C10*C8</f>
        <v>0</v>
      </c>
      <c r="D12" s="23">
        <f>D8*D10</f>
        <v>11938.627418066584</v>
      </c>
      <c r="E12" s="23">
        <f>E10*E8</f>
        <v>505.7542068713999</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3049</v>
      </c>
      <c r="C18" s="166" t="s">
        <v>110</v>
      </c>
      <c r="D18" s="228"/>
      <c r="E18" s="15"/>
    </row>
    <row r="19" spans="1:7">
      <c r="A19" s="171" t="s">
        <v>71</v>
      </c>
      <c r="B19" s="37">
        <f>aantalw2001_ander</f>
        <v>2</v>
      </c>
      <c r="C19" s="166" t="s">
        <v>110</v>
      </c>
      <c r="D19" s="229"/>
      <c r="E19" s="15"/>
    </row>
    <row r="20" spans="1:7">
      <c r="A20" s="171" t="s">
        <v>72</v>
      </c>
      <c r="B20" s="37">
        <f>aantalw2001_propaan</f>
        <v>32</v>
      </c>
      <c r="C20" s="167">
        <f>IF(ISERROR(B20/SUM($B$20,$B$21,$B$22)*100),0,B20/SUM($B$20,$B$21,$B$22)*100)</f>
        <v>7.0484581497797363</v>
      </c>
      <c r="D20" s="229"/>
      <c r="E20" s="15"/>
    </row>
    <row r="21" spans="1:7">
      <c r="A21" s="171" t="s">
        <v>73</v>
      </c>
      <c r="B21" s="37">
        <f>aantalw2001_elektriciteit</f>
        <v>376</v>
      </c>
      <c r="C21" s="167">
        <f>IF(ISERROR(B21/SUM($B$20,$B$21,$B$22)*100),0,B21/SUM($B$20,$B$21,$B$22)*100)</f>
        <v>82.819383259911888</v>
      </c>
      <c r="D21" s="229"/>
      <c r="E21" s="15"/>
    </row>
    <row r="22" spans="1:7">
      <c r="A22" s="171" t="s">
        <v>74</v>
      </c>
      <c r="B22" s="37">
        <f>aantalw2001_hout</f>
        <v>46</v>
      </c>
      <c r="C22" s="167">
        <f>IF(ISERROR(B22/SUM($B$20,$B$21,$B$22)*100),0,B22/SUM($B$20,$B$21,$B$22)*100)</f>
        <v>10.13215859030837</v>
      </c>
      <c r="D22" s="229"/>
      <c r="E22" s="15"/>
    </row>
    <row r="23" spans="1:7">
      <c r="A23" s="171" t="s">
        <v>75</v>
      </c>
      <c r="B23" s="37">
        <f>aantalw2001_niet_gespec</f>
        <v>41</v>
      </c>
      <c r="C23" s="166" t="s">
        <v>110</v>
      </c>
      <c r="D23" s="228"/>
      <c r="E23" s="15"/>
    </row>
    <row r="24" spans="1:7">
      <c r="A24" s="171" t="s">
        <v>76</v>
      </c>
      <c r="B24" s="37">
        <f>aantalw2001_steenkool</f>
        <v>57</v>
      </c>
      <c r="C24" s="166" t="s">
        <v>110</v>
      </c>
      <c r="D24" s="229"/>
      <c r="E24" s="15"/>
    </row>
    <row r="25" spans="1:7">
      <c r="A25" s="171" t="s">
        <v>77</v>
      </c>
      <c r="B25" s="37">
        <f>aantalw2001_stookolie</f>
        <v>856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5228</v>
      </c>
      <c r="C28" s="36"/>
      <c r="D28" s="228"/>
    </row>
    <row r="29" spans="1:7" s="15" customFormat="1">
      <c r="A29" s="230" t="s">
        <v>839</v>
      </c>
      <c r="B29" s="37">
        <f>SUM(HH_hh_gas_aantal,HH_rest_gas_aantal)</f>
        <v>4321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4321</v>
      </c>
      <c r="C32" s="167">
        <f>IF(ISERROR(B32/SUM($B$32,$B$34,$B$35,$B$36,$B$38,$B$39)*100),0,B32/SUM($B$32,$B$34,$B$35,$B$36,$B$38,$B$39)*100)</f>
        <v>83.09615384615384</v>
      </c>
      <c r="D32" s="233"/>
      <c r="G32" s="15"/>
    </row>
    <row r="33" spans="1:7">
      <c r="A33" s="171" t="s">
        <v>71</v>
      </c>
      <c r="B33" s="34" t="s">
        <v>110</v>
      </c>
      <c r="C33" s="167"/>
      <c r="D33" s="233"/>
      <c r="G33" s="15"/>
    </row>
    <row r="34" spans="1:7">
      <c r="A34" s="171" t="s">
        <v>72</v>
      </c>
      <c r="B34" s="33">
        <f>IF((($B$28-$B$32-$B$39-$B$77-$B$38)*C20/100)&lt;0,0,($B$28-$B$32-$B$39-$B$77-$B$38)*C20/100)</f>
        <v>61.955947136563879</v>
      </c>
      <c r="C34" s="167">
        <f>IF(ISERROR(B34/SUM($B$32,$B$34,$B$35,$B$36,$B$38,$B$39)*100),0,B34/SUM($B$32,$B$34,$B$35,$B$36,$B$38,$B$39)*100)</f>
        <v>1.1914605218569976</v>
      </c>
      <c r="D34" s="233"/>
      <c r="G34" s="15"/>
    </row>
    <row r="35" spans="1:7">
      <c r="A35" s="171" t="s">
        <v>73</v>
      </c>
      <c r="B35" s="33">
        <f>IF((($B$28-$B$32-$B$39-$B$77-$B$38)*C21/100)&lt;0,0,($B$28-$B$32-$B$39-$B$77-$B$38)*C21/100)</f>
        <v>727.98237885462538</v>
      </c>
      <c r="C35" s="167">
        <f>IF(ISERROR(B35/SUM($B$32,$B$34,$B$35,$B$36,$B$38,$B$39)*100),0,B35/SUM($B$32,$B$34,$B$35,$B$36,$B$38,$B$39)*100)</f>
        <v>13.999661131819717</v>
      </c>
      <c r="D35" s="233"/>
      <c r="G35" s="15"/>
    </row>
    <row r="36" spans="1:7">
      <c r="A36" s="171" t="s">
        <v>74</v>
      </c>
      <c r="B36" s="33">
        <f>IF((($B$28-$B$32-$B$39-$B$77-$B$38)*C22/100)&lt;0,0,($B$28-$B$32-$B$39-$B$77-$B$38)*C22/100)</f>
        <v>89.06167400881057</v>
      </c>
      <c r="C36" s="167">
        <f>IF(ISERROR(B36/SUM($B$32,$B$34,$B$35,$B$36,$B$38,$B$39)*100),0,B36/SUM($B$32,$B$34,$B$35,$B$36,$B$38,$B$39)*100)</f>
        <v>1.7127245001694342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4321</v>
      </c>
      <c r="C44" s="34" t="s">
        <v>110</v>
      </c>
      <c r="D44" s="174"/>
    </row>
    <row r="45" spans="1:7">
      <c r="A45" s="171" t="s">
        <v>71</v>
      </c>
      <c r="B45" s="33" t="str">
        <f t="shared" si="0"/>
        <v>-</v>
      </c>
      <c r="C45" s="34" t="s">
        <v>110</v>
      </c>
      <c r="D45" s="174"/>
    </row>
    <row r="46" spans="1:7">
      <c r="A46" s="171" t="s">
        <v>72</v>
      </c>
      <c r="B46" s="33">
        <f t="shared" si="0"/>
        <v>61.955947136563879</v>
      </c>
      <c r="C46" s="34" t="s">
        <v>110</v>
      </c>
      <c r="D46" s="174"/>
    </row>
    <row r="47" spans="1:7">
      <c r="A47" s="171" t="s">
        <v>73</v>
      </c>
      <c r="B47" s="33">
        <f t="shared" si="0"/>
        <v>727.98237885462538</v>
      </c>
      <c r="C47" s="34" t="s">
        <v>110</v>
      </c>
      <c r="D47" s="174"/>
    </row>
    <row r="48" spans="1:7">
      <c r="A48" s="171" t="s">
        <v>74</v>
      </c>
      <c r="B48" s="33">
        <f t="shared" si="0"/>
        <v>89.06167400881057</v>
      </c>
      <c r="C48" s="33">
        <f>B48*10</f>
        <v>890.61674008810564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30522.261478867113</v>
      </c>
      <c r="C5" s="17">
        <f>IF(ISERROR('Eigen informatie GS &amp; warmtenet'!B60),0,'Eigen informatie GS &amp; warmtenet'!B60)</f>
        <v>0</v>
      </c>
      <c r="D5" s="30">
        <f>SUM(D6:D12)</f>
        <v>35530.001576589784</v>
      </c>
      <c r="E5" s="17">
        <f>SUM(E6:E12)</f>
        <v>123.83864213857308</v>
      </c>
      <c r="F5" s="17">
        <f>SUM(F6:F12)</f>
        <v>5171.3427046811512</v>
      </c>
      <c r="G5" s="18"/>
      <c r="H5" s="17"/>
      <c r="I5" s="17"/>
      <c r="J5" s="17">
        <f>SUM(J6:J12)</f>
        <v>4.5400883605909013E-2</v>
      </c>
      <c r="K5" s="17"/>
      <c r="L5" s="17"/>
      <c r="M5" s="17"/>
      <c r="N5" s="17">
        <f>SUM(N6:N12)</f>
        <v>1661.6073393677166</v>
      </c>
      <c r="O5" s="17">
        <f>B38*B39*B40</f>
        <v>9.7945215316823084</v>
      </c>
      <c r="P5" s="17">
        <f>B46*B47*B48/1000-B46*B47*B48/1000/B49</f>
        <v>157.61741491948504</v>
      </c>
      <c r="R5" s="32"/>
    </row>
    <row r="6" spans="1:18">
      <c r="A6" s="32" t="s">
        <v>53</v>
      </c>
      <c r="B6" s="37">
        <f>B26</f>
        <v>7263.6506028969998</v>
      </c>
      <c r="C6" s="33"/>
      <c r="D6" s="37">
        <f>IF(ISERROR(TER_kantoor_gas_kWh/1000),0,TER_kantoor_gas_kWh/1000)*0.903</f>
        <v>9256.9093254887975</v>
      </c>
      <c r="E6" s="33">
        <f>$C$26*'E Balans VL '!I12/100/3.6*1000000</f>
        <v>1.740198030246477</v>
      </c>
      <c r="F6" s="33">
        <f>$C$26*('E Balans VL '!L12+'E Balans VL '!N12)/100/3.6*1000000</f>
        <v>688.80345528717987</v>
      </c>
      <c r="G6" s="34"/>
      <c r="H6" s="33"/>
      <c r="I6" s="33"/>
      <c r="J6" s="33">
        <f>$C$26*('E Balans VL '!D12+'E Balans VL '!E12)/100/3.6*1000000</f>
        <v>0</v>
      </c>
      <c r="K6" s="33"/>
      <c r="L6" s="33"/>
      <c r="M6" s="33"/>
      <c r="N6" s="33">
        <f>$C$26*'E Balans VL '!Y12/100/3.6*1000000</f>
        <v>3.6895588034173099</v>
      </c>
      <c r="O6" s="33"/>
      <c r="P6" s="33"/>
      <c r="R6" s="32"/>
    </row>
    <row r="7" spans="1:18">
      <c r="A7" s="32" t="s">
        <v>52</v>
      </c>
      <c r="B7" s="37">
        <f t="shared" ref="B7:B12" si="0">B27</f>
        <v>1072.1075618919899</v>
      </c>
      <c r="C7" s="33"/>
      <c r="D7" s="37">
        <f>IF(ISERROR(TER_horeca_gas_kWh/1000),0,TER_horeca_gas_kWh/1000)*0.903</f>
        <v>2094.4480582147939</v>
      </c>
      <c r="E7" s="33">
        <f>$C$27*'E Balans VL '!I9/100/3.6*1000000</f>
        <v>0</v>
      </c>
      <c r="F7" s="33">
        <f>$C$27*('E Balans VL '!L9+'E Balans VL '!N9)/100/3.6*1000000</f>
        <v>87.910299883370726</v>
      </c>
      <c r="G7" s="34"/>
      <c r="H7" s="33"/>
      <c r="I7" s="33"/>
      <c r="J7" s="33">
        <f>$C$27*('E Balans VL '!D9+'E Balans VL '!E9)/100/3.6*1000000</f>
        <v>0</v>
      </c>
      <c r="K7" s="33"/>
      <c r="L7" s="33"/>
      <c r="M7" s="33"/>
      <c r="N7" s="33">
        <f>$C$27*'E Balans VL '!Y9/100/3.6*1000000</f>
        <v>0.32864404184294777</v>
      </c>
      <c r="O7" s="33"/>
      <c r="P7" s="33"/>
      <c r="R7" s="32"/>
    </row>
    <row r="8" spans="1:18">
      <c r="A8" s="6" t="s">
        <v>51</v>
      </c>
      <c r="B8" s="37">
        <f t="shared" si="0"/>
        <v>16007.250272810901</v>
      </c>
      <c r="C8" s="33"/>
      <c r="D8" s="37">
        <f>IF(ISERROR(TER_handel_gas_kWh/1000),0,TER_handel_gas_kWh/1000)*0.903</f>
        <v>10272.238111186571</v>
      </c>
      <c r="E8" s="33">
        <f>$C$28*'E Balans VL '!I13/100/3.6*1000000</f>
        <v>56.256735896633707</v>
      </c>
      <c r="F8" s="33">
        <f>$C$28*('E Balans VL '!L13+'E Balans VL '!N13)/100/3.6*1000000</f>
        <v>1464.6346536234989</v>
      </c>
      <c r="G8" s="34"/>
      <c r="H8" s="33"/>
      <c r="I8" s="33"/>
      <c r="J8" s="33">
        <f>$C$28*('E Balans VL '!D13+'E Balans VL '!E13)/100/3.6*1000000</f>
        <v>0</v>
      </c>
      <c r="K8" s="33"/>
      <c r="L8" s="33"/>
      <c r="M8" s="33"/>
      <c r="N8" s="33">
        <f>$C$28*'E Balans VL '!Y13/100/3.6*1000000</f>
        <v>5.7971369108971285</v>
      </c>
      <c r="O8" s="33"/>
      <c r="P8" s="33"/>
      <c r="R8" s="32"/>
    </row>
    <row r="9" spans="1:18">
      <c r="A9" s="32" t="s">
        <v>50</v>
      </c>
      <c r="B9" s="37">
        <f t="shared" si="0"/>
        <v>1441.9463433670699</v>
      </c>
      <c r="C9" s="33"/>
      <c r="D9" s="37">
        <f>IF(ISERROR(TER_gezond_gas_kWh/1000),0,TER_gezond_gas_kWh/1000)*0.903</f>
        <v>3042.6826764572079</v>
      </c>
      <c r="E9" s="33">
        <f>$C$29*'E Balans VL '!I10/100/3.6*1000000</f>
        <v>0</v>
      </c>
      <c r="F9" s="33">
        <f>$C$29*('E Balans VL '!L10+'E Balans VL '!N10)/100/3.6*1000000</f>
        <v>176.75614331067734</v>
      </c>
      <c r="G9" s="34"/>
      <c r="H9" s="33"/>
      <c r="I9" s="33"/>
      <c r="J9" s="33">
        <f>$C$29*('E Balans VL '!D10+'E Balans VL '!E10)/100/3.6*1000000</f>
        <v>0</v>
      </c>
      <c r="K9" s="33"/>
      <c r="L9" s="33"/>
      <c r="M9" s="33"/>
      <c r="N9" s="33">
        <f>$C$29*'E Balans VL '!Y10/100/3.6*1000000</f>
        <v>10.633349455050482</v>
      </c>
      <c r="O9" s="33"/>
      <c r="P9" s="33"/>
      <c r="R9" s="32"/>
    </row>
    <row r="10" spans="1:18">
      <c r="A10" s="32" t="s">
        <v>49</v>
      </c>
      <c r="B10" s="37">
        <f t="shared" si="0"/>
        <v>4597.1760434585403</v>
      </c>
      <c r="C10" s="33"/>
      <c r="D10" s="37">
        <f>IF(ISERROR(TER_ander_gas_kWh/1000),0,TER_ander_gas_kWh/1000)*0.903</f>
        <v>10438.920070187665</v>
      </c>
      <c r="E10" s="33">
        <f>$C$30*'E Balans VL '!I14/100/3.6*1000000</f>
        <v>65.84170821169289</v>
      </c>
      <c r="F10" s="33">
        <f>$C$30*('E Balans VL '!L14+'E Balans VL '!N14)/100/3.6*1000000</f>
        <v>2736.8552103385218</v>
      </c>
      <c r="G10" s="34"/>
      <c r="H10" s="33"/>
      <c r="I10" s="33"/>
      <c r="J10" s="33">
        <f>$C$30*('E Balans VL '!D14+'E Balans VL '!E14)/100/3.6*1000000</f>
        <v>4.5400883605909013E-2</v>
      </c>
      <c r="K10" s="33"/>
      <c r="L10" s="33"/>
      <c r="M10" s="33"/>
      <c r="N10" s="33">
        <f>$C$30*'E Balans VL '!Y14/100/3.6*1000000</f>
        <v>1640.7640583249747</v>
      </c>
      <c r="O10" s="33"/>
      <c r="P10" s="33"/>
      <c r="R10" s="32"/>
    </row>
    <row r="11" spans="1:18">
      <c r="A11" s="32" t="s">
        <v>54</v>
      </c>
      <c r="B11" s="37">
        <f t="shared" si="0"/>
        <v>140.130654441611</v>
      </c>
      <c r="C11" s="33"/>
      <c r="D11" s="37">
        <f>IF(ISERROR(TER_onderwijs_gas_kWh/1000),0,TER_onderwijs_gas_kWh/1000)*0.903</f>
        <v>424.80333505474943</v>
      </c>
      <c r="E11" s="33">
        <f>$C$31*'E Balans VL '!I11/100/3.6*1000000</f>
        <v>0</v>
      </c>
      <c r="F11" s="33">
        <f>$C$31*('E Balans VL '!L11+'E Balans VL '!N11)/100/3.6*1000000</f>
        <v>16.382942237901723</v>
      </c>
      <c r="G11" s="34"/>
      <c r="H11" s="33"/>
      <c r="I11" s="33"/>
      <c r="J11" s="33">
        <f>$C$31*('E Balans VL '!D11+'E Balans VL '!E11)/100/3.6*1000000</f>
        <v>0</v>
      </c>
      <c r="K11" s="33"/>
      <c r="L11" s="33"/>
      <c r="M11" s="33"/>
      <c r="N11" s="33">
        <f>$C$31*'E Balans VL '!Y11/100/3.6*1000000</f>
        <v>0.39459183153394739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0</v>
      </c>
      <c r="C13" s="247">
        <f ca="1">'lokale energieproductie'!O40+'lokale energieproductie'!O33</f>
        <v>0</v>
      </c>
      <c r="D13" s="310">
        <f ca="1">('lokale energieproductie'!P33+'lokale energieproductie'!P40)*(-1)</f>
        <v>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30522.261478867113</v>
      </c>
      <c r="C16" s="21">
        <f t="shared" ca="1" si="1"/>
        <v>0</v>
      </c>
      <c r="D16" s="21">
        <f t="shared" ca="1" si="1"/>
        <v>35530.001576589784</v>
      </c>
      <c r="E16" s="21">
        <f t="shared" si="1"/>
        <v>123.83864213857308</v>
      </c>
      <c r="F16" s="21">
        <f t="shared" ca="1" si="1"/>
        <v>5171.3427046811512</v>
      </c>
      <c r="G16" s="21">
        <f t="shared" si="1"/>
        <v>0</v>
      </c>
      <c r="H16" s="21">
        <f t="shared" si="1"/>
        <v>0</v>
      </c>
      <c r="I16" s="21">
        <f t="shared" si="1"/>
        <v>0</v>
      </c>
      <c r="J16" s="21">
        <f t="shared" si="1"/>
        <v>4.5400883605909013E-2</v>
      </c>
      <c r="K16" s="21">
        <f t="shared" si="1"/>
        <v>0</v>
      </c>
      <c r="L16" s="21">
        <f t="shared" ca="1" si="1"/>
        <v>0</v>
      </c>
      <c r="M16" s="21">
        <f t="shared" si="1"/>
        <v>0</v>
      </c>
      <c r="N16" s="21">
        <f t="shared" ca="1" si="1"/>
        <v>1661.6073393677166</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0.21175956971775056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6463.3809575775731</v>
      </c>
      <c r="C20" s="23">
        <f t="shared" ref="C20:P20" ca="1" si="2">C16*C18</f>
        <v>0</v>
      </c>
      <c r="D20" s="23">
        <f t="shared" ca="1" si="2"/>
        <v>7177.0603184711372</v>
      </c>
      <c r="E20" s="23">
        <f t="shared" si="2"/>
        <v>28.111371765456088</v>
      </c>
      <c r="F20" s="23">
        <f t="shared" ca="1" si="2"/>
        <v>1380.7485021498674</v>
      </c>
      <c r="G20" s="23">
        <f t="shared" si="2"/>
        <v>0</v>
      </c>
      <c r="H20" s="23">
        <f t="shared" si="2"/>
        <v>0</v>
      </c>
      <c r="I20" s="23">
        <f t="shared" si="2"/>
        <v>0</v>
      </c>
      <c r="J20" s="23">
        <f t="shared" si="2"/>
        <v>1.607191279649179E-2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7263.6506028969998</v>
      </c>
      <c r="C26" s="39">
        <f>IF(ISERROR(B26*3.6/1000000/'E Balans VL '!Z12*100),0,B26*3.6/1000000/'E Balans VL '!Z12*100)</f>
        <v>0.20485418212236947</v>
      </c>
      <c r="D26" s="237" t="s">
        <v>702</v>
      </c>
      <c r="F26" s="6"/>
    </row>
    <row r="27" spans="1:18">
      <c r="A27" s="231" t="s">
        <v>52</v>
      </c>
      <c r="B27" s="33">
        <f>IF(ISERROR(TER_horeca_ele_kWh/1000),0,TER_horeca_ele_kWh/1000)</f>
        <v>1072.1075618919899</v>
      </c>
      <c r="C27" s="39">
        <f>IF(ISERROR(B27*3.6/1000000/'E Balans VL '!Z9*100),0,B27*3.6/1000000/'E Balans VL '!Z9*100)</f>
        <v>7.9483605218937034E-2</v>
      </c>
      <c r="D27" s="237" t="s">
        <v>702</v>
      </c>
      <c r="F27" s="6"/>
    </row>
    <row r="28" spans="1:18">
      <c r="A28" s="171" t="s">
        <v>51</v>
      </c>
      <c r="B28" s="33">
        <f>IF(ISERROR(TER_handel_ele_kWh/1000),0,TER_handel_ele_kWh/1000)</f>
        <v>16007.250272810901</v>
      </c>
      <c r="C28" s="39">
        <f>IF(ISERROR(B28*3.6/1000000/'E Balans VL '!Z13*100),0,B28*3.6/1000000/'E Balans VL '!Z13*100)</f>
        <v>0.47953915951494053</v>
      </c>
      <c r="D28" s="237" t="s">
        <v>702</v>
      </c>
      <c r="F28" s="6"/>
    </row>
    <row r="29" spans="1:18">
      <c r="A29" s="231" t="s">
        <v>50</v>
      </c>
      <c r="B29" s="33">
        <f>IF(ISERROR(TER_gezond_ele_kWh/1000),0,TER_gezond_ele_kWh/1000)</f>
        <v>1441.9463433670699</v>
      </c>
      <c r="C29" s="39">
        <f>IF(ISERROR(B29*3.6/1000000/'E Balans VL '!Z10*100),0,B29*3.6/1000000/'E Balans VL '!Z10*100)</f>
        <v>0.14258021960028261</v>
      </c>
      <c r="D29" s="237" t="s">
        <v>702</v>
      </c>
      <c r="F29" s="6"/>
    </row>
    <row r="30" spans="1:18">
      <c r="A30" s="231" t="s">
        <v>49</v>
      </c>
      <c r="B30" s="33">
        <f>IF(ISERROR(TER_ander_ele_kWh/1000),0,TER_ander_ele_kWh/1000)</f>
        <v>4597.1760434585403</v>
      </c>
      <c r="C30" s="39">
        <f>IF(ISERROR(B30*3.6/1000000/'E Balans VL '!Z14*100),0,B30*3.6/1000000/'E Balans VL '!Z14*100)</f>
        <v>0.18594218541669222</v>
      </c>
      <c r="D30" s="237" t="s">
        <v>702</v>
      </c>
      <c r="F30" s="6"/>
    </row>
    <row r="31" spans="1:18">
      <c r="A31" s="231" t="s">
        <v>54</v>
      </c>
      <c r="B31" s="33">
        <f>IF(ISERROR(TER_onderwijs_ele_kWh/1000),0,TER_onderwijs_ele_kWh/1000)</f>
        <v>140.130654441611</v>
      </c>
      <c r="C31" s="39">
        <f>IF(ISERROR(B31*3.6/1000000/'E Balans VL '!Z11*100),0,B31*3.6/1000000/'E Balans VL '!Z11*100)</f>
        <v>3.8500019338280379E-2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29174.060770130691</v>
      </c>
      <c r="C5" s="17">
        <f>IF(ISERROR('Eigen informatie GS &amp; warmtenet'!B61),0,'Eigen informatie GS &amp; warmtenet'!B61)</f>
        <v>0</v>
      </c>
      <c r="D5" s="30">
        <f>SUM(D6:D15)</f>
        <v>88467.385271454405</v>
      </c>
      <c r="E5" s="17">
        <f>SUM(E6:E15)</f>
        <v>67.082074587768659</v>
      </c>
      <c r="F5" s="17">
        <f>SUM(F6:F15)</f>
        <v>1538.7276952692241</v>
      </c>
      <c r="G5" s="18"/>
      <c r="H5" s="17"/>
      <c r="I5" s="17"/>
      <c r="J5" s="17">
        <f>SUM(J6:J15)</f>
        <v>5.0608456112495759</v>
      </c>
      <c r="K5" s="17"/>
      <c r="L5" s="17"/>
      <c r="M5" s="17"/>
      <c r="N5" s="17">
        <f>SUM(N6:N15)</f>
        <v>744.72250154593428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5042.9810584432207</v>
      </c>
      <c r="C8" s="33"/>
      <c r="D8" s="37">
        <f>IF( ISERROR(IND_metaal_Gas_kWH/1000),0,IND_metaal_Gas_kWH/1000)*0.903</f>
        <v>61699.883889352546</v>
      </c>
      <c r="E8" s="33">
        <f>C30*'E Balans VL '!I18/100/3.6*1000000</f>
        <v>25.427590392605861</v>
      </c>
      <c r="F8" s="33">
        <f>C30*'E Balans VL '!L18/100/3.6*1000000+C30*'E Balans VL '!N18/100/3.6*1000000</f>
        <v>344.54677099766502</v>
      </c>
      <c r="G8" s="34"/>
      <c r="H8" s="33"/>
      <c r="I8" s="33"/>
      <c r="J8" s="40">
        <f>C30*'E Balans VL '!D18/100/3.6*1000000+C30*'E Balans VL '!E18/100/3.6*1000000</f>
        <v>4.471032880135879</v>
      </c>
      <c r="K8" s="33"/>
      <c r="L8" s="33"/>
      <c r="M8" s="33"/>
      <c r="N8" s="33">
        <f>C30*'E Balans VL '!Y18/100/3.6*1000000</f>
        <v>67.02124819441913</v>
      </c>
      <c r="O8" s="33"/>
      <c r="P8" s="33"/>
      <c r="R8" s="32"/>
    </row>
    <row r="9" spans="1:18">
      <c r="A9" s="6" t="s">
        <v>32</v>
      </c>
      <c r="B9" s="37">
        <f t="shared" si="0"/>
        <v>1401.6469627328302</v>
      </c>
      <c r="C9" s="33"/>
      <c r="D9" s="37">
        <f>IF( ISERROR(IND_andere_gas_kWh/1000),0,IND_andere_gas_kWh/1000)*0.903</f>
        <v>2070.0314125183431</v>
      </c>
      <c r="E9" s="33">
        <f>C31*'E Balans VL '!I19/100/3.6*1000000</f>
        <v>4.4183224964102275</v>
      </c>
      <c r="F9" s="33">
        <f>C31*'E Balans VL '!L19/100/3.6*1000000+C31*'E Balans VL '!N19/100/3.6*1000000</f>
        <v>858.0293191199404</v>
      </c>
      <c r="G9" s="34"/>
      <c r="H9" s="33"/>
      <c r="I9" s="33"/>
      <c r="J9" s="40">
        <f>C31*'E Balans VL '!D19/100/3.6*1000000+C31*'E Balans VL '!E19/100/3.6*1000000</f>
        <v>0</v>
      </c>
      <c r="K9" s="33"/>
      <c r="L9" s="33"/>
      <c r="M9" s="33"/>
      <c r="N9" s="33">
        <f>C31*'E Balans VL '!Y19/100/3.6*1000000</f>
        <v>58.772960332876849</v>
      </c>
      <c r="O9" s="33"/>
      <c r="P9" s="33"/>
      <c r="R9" s="32"/>
    </row>
    <row r="10" spans="1:18">
      <c r="A10" s="6" t="s">
        <v>40</v>
      </c>
      <c r="B10" s="37">
        <f t="shared" si="0"/>
        <v>19427.894604660702</v>
      </c>
      <c r="C10" s="33"/>
      <c r="D10" s="37">
        <f>IF( ISERROR(IND_voed_gas_kWh/1000),0,IND_voed_gas_kWh/1000)*0.903</f>
        <v>20745.245193821585</v>
      </c>
      <c r="E10" s="33">
        <f>C32*'E Balans VL '!I20/100/3.6*1000000</f>
        <v>30.962607807627936</v>
      </c>
      <c r="F10" s="33">
        <f>C32*'E Balans VL '!L20/100/3.6*1000000+C32*'E Balans VL '!N20/100/3.6*1000000</f>
        <v>315.65609161991398</v>
      </c>
      <c r="G10" s="34"/>
      <c r="H10" s="33"/>
      <c r="I10" s="33"/>
      <c r="J10" s="40">
        <f>C32*'E Balans VL '!D20/100/3.6*1000000+C32*'E Balans VL '!E20/100/3.6*1000000</f>
        <v>0</v>
      </c>
      <c r="K10" s="33"/>
      <c r="L10" s="33"/>
      <c r="M10" s="33"/>
      <c r="N10" s="33">
        <f>C32*'E Balans VL '!Y20/100/3.6*1000000</f>
        <v>613.62994174648986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6.5169208845637003</v>
      </c>
      <c r="C12" s="33"/>
      <c r="D12" s="37">
        <f>IF( ISERROR(IND_min_gas_kWh/1000),0,IND_min_gas_kWh/1000)*0.903</f>
        <v>0</v>
      </c>
      <c r="E12" s="33">
        <f>C34*'E Balans VL '!I22/100/3.6*1000000</f>
        <v>2.8200481347022646E-2</v>
      </c>
      <c r="F12" s="33">
        <f>C34*'E Balans VL '!L22/100/3.6*1000000+C34*'E Balans VL '!N22/100/3.6*1000000</f>
        <v>0.24882408405103429</v>
      </c>
      <c r="G12" s="34"/>
      <c r="H12" s="33"/>
      <c r="I12" s="33"/>
      <c r="J12" s="40">
        <f>C34*'E Balans VL '!D22/100/3.6*1000000+C34*'E Balans VL '!E22/100/3.6*1000000</f>
        <v>0</v>
      </c>
      <c r="K12" s="33"/>
      <c r="L12" s="33"/>
      <c r="M12" s="33"/>
      <c r="N12" s="33">
        <f>C34*'E Balans VL '!Y22/100/3.6*1000000</f>
        <v>1.1116398999704491</v>
      </c>
      <c r="O12" s="33"/>
      <c r="P12" s="33"/>
      <c r="R12" s="32"/>
    </row>
    <row r="13" spans="1:18">
      <c r="A13" s="6" t="s">
        <v>38</v>
      </c>
      <c r="B13" s="37">
        <f t="shared" si="0"/>
        <v>3047.24662809238</v>
      </c>
      <c r="C13" s="33"/>
      <c r="D13" s="37">
        <f>IF( ISERROR(IND_papier_gas_kWh/1000),0,IND_papier_gas_kWh/1000)*0.903</f>
        <v>3569.6051434569595</v>
      </c>
      <c r="E13" s="33">
        <f>C35*'E Balans VL '!I23/100/3.6*1000000</f>
        <v>0</v>
      </c>
      <c r="F13" s="33">
        <f>C35*'E Balans VL '!L23/100/3.6*1000000+C35*'E Balans VL '!N23/100/3.6*1000000</f>
        <v>0.13202089325968716</v>
      </c>
      <c r="G13" s="34"/>
      <c r="H13" s="33"/>
      <c r="I13" s="33"/>
      <c r="J13" s="40">
        <f>C35*'E Balans VL '!D23/100/3.6*1000000+C35*'E Balans VL '!E23/100/3.6*1000000</f>
        <v>8.3966177721633339E-2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247.77459531698997</v>
      </c>
      <c r="C15" s="33"/>
      <c r="D15" s="37">
        <f>IF( ISERROR(IND_rest_gas_kWh/1000),0,IND_rest_gas_kWh/1000)*0.903</f>
        <v>382.61963230497736</v>
      </c>
      <c r="E15" s="33">
        <f>C37*'E Balans VL '!I15/100/3.6*1000000</f>
        <v>6.2453534097776133</v>
      </c>
      <c r="F15" s="33">
        <f>C37*'E Balans VL '!L15/100/3.6*1000000+C37*'E Balans VL '!N15/100/3.6*1000000</f>
        <v>20.114668554394054</v>
      </c>
      <c r="G15" s="34"/>
      <c r="H15" s="33"/>
      <c r="I15" s="33"/>
      <c r="J15" s="40">
        <f>C37*'E Balans VL '!D15/100/3.6*1000000+C37*'E Balans VL '!E15/100/3.6*1000000</f>
        <v>0.50584655339206397</v>
      </c>
      <c r="K15" s="33"/>
      <c r="L15" s="33"/>
      <c r="M15" s="33"/>
      <c r="N15" s="33">
        <f>C37*'E Balans VL '!Y15/100/3.6*1000000</f>
        <v>4.1867113721780109</v>
      </c>
      <c r="O15" s="33"/>
      <c r="P15" s="33"/>
      <c r="R15" s="32"/>
    </row>
    <row r="16" spans="1:18">
      <c r="A16" s="16" t="s">
        <v>479</v>
      </c>
      <c r="B16" s="247">
        <f>'lokale energieproductie'!N39+'lokale energieproductie'!N32</f>
        <v>18891</v>
      </c>
      <c r="C16" s="247">
        <f>'lokale energieproductie'!O39+'lokale energieproductie'!O32</f>
        <v>26987.142857142859</v>
      </c>
      <c r="D16" s="310">
        <f>('lokale energieproductie'!P32+'lokale energieproductie'!P39)*(-1)</f>
        <v>-53974.285714285717</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48065.060770130687</v>
      </c>
      <c r="C18" s="21">
        <f>C5+C16</f>
        <v>26987.142857142859</v>
      </c>
      <c r="D18" s="21">
        <f>MAX((D5+D16),0)</f>
        <v>34493.099557168687</v>
      </c>
      <c r="E18" s="21">
        <f>MAX((E5+E16),0)</f>
        <v>67.082074587768659</v>
      </c>
      <c r="F18" s="21">
        <f>MAX((F5+F16),0)</f>
        <v>1538.7276952692241</v>
      </c>
      <c r="G18" s="21"/>
      <c r="H18" s="21"/>
      <c r="I18" s="21"/>
      <c r="J18" s="21">
        <f>MAX((J5+J16),0)</f>
        <v>5.0608456112495759</v>
      </c>
      <c r="K18" s="21"/>
      <c r="L18" s="21">
        <f>MAX((L5+L16),0)</f>
        <v>0</v>
      </c>
      <c r="M18" s="21"/>
      <c r="N18" s="21">
        <f>MAX((N5+N16),0)</f>
        <v>744.72250154593428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0.21175956971775056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10178.236587140407</v>
      </c>
      <c r="C22" s="23">
        <f ca="1">C18*C20</f>
        <v>6413.4151260504223</v>
      </c>
      <c r="D22" s="23">
        <f>D18*D20</f>
        <v>6967.6061105480749</v>
      </c>
      <c r="E22" s="23">
        <f>E18*E20</f>
        <v>15.227630931423485</v>
      </c>
      <c r="F22" s="23">
        <f>F18*F20</f>
        <v>410.84029463688285</v>
      </c>
      <c r="G22" s="23"/>
      <c r="H22" s="23"/>
      <c r="I22" s="23"/>
      <c r="J22" s="23">
        <f>J18*J20</f>
        <v>1.7915393463823497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5042.9810584432207</v>
      </c>
      <c r="C30" s="39">
        <f>IF(ISERROR(B30*3.6/1000000/'E Balans VL '!Z18*100),0,B30*3.6/1000000/'E Balans VL '!Z18*100)</f>
        <v>0.2503222141289132</v>
      </c>
      <c r="D30" s="237" t="s">
        <v>702</v>
      </c>
    </row>
    <row r="31" spans="1:18">
      <c r="A31" s="6" t="s">
        <v>32</v>
      </c>
      <c r="B31" s="37">
        <f>IF( ISERROR(IND_ander_ele_kWh/1000),0,IND_ander_ele_kWh/1000)</f>
        <v>1401.6469627328302</v>
      </c>
      <c r="C31" s="39">
        <f>IF(ISERROR(B31*3.6/1000000/'E Balans VL '!Z19*100),0,B31*3.6/1000000/'E Balans VL '!Z19*100)</f>
        <v>4.7298402508779661E-2</v>
      </c>
      <c r="D31" s="237" t="s">
        <v>702</v>
      </c>
    </row>
    <row r="32" spans="1:18">
      <c r="A32" s="171" t="s">
        <v>40</v>
      </c>
      <c r="B32" s="37">
        <f>IF( ISERROR(IND_voed_ele_kWh/1000),0,IND_voed_ele_kWh/1000)</f>
        <v>19427.894604660702</v>
      </c>
      <c r="C32" s="39">
        <f>IF(ISERROR(B32*3.6/1000000/'E Balans VL '!Z20*100),0,B32*3.6/1000000/'E Balans VL '!Z20*100)</f>
        <v>0.45625075938665466</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6.5169208845637003</v>
      </c>
      <c r="C34" s="39">
        <f>IF(ISERROR(B34*3.6/1000000/'E Balans VL '!Z22*100),0,B34*3.6/1000000/'E Balans VL '!Z22*100)</f>
        <v>9.245605092966611E-4</v>
      </c>
      <c r="D34" s="237" t="s">
        <v>702</v>
      </c>
    </row>
    <row r="35" spans="1:5">
      <c r="A35" s="171" t="s">
        <v>38</v>
      </c>
      <c r="B35" s="37">
        <f>IF( ISERROR(IND_papier_ele_kWh/1000),0,IND_papier_ele_kWh/1000)</f>
        <v>3047.24662809238</v>
      </c>
      <c r="C35" s="39">
        <f>IF(ISERROR(B35*3.6/1000000/'E Balans VL '!Z22*100),0,B35*3.6/1000000/'E Balans VL '!Z22*100)</f>
        <v>0.43231519061324969</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247.77459531698997</v>
      </c>
      <c r="C37" s="39">
        <f>IF(ISERROR(B37*3.6/1000000/'E Balans VL '!Z15*100),0,B37*3.6/1000000/'E Balans VL '!Z15*100)</f>
        <v>9.2854253163493407E-4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348.45729364477302</v>
      </c>
      <c r="C5" s="17">
        <f>'Eigen informatie GS &amp; warmtenet'!B62</f>
        <v>0</v>
      </c>
      <c r="D5" s="30">
        <f>IF(ISERROR(SUM(LB_lb_gas_kWh,LB_rest_gas_kWh)/1000),0,SUM(LB_lb_gas_kWh,LB_rest_gas_kWh)/1000)*0.903</f>
        <v>12691.27637886927</v>
      </c>
      <c r="E5" s="17">
        <f>B17*'E Balans VL '!I25/3.6*1000000/100</f>
        <v>12.995038334841261</v>
      </c>
      <c r="F5" s="17">
        <f>B17*('E Balans VL '!L25/3.6*1000000+'E Balans VL '!N25/3.6*1000000)/100</f>
        <v>1130.530109782113</v>
      </c>
      <c r="G5" s="18"/>
      <c r="H5" s="17"/>
      <c r="I5" s="17"/>
      <c r="J5" s="17">
        <f>('E Balans VL '!D25+'E Balans VL '!E25)/3.6*1000000*landbouw!B17/100</f>
        <v>91.471759883051675</v>
      </c>
      <c r="K5" s="17"/>
      <c r="L5" s="17">
        <f>L6*(-1)</f>
        <v>0</v>
      </c>
      <c r="M5" s="17"/>
      <c r="N5" s="17">
        <f>N6*(-1)</f>
        <v>0</v>
      </c>
      <c r="O5" s="17"/>
      <c r="P5" s="17"/>
      <c r="R5" s="32"/>
    </row>
    <row r="6" spans="1:18">
      <c r="A6" s="16" t="s">
        <v>479</v>
      </c>
      <c r="B6" s="17" t="s">
        <v>210</v>
      </c>
      <c r="C6" s="17">
        <f>'lokale energieproductie'!O41+'lokale energieproductie'!O34</f>
        <v>10131.428571428571</v>
      </c>
      <c r="D6" s="310">
        <f>('lokale energieproductie'!P34+'lokale energieproductie'!P41)*(-1)</f>
        <v>-20262.857142857141</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348.45729364477302</v>
      </c>
      <c r="C8" s="21">
        <f>C5+C6</f>
        <v>10131.428571428571</v>
      </c>
      <c r="D8" s="21">
        <f>MAX((D5+D6),0)</f>
        <v>0</v>
      </c>
      <c r="E8" s="21">
        <f>MAX((E5+E6),0)</f>
        <v>12.995038334841261</v>
      </c>
      <c r="F8" s="21">
        <f>MAX((F5+F6),0)</f>
        <v>1130.530109782113</v>
      </c>
      <c r="G8" s="21"/>
      <c r="H8" s="21"/>
      <c r="I8" s="21"/>
      <c r="J8" s="21">
        <f>MAX((J5+J6),0)</f>
        <v>91.471759883051675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0.21175956971775056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73.789166567228989</v>
      </c>
      <c r="C12" s="23">
        <f ca="1">C8*C10</f>
        <v>2407.7042016806727</v>
      </c>
      <c r="D12" s="23">
        <f>D8*D10</f>
        <v>0</v>
      </c>
      <c r="E12" s="23">
        <f>E8*E10</f>
        <v>2.9498737020089663</v>
      </c>
      <c r="F12" s="23">
        <f>F8*F10</f>
        <v>301.85153931182418</v>
      </c>
      <c r="G12" s="23"/>
      <c r="H12" s="23"/>
      <c r="I12" s="23"/>
      <c r="J12" s="23">
        <f>J8*J10</f>
        <v>32.381002998600295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4.7859699976406198E-2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1.6259999999999999</v>
      </c>
      <c r="C26" s="247">
        <f>B26*'GWP N2O_CH4'!B5</f>
        <v>34.146000000000001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0.12285</v>
      </c>
      <c r="C27" s="247">
        <f>B27*'GWP N2O_CH4'!B5</f>
        <v>2.57985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8.3507668588973048E-3</v>
      </c>
      <c r="C28" s="247">
        <f>B28*'GWP N2O_CH4'!B4</f>
        <v>2.5887377262581643</v>
      </c>
      <c r="D28" s="50"/>
    </row>
    <row r="29" spans="1:4">
      <c r="A29" s="41" t="s">
        <v>276</v>
      </c>
      <c r="B29" s="247">
        <f>B34*'ha_N2O bodem landbouw'!B4</f>
        <v>2.4009514917418611</v>
      </c>
      <c r="C29" s="247">
        <f>B29*'GWP N2O_CH4'!B4</f>
        <v>744.29496243997698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5.4718370163375437E-4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5.3290421388076277E-4</v>
      </c>
      <c r="C5" s="440" t="s">
        <v>210</v>
      </c>
      <c r="D5" s="425">
        <f>SUM(D6:D11)</f>
        <v>1.9985176736399017E-3</v>
      </c>
      <c r="E5" s="425">
        <f>SUM(E6:E11)</f>
        <v>1.2869719103837237E-3</v>
      </c>
      <c r="F5" s="438" t="s">
        <v>210</v>
      </c>
      <c r="G5" s="425">
        <f>SUM(G6:G11)</f>
        <v>0.74929468491155127</v>
      </c>
      <c r="H5" s="425">
        <f>SUM(H6:H11)</f>
        <v>0.13201763372938097</v>
      </c>
      <c r="I5" s="440" t="s">
        <v>210</v>
      </c>
      <c r="J5" s="440" t="s">
        <v>210</v>
      </c>
      <c r="K5" s="440" t="s">
        <v>210</v>
      </c>
      <c r="L5" s="440" t="s">
        <v>210</v>
      </c>
      <c r="M5" s="425">
        <f>SUM(M6:M11)</f>
        <v>5.1363612492665418E-2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8.2810733339564911E-5</v>
      </c>
      <c r="C6" s="426"/>
      <c r="D6" s="893">
        <f>vkm_GW_PW*SUMIFS(TableVerdeelsleutelVkm[CNG],TableVerdeelsleutelVkm[Voertuigtype],"Lichte voertuigen")*SUMIFS(TableECFTransport[EnergieConsumptieFactor (PJ per km)],TableECFTransport[Index],CONCATENATE($A6,"_CNG_CNG"))</f>
        <v>2.9908709748144606E-4</v>
      </c>
      <c r="E6" s="893">
        <f>vkm_GW_PW*SUMIFS(TableVerdeelsleutelVkm[LPG],TableVerdeelsleutelVkm[Voertuigtype],"Lichte voertuigen")*SUMIFS(TableECFTransport[EnergieConsumptieFactor (PJ per km)],TableECFTransport[Index],CONCATENATE($A6,"_LPG_LPG"))</f>
        <v>1.6254616031071675E-4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5.0583363586160189E-2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1.9143772095657551E-2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4.1787360471306993E-3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3.2423443375768315E-2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3.4133919603322201E-7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1.8254906481577147E-3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2.6896527050541449E-5</v>
      </c>
      <c r="C8" s="426"/>
      <c r="D8" s="428">
        <f>vkm_NGW_PW*SUMIFS(TableVerdeelsleutelVkm[CNG],TableVerdeelsleutelVkm[Voertuigtype],"Lichte voertuigen")*SUMIFS(TableECFTransport[EnergieConsumptieFactor (PJ per km)],TableECFTransport[Index],CONCATENATE($A8,"_CNG_CNG"))</f>
        <v>1.6466210351630403E-4</v>
      </c>
      <c r="E8" s="428">
        <f>vkm_NGW_PW*SUMIFS(TableVerdeelsleutelVkm[LPG],TableVerdeelsleutelVkm[Voertuigtype],"Lichte voertuigen")*SUMIFS(TableECFTransport[EnergieConsumptieFactor (PJ per km)],TableECFTransport[Index],CONCATENATE($A8,"_LPG_LPG"))</f>
        <v>8.5039056256206748E-5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2.4627331680276098E-2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1.0379125982623137E-2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2.1080828420661987E-3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1.3630953460568151E-2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2.0842805320479033E-7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7.6744854420688138E-4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4.2319695349065647E-4</v>
      </c>
      <c r="C10" s="426"/>
      <c r="D10" s="428">
        <f>vkm_SW_PW*SUMIFS(TableVerdeelsleutelVkm[CNG],TableVerdeelsleutelVkm[Voertuigtype],"Lichte voertuigen")*SUMIFS(TableECFTransport[EnergieConsumptieFactor (PJ per km)],TableECFTransport[Index],CONCATENATE($A10,"_CNG_CNG"))</f>
        <v>1.5347684726421517E-3</v>
      </c>
      <c r="E10" s="428">
        <f>vkm_SW_PW*SUMIFS(TableVerdeelsleutelVkm[LPG],TableVerdeelsleutelVkm[Voertuigtype],"Lichte voertuigen")*SUMIFS(TableECFTransport[EnergieConsumptieFactor (PJ per km)],TableECFTransport[Index],CONCATENATE($A10,"_LPG_LPG"))</f>
        <v>1.0393866938168002E-3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0.2874329348766807</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0.10249038862156591</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2.3307714368424388E-2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0.34059665793209781</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3.7972622851461241E-6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1.9176140042679535E-2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148.02894830021188</v>
      </c>
      <c r="C14" s="21"/>
      <c r="D14" s="21">
        <f t="shared" ref="D14:M14" si="0">((D5)*10^9/3600)+D12</f>
        <v>555.14379823330603</v>
      </c>
      <c r="E14" s="21">
        <f t="shared" si="0"/>
        <v>357.49219732881215</v>
      </c>
      <c r="F14" s="21"/>
      <c r="G14" s="21">
        <f t="shared" si="0"/>
        <v>208137.4124754309</v>
      </c>
      <c r="H14" s="21">
        <f t="shared" si="0"/>
        <v>36671.564924828046</v>
      </c>
      <c r="I14" s="21"/>
      <c r="J14" s="21"/>
      <c r="K14" s="21"/>
      <c r="L14" s="21"/>
      <c r="M14" s="21">
        <f t="shared" si="0"/>
        <v>14267.670136851504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0.21175956971775056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31.34654639782401</v>
      </c>
      <c r="C18" s="23"/>
      <c r="D18" s="23">
        <f t="shared" ref="D18:M18" si="1">D14*D16</f>
        <v>112.13904724312782</v>
      </c>
      <c r="E18" s="23">
        <f t="shared" si="1"/>
        <v>81.150728793640369</v>
      </c>
      <c r="F18" s="23"/>
      <c r="G18" s="23">
        <f t="shared" si="1"/>
        <v>55572.689130940053</v>
      </c>
      <c r="H18" s="23">
        <f t="shared" si="1"/>
        <v>9131.2196662821843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7.5867795218898942E-3</v>
      </c>
      <c r="H50" s="321">
        <f t="shared" si="2"/>
        <v>0</v>
      </c>
      <c r="I50" s="321">
        <f t="shared" si="2"/>
        <v>0</v>
      </c>
      <c r="J50" s="321">
        <f t="shared" si="2"/>
        <v>0</v>
      </c>
      <c r="K50" s="321">
        <f t="shared" si="2"/>
        <v>0</v>
      </c>
      <c r="L50" s="321">
        <f t="shared" si="2"/>
        <v>0</v>
      </c>
      <c r="M50" s="321">
        <f t="shared" si="2"/>
        <v>4.1170186803080814E-4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7.5867795218898942E-3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4.1170186803080814E-4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2107.4387560805262</v>
      </c>
      <c r="H54" s="21">
        <f t="shared" si="3"/>
        <v>0</v>
      </c>
      <c r="I54" s="21">
        <f t="shared" si="3"/>
        <v>0</v>
      </c>
      <c r="J54" s="21">
        <f t="shared" si="3"/>
        <v>0</v>
      </c>
      <c r="K54" s="21">
        <f t="shared" si="3"/>
        <v>0</v>
      </c>
      <c r="L54" s="21">
        <f t="shared" si="3"/>
        <v>0</v>
      </c>
      <c r="M54" s="21">
        <f t="shared" si="3"/>
        <v>114.36163000855782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0.21175956971775056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562.68614787350054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31385.802478867114</v>
      </c>
      <c r="D10" s="689">
        <f ca="1">tertiair!C16</f>
        <v>0</v>
      </c>
      <c r="E10" s="689">
        <f ca="1">tertiair!D16</f>
        <v>35530.001576589784</v>
      </c>
      <c r="F10" s="689">
        <f>tertiair!E16</f>
        <v>123.83864213857308</v>
      </c>
      <c r="G10" s="689">
        <f ca="1">tertiair!F16</f>
        <v>5171.3427046811512</v>
      </c>
      <c r="H10" s="689">
        <f>tertiair!G16</f>
        <v>0</v>
      </c>
      <c r="I10" s="689">
        <f>tertiair!H16</f>
        <v>0</v>
      </c>
      <c r="J10" s="689">
        <f>tertiair!I16</f>
        <v>0</v>
      </c>
      <c r="K10" s="689">
        <f>tertiair!J16</f>
        <v>4.5400883605909013E-2</v>
      </c>
      <c r="L10" s="689">
        <f>tertiair!K16</f>
        <v>0</v>
      </c>
      <c r="M10" s="689">
        <f ca="1">tertiair!L16</f>
        <v>0</v>
      </c>
      <c r="N10" s="689">
        <f>tertiair!M16</f>
        <v>0</v>
      </c>
      <c r="O10" s="689">
        <f ca="1">tertiair!N16</f>
        <v>1661.6073393677166</v>
      </c>
      <c r="P10" s="689">
        <f>tertiair!O16</f>
        <v>9.7945215316823084</v>
      </c>
      <c r="Q10" s="690">
        <f>tertiair!P16</f>
        <v>157.61741491948504</v>
      </c>
      <c r="R10" s="692">
        <f ca="1">SUM(C10:Q10)</f>
        <v>74040.05007897914</v>
      </c>
      <c r="S10" s="67"/>
    </row>
    <row r="11" spans="1:19" s="451" customFormat="1">
      <c r="A11" s="811" t="s">
        <v>224</v>
      </c>
      <c r="B11" s="816"/>
      <c r="C11" s="689">
        <f>huishoudens!B8</f>
        <v>21256.615674299774</v>
      </c>
      <c r="D11" s="689">
        <f>huishoudens!C8</f>
        <v>0</v>
      </c>
      <c r="E11" s="689">
        <f>huishoudens!D8</f>
        <v>59102.115931022687</v>
      </c>
      <c r="F11" s="689">
        <f>huishoudens!E8</f>
        <v>2227.9921007550656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6003.0552713557809</v>
      </c>
      <c r="P11" s="689">
        <f>huishoudens!O8</f>
        <v>269.81831783663637</v>
      </c>
      <c r="Q11" s="690">
        <f>huishoudens!P8</f>
        <v>294.95086061518066</v>
      </c>
      <c r="R11" s="692">
        <f>SUM(C11:Q11)</f>
        <v>89154.548155885117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48065.060770130687</v>
      </c>
      <c r="D13" s="689">
        <f>industrie!C18</f>
        <v>26987.142857142859</v>
      </c>
      <c r="E13" s="689">
        <f>industrie!D18</f>
        <v>34493.099557168687</v>
      </c>
      <c r="F13" s="689">
        <f>industrie!E18</f>
        <v>67.082074587768659</v>
      </c>
      <c r="G13" s="689">
        <f>industrie!F18</f>
        <v>1538.7276952692241</v>
      </c>
      <c r="H13" s="689">
        <f>industrie!G18</f>
        <v>0</v>
      </c>
      <c r="I13" s="689">
        <f>industrie!H18</f>
        <v>0</v>
      </c>
      <c r="J13" s="689">
        <f>industrie!I18</f>
        <v>0</v>
      </c>
      <c r="K13" s="689">
        <f>industrie!J18</f>
        <v>5.0608456112495759</v>
      </c>
      <c r="L13" s="689">
        <f>industrie!K18</f>
        <v>0</v>
      </c>
      <c r="M13" s="689">
        <f>industrie!L18</f>
        <v>0</v>
      </c>
      <c r="N13" s="689">
        <f>industrie!M18</f>
        <v>0</v>
      </c>
      <c r="O13" s="689">
        <f>industrie!N18</f>
        <v>744.72250154593428</v>
      </c>
      <c r="P13" s="689">
        <f>industrie!O18</f>
        <v>0</v>
      </c>
      <c r="Q13" s="690">
        <f>industrie!P18</f>
        <v>0</v>
      </c>
      <c r="R13" s="692">
        <f>SUM(C13:Q13)</f>
        <v>111900.89630145641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100707.47892329757</v>
      </c>
      <c r="D16" s="725">
        <f t="shared" ref="D16:R16" ca="1" si="0">SUM(D9:D15)</f>
        <v>26987.142857142859</v>
      </c>
      <c r="E16" s="725">
        <f t="shared" ca="1" si="0"/>
        <v>129125.21706478117</v>
      </c>
      <c r="F16" s="725">
        <f t="shared" si="0"/>
        <v>2418.9128174814073</v>
      </c>
      <c r="G16" s="725">
        <f t="shared" ca="1" si="0"/>
        <v>6710.0703999503748</v>
      </c>
      <c r="H16" s="725">
        <f t="shared" si="0"/>
        <v>0</v>
      </c>
      <c r="I16" s="725">
        <f t="shared" si="0"/>
        <v>0</v>
      </c>
      <c r="J16" s="725">
        <f t="shared" si="0"/>
        <v>0</v>
      </c>
      <c r="K16" s="725">
        <f t="shared" si="0"/>
        <v>5.1062464948554851</v>
      </c>
      <c r="L16" s="725">
        <f t="shared" si="0"/>
        <v>0</v>
      </c>
      <c r="M16" s="725">
        <f t="shared" ca="1" si="0"/>
        <v>0</v>
      </c>
      <c r="N16" s="725">
        <f t="shared" si="0"/>
        <v>0</v>
      </c>
      <c r="O16" s="725">
        <f t="shared" ca="1" si="0"/>
        <v>8409.3851122694305</v>
      </c>
      <c r="P16" s="725">
        <f t="shared" si="0"/>
        <v>279.6128393683187</v>
      </c>
      <c r="Q16" s="725">
        <f t="shared" si="0"/>
        <v>452.5682755346657</v>
      </c>
      <c r="R16" s="725">
        <f t="shared" ca="1" si="0"/>
        <v>275095.49453632068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2107.4387560805262</v>
      </c>
      <c r="I19" s="689">
        <f>transport!H54</f>
        <v>0</v>
      </c>
      <c r="J19" s="689">
        <f>transport!I54</f>
        <v>0</v>
      </c>
      <c r="K19" s="689">
        <f>transport!J54</f>
        <v>0</v>
      </c>
      <c r="L19" s="689">
        <f>transport!K54</f>
        <v>0</v>
      </c>
      <c r="M19" s="689">
        <f>transport!L54</f>
        <v>0</v>
      </c>
      <c r="N19" s="689">
        <f>transport!M54</f>
        <v>114.36163000855782</v>
      </c>
      <c r="O19" s="689">
        <f>transport!N54</f>
        <v>0</v>
      </c>
      <c r="P19" s="689">
        <f>transport!O54</f>
        <v>0</v>
      </c>
      <c r="Q19" s="690">
        <f>transport!P54</f>
        <v>0</v>
      </c>
      <c r="R19" s="692">
        <f>SUM(C19:Q19)</f>
        <v>2221.800386089084</v>
      </c>
      <c r="S19" s="67"/>
    </row>
    <row r="20" spans="1:19" s="451" customFormat="1">
      <c r="A20" s="811" t="s">
        <v>306</v>
      </c>
      <c r="B20" s="816"/>
      <c r="C20" s="689">
        <f>transport!B14</f>
        <v>148.02894830021188</v>
      </c>
      <c r="D20" s="689">
        <f>transport!C14</f>
        <v>0</v>
      </c>
      <c r="E20" s="689">
        <f>transport!D14</f>
        <v>555.14379823330603</v>
      </c>
      <c r="F20" s="689">
        <f>transport!E14</f>
        <v>357.49219732881215</v>
      </c>
      <c r="G20" s="689">
        <f>transport!F14</f>
        <v>0</v>
      </c>
      <c r="H20" s="689">
        <f>transport!G14</f>
        <v>208137.4124754309</v>
      </c>
      <c r="I20" s="689">
        <f>transport!H14</f>
        <v>36671.564924828046</v>
      </c>
      <c r="J20" s="689">
        <f>transport!I14</f>
        <v>0</v>
      </c>
      <c r="K20" s="689">
        <f>transport!J14</f>
        <v>0</v>
      </c>
      <c r="L20" s="689">
        <f>transport!K14</f>
        <v>0</v>
      </c>
      <c r="M20" s="689">
        <f>transport!L14</f>
        <v>0</v>
      </c>
      <c r="N20" s="689">
        <f>transport!M14</f>
        <v>14267.670136851504</v>
      </c>
      <c r="O20" s="689">
        <f>transport!N14</f>
        <v>0</v>
      </c>
      <c r="P20" s="689">
        <f>transport!O14</f>
        <v>0</v>
      </c>
      <c r="Q20" s="690">
        <f>transport!P14</f>
        <v>0</v>
      </c>
      <c r="R20" s="692">
        <f>SUM(C20:Q20)</f>
        <v>260137.31248097276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148.02894830021188</v>
      </c>
      <c r="D22" s="814">
        <f t="shared" ref="D22:R22" si="1">SUM(D18:D21)</f>
        <v>0</v>
      </c>
      <c r="E22" s="814">
        <f t="shared" si="1"/>
        <v>555.14379823330603</v>
      </c>
      <c r="F22" s="814">
        <f t="shared" si="1"/>
        <v>357.49219732881215</v>
      </c>
      <c r="G22" s="814">
        <f t="shared" si="1"/>
        <v>0</v>
      </c>
      <c r="H22" s="814">
        <f t="shared" si="1"/>
        <v>210244.85123151142</v>
      </c>
      <c r="I22" s="814">
        <f t="shared" si="1"/>
        <v>36671.564924828046</v>
      </c>
      <c r="J22" s="814">
        <f t="shared" si="1"/>
        <v>0</v>
      </c>
      <c r="K22" s="814">
        <f t="shared" si="1"/>
        <v>0</v>
      </c>
      <c r="L22" s="814">
        <f t="shared" si="1"/>
        <v>0</v>
      </c>
      <c r="M22" s="814">
        <f t="shared" si="1"/>
        <v>0</v>
      </c>
      <c r="N22" s="814">
        <f t="shared" si="1"/>
        <v>14382.031766860062</v>
      </c>
      <c r="O22" s="814">
        <f t="shared" si="1"/>
        <v>0</v>
      </c>
      <c r="P22" s="814">
        <f t="shared" si="1"/>
        <v>0</v>
      </c>
      <c r="Q22" s="814">
        <f t="shared" si="1"/>
        <v>0</v>
      </c>
      <c r="R22" s="814">
        <f t="shared" si="1"/>
        <v>262359.11286706186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348.45729364477302</v>
      </c>
      <c r="D24" s="689">
        <f>+landbouw!C8</f>
        <v>10131.428571428571</v>
      </c>
      <c r="E24" s="689">
        <f>+landbouw!D8</f>
        <v>0</v>
      </c>
      <c r="F24" s="689">
        <f>+landbouw!E8</f>
        <v>12.995038334841261</v>
      </c>
      <c r="G24" s="689">
        <f>+landbouw!F8</f>
        <v>1130.530109782113</v>
      </c>
      <c r="H24" s="689">
        <f>+landbouw!G8</f>
        <v>0</v>
      </c>
      <c r="I24" s="689">
        <f>+landbouw!H8</f>
        <v>0</v>
      </c>
      <c r="J24" s="689">
        <f>+landbouw!I8</f>
        <v>0</v>
      </c>
      <c r="K24" s="689">
        <f>+landbouw!J8</f>
        <v>91.471759883051675</v>
      </c>
      <c r="L24" s="689">
        <f>+landbouw!K8</f>
        <v>0</v>
      </c>
      <c r="M24" s="689">
        <f>+landbouw!L8</f>
        <v>0</v>
      </c>
      <c r="N24" s="689">
        <f>+landbouw!M8</f>
        <v>0</v>
      </c>
      <c r="O24" s="689">
        <f>+landbouw!N8</f>
        <v>0</v>
      </c>
      <c r="P24" s="689">
        <f>+landbouw!O8</f>
        <v>0</v>
      </c>
      <c r="Q24" s="690">
        <f>+landbouw!P8</f>
        <v>0</v>
      </c>
      <c r="R24" s="692">
        <f>SUM(C24:Q24)</f>
        <v>11714.882773073348</v>
      </c>
      <c r="S24" s="67"/>
    </row>
    <row r="25" spans="1:19" s="451" customFormat="1" ht="15" thickBot="1">
      <c r="A25" s="833" t="s">
        <v>714</v>
      </c>
      <c r="B25" s="947"/>
      <c r="C25" s="948">
        <f>IF(Onbekend_ele_kWh="---",0,Onbekend_ele_kWh)/1000+IF(REST_rest_ele_kWh="---",0,REST_rest_ele_kWh)/1000</f>
        <v>1257.3525080746501</v>
      </c>
      <c r="D25" s="948"/>
      <c r="E25" s="948">
        <f>IF(onbekend_gas_kWh="---",0,onbekend_gas_kWh)/1000+IF(REST_rest_gas_kWh="---",0,REST_rest_gas_kWh)/1000</f>
        <v>2334.4800679333898</v>
      </c>
      <c r="F25" s="948"/>
      <c r="G25" s="948"/>
      <c r="H25" s="948"/>
      <c r="I25" s="948"/>
      <c r="J25" s="948"/>
      <c r="K25" s="948"/>
      <c r="L25" s="948"/>
      <c r="M25" s="948"/>
      <c r="N25" s="948"/>
      <c r="O25" s="948"/>
      <c r="P25" s="948"/>
      <c r="Q25" s="949"/>
      <c r="R25" s="692">
        <f>SUM(C25:Q25)</f>
        <v>3591.8325760080397</v>
      </c>
      <c r="S25" s="67"/>
    </row>
    <row r="26" spans="1:19" s="451" customFormat="1" ht="15.75" thickBot="1">
      <c r="A26" s="697" t="s">
        <v>715</v>
      </c>
      <c r="B26" s="819"/>
      <c r="C26" s="814">
        <f>SUM(C24:C25)</f>
        <v>1605.8098017194231</v>
      </c>
      <c r="D26" s="814">
        <f t="shared" ref="D26:R26" si="2">SUM(D24:D25)</f>
        <v>10131.428571428571</v>
      </c>
      <c r="E26" s="814">
        <f t="shared" si="2"/>
        <v>2334.4800679333898</v>
      </c>
      <c r="F26" s="814">
        <f t="shared" si="2"/>
        <v>12.995038334841261</v>
      </c>
      <c r="G26" s="814">
        <f t="shared" si="2"/>
        <v>1130.530109782113</v>
      </c>
      <c r="H26" s="814">
        <f t="shared" si="2"/>
        <v>0</v>
      </c>
      <c r="I26" s="814">
        <f t="shared" si="2"/>
        <v>0</v>
      </c>
      <c r="J26" s="814">
        <f t="shared" si="2"/>
        <v>0</v>
      </c>
      <c r="K26" s="814">
        <f t="shared" si="2"/>
        <v>91.471759883051675</v>
      </c>
      <c r="L26" s="814">
        <f t="shared" si="2"/>
        <v>0</v>
      </c>
      <c r="M26" s="814">
        <f t="shared" si="2"/>
        <v>0</v>
      </c>
      <c r="N26" s="814">
        <f t="shared" si="2"/>
        <v>0</v>
      </c>
      <c r="O26" s="814">
        <f t="shared" si="2"/>
        <v>0</v>
      </c>
      <c r="P26" s="814">
        <f t="shared" si="2"/>
        <v>0</v>
      </c>
      <c r="Q26" s="814">
        <f t="shared" si="2"/>
        <v>0</v>
      </c>
      <c r="R26" s="814">
        <f t="shared" si="2"/>
        <v>15306.715349081387</v>
      </c>
      <c r="S26" s="67"/>
    </row>
    <row r="27" spans="1:19" s="451" customFormat="1" ht="17.25" thickTop="1" thickBot="1">
      <c r="A27" s="698" t="s">
        <v>115</v>
      </c>
      <c r="B27" s="806"/>
      <c r="C27" s="699">
        <f ca="1">C22+C16+C26</f>
        <v>102461.31767331721</v>
      </c>
      <c r="D27" s="699">
        <f t="shared" ref="D27:R27" ca="1" si="3">D22+D16+D26</f>
        <v>37118.571428571428</v>
      </c>
      <c r="E27" s="699">
        <f t="shared" ca="1" si="3"/>
        <v>132014.84093094786</v>
      </c>
      <c r="F27" s="699">
        <f t="shared" si="3"/>
        <v>2789.4000531450611</v>
      </c>
      <c r="G27" s="699">
        <f t="shared" ca="1" si="3"/>
        <v>7840.6005097324878</v>
      </c>
      <c r="H27" s="699">
        <f t="shared" si="3"/>
        <v>210244.85123151142</v>
      </c>
      <c r="I27" s="699">
        <f t="shared" si="3"/>
        <v>36671.564924828046</v>
      </c>
      <c r="J27" s="699">
        <f t="shared" si="3"/>
        <v>0</v>
      </c>
      <c r="K27" s="699">
        <f t="shared" si="3"/>
        <v>96.578006377907158</v>
      </c>
      <c r="L27" s="699">
        <f t="shared" si="3"/>
        <v>0</v>
      </c>
      <c r="M27" s="699">
        <f t="shared" ca="1" si="3"/>
        <v>0</v>
      </c>
      <c r="N27" s="699">
        <f t="shared" si="3"/>
        <v>14382.031766860062</v>
      </c>
      <c r="O27" s="699">
        <f t="shared" ca="1" si="3"/>
        <v>8409.3851122694305</v>
      </c>
      <c r="P27" s="699">
        <f t="shared" si="3"/>
        <v>279.6128393683187</v>
      </c>
      <c r="Q27" s="699">
        <f t="shared" si="3"/>
        <v>452.5682755346657</v>
      </c>
      <c r="R27" s="699">
        <f t="shared" ca="1" si="3"/>
        <v>552761.32275246398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6646.2440281712088</v>
      </c>
      <c r="D40" s="689">
        <f ca="1">tertiair!C20</f>
        <v>0</v>
      </c>
      <c r="E40" s="689">
        <f ca="1">tertiair!D20</f>
        <v>7177.0603184711372</v>
      </c>
      <c r="F40" s="689">
        <f>tertiair!E20</f>
        <v>28.111371765456088</v>
      </c>
      <c r="G40" s="689">
        <f ca="1">tertiair!F20</f>
        <v>1380.7485021498674</v>
      </c>
      <c r="H40" s="689">
        <f>tertiair!G20</f>
        <v>0</v>
      </c>
      <c r="I40" s="689">
        <f>tertiair!H20</f>
        <v>0</v>
      </c>
      <c r="J40" s="689">
        <f>tertiair!I20</f>
        <v>0</v>
      </c>
      <c r="K40" s="689">
        <f>tertiair!J20</f>
        <v>1.607191279649179E-2</v>
      </c>
      <c r="L40" s="689">
        <f>tertiair!K20</f>
        <v>0</v>
      </c>
      <c r="M40" s="689">
        <f ca="1">tertiair!L20</f>
        <v>0</v>
      </c>
      <c r="N40" s="689">
        <f>tertiair!M20</f>
        <v>0</v>
      </c>
      <c r="O40" s="689">
        <f ca="1">tertiair!N20</f>
        <v>0</v>
      </c>
      <c r="P40" s="689">
        <f>tertiair!O20</f>
        <v>0</v>
      </c>
      <c r="Q40" s="772">
        <f>tertiair!P20</f>
        <v>0</v>
      </c>
      <c r="R40" s="852">
        <f t="shared" ca="1" si="4"/>
        <v>15232.180292470464</v>
      </c>
    </row>
    <row r="41" spans="1:18">
      <c r="A41" s="824" t="s">
        <v>224</v>
      </c>
      <c r="B41" s="831"/>
      <c r="C41" s="689">
        <f ca="1">huishoudens!B12</f>
        <v>4501.2917888453121</v>
      </c>
      <c r="D41" s="689">
        <f ca="1">huishoudens!C12</f>
        <v>0</v>
      </c>
      <c r="E41" s="689">
        <f>huishoudens!D12</f>
        <v>11938.627418066584</v>
      </c>
      <c r="F41" s="689">
        <f>huishoudens!E12</f>
        <v>505.7542068713999</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16945.673413783294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10178.236587140407</v>
      </c>
      <c r="D43" s="689">
        <f ca="1">industrie!C22</f>
        <v>6413.4151260504223</v>
      </c>
      <c r="E43" s="689">
        <f>industrie!D22</f>
        <v>6967.6061105480749</v>
      </c>
      <c r="F43" s="689">
        <f>industrie!E22</f>
        <v>15.227630931423485</v>
      </c>
      <c r="G43" s="689">
        <f>industrie!F22</f>
        <v>410.84029463688285</v>
      </c>
      <c r="H43" s="689">
        <f>industrie!G22</f>
        <v>0</v>
      </c>
      <c r="I43" s="689">
        <f>industrie!H22</f>
        <v>0</v>
      </c>
      <c r="J43" s="689">
        <f>industrie!I22</f>
        <v>0</v>
      </c>
      <c r="K43" s="689">
        <f>industrie!J22</f>
        <v>1.7915393463823497</v>
      </c>
      <c r="L43" s="689">
        <f>industrie!K22</f>
        <v>0</v>
      </c>
      <c r="M43" s="689">
        <f>industrie!L22</f>
        <v>0</v>
      </c>
      <c r="N43" s="689">
        <f>industrie!M22</f>
        <v>0</v>
      </c>
      <c r="O43" s="689">
        <f>industrie!N22</f>
        <v>0</v>
      </c>
      <c r="P43" s="689">
        <f>industrie!O22</f>
        <v>0</v>
      </c>
      <c r="Q43" s="772">
        <f>industrie!P22</f>
        <v>0</v>
      </c>
      <c r="R43" s="851">
        <f t="shared" ca="1" si="4"/>
        <v>23987.11728865359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21325.772404156927</v>
      </c>
      <c r="D46" s="725">
        <f t="shared" ref="D46:Q46" ca="1" si="5">SUM(D39:D45)</f>
        <v>6413.4151260504223</v>
      </c>
      <c r="E46" s="725">
        <f t="shared" ca="1" si="5"/>
        <v>26083.293847085799</v>
      </c>
      <c r="F46" s="725">
        <f t="shared" si="5"/>
        <v>549.09320956827946</v>
      </c>
      <c r="G46" s="725">
        <f t="shared" ca="1" si="5"/>
        <v>1791.5887967867502</v>
      </c>
      <c r="H46" s="725">
        <f t="shared" si="5"/>
        <v>0</v>
      </c>
      <c r="I46" s="725">
        <f t="shared" si="5"/>
        <v>0</v>
      </c>
      <c r="J46" s="725">
        <f t="shared" si="5"/>
        <v>0</v>
      </c>
      <c r="K46" s="725">
        <f t="shared" si="5"/>
        <v>1.8076112591788416</v>
      </c>
      <c r="L46" s="725">
        <f t="shared" si="5"/>
        <v>0</v>
      </c>
      <c r="M46" s="725">
        <f t="shared" ca="1" si="5"/>
        <v>0</v>
      </c>
      <c r="N46" s="725">
        <f t="shared" si="5"/>
        <v>0</v>
      </c>
      <c r="O46" s="725">
        <f t="shared" ca="1" si="5"/>
        <v>0</v>
      </c>
      <c r="P46" s="725">
        <f t="shared" si="5"/>
        <v>0</v>
      </c>
      <c r="Q46" s="725">
        <f t="shared" si="5"/>
        <v>0</v>
      </c>
      <c r="R46" s="725">
        <f ca="1">SUM(R39:R45)</f>
        <v>56164.970994907344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562.68614787350054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562.68614787350054</v>
      </c>
    </row>
    <row r="50" spans="1:18">
      <c r="A50" s="827" t="s">
        <v>306</v>
      </c>
      <c r="B50" s="837"/>
      <c r="C50" s="695">
        <f ca="1">transport!B18</f>
        <v>31.34654639782401</v>
      </c>
      <c r="D50" s="695">
        <f>transport!C18</f>
        <v>0</v>
      </c>
      <c r="E50" s="695">
        <f>transport!D18</f>
        <v>112.13904724312782</v>
      </c>
      <c r="F50" s="695">
        <f>transport!E18</f>
        <v>81.150728793640369</v>
      </c>
      <c r="G50" s="695">
        <f>transport!F18</f>
        <v>0</v>
      </c>
      <c r="H50" s="695">
        <f>transport!G18</f>
        <v>55572.689130940053</v>
      </c>
      <c r="I50" s="695">
        <f>transport!H18</f>
        <v>9131.2196662821843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64928.545119656832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31.34654639782401</v>
      </c>
      <c r="D52" s="725">
        <f t="shared" ref="D52:Q52" ca="1" si="6">SUM(D48:D51)</f>
        <v>0</v>
      </c>
      <c r="E52" s="725">
        <f t="shared" si="6"/>
        <v>112.13904724312782</v>
      </c>
      <c r="F52" s="725">
        <f t="shared" si="6"/>
        <v>81.150728793640369</v>
      </c>
      <c r="G52" s="725">
        <f t="shared" si="6"/>
        <v>0</v>
      </c>
      <c r="H52" s="725">
        <f t="shared" si="6"/>
        <v>56135.375278813553</v>
      </c>
      <c r="I52" s="725">
        <f t="shared" si="6"/>
        <v>9131.2196662821843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65491.231267530333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73.789166567228989</v>
      </c>
      <c r="D54" s="695">
        <f ca="1">+landbouw!C12</f>
        <v>2407.7042016806727</v>
      </c>
      <c r="E54" s="695">
        <f>+landbouw!D12</f>
        <v>0</v>
      </c>
      <c r="F54" s="695">
        <f>+landbouw!E12</f>
        <v>2.9498737020089663</v>
      </c>
      <c r="G54" s="695">
        <f>+landbouw!F12</f>
        <v>301.85153931182418</v>
      </c>
      <c r="H54" s="695">
        <f>+landbouw!G12</f>
        <v>0</v>
      </c>
      <c r="I54" s="695">
        <f>+landbouw!H12</f>
        <v>0</v>
      </c>
      <c r="J54" s="695">
        <f>+landbouw!I12</f>
        <v>0</v>
      </c>
      <c r="K54" s="695">
        <f>+landbouw!J12</f>
        <v>32.381002998600295</v>
      </c>
      <c r="L54" s="695">
        <f>+landbouw!K12</f>
        <v>0</v>
      </c>
      <c r="M54" s="695">
        <f>+landbouw!L12</f>
        <v>0</v>
      </c>
      <c r="N54" s="695">
        <f>+landbouw!M12</f>
        <v>0</v>
      </c>
      <c r="O54" s="695">
        <f>+landbouw!N12</f>
        <v>0</v>
      </c>
      <c r="P54" s="695">
        <f>+landbouw!O12</f>
        <v>0</v>
      </c>
      <c r="Q54" s="696">
        <f>+landbouw!P12</f>
        <v>0</v>
      </c>
      <c r="R54" s="724">
        <f ca="1">SUM(C54:Q54)</f>
        <v>2818.6757842603351</v>
      </c>
    </row>
    <row r="55" spans="1:18" ht="15" thickBot="1">
      <c r="A55" s="827" t="s">
        <v>714</v>
      </c>
      <c r="B55" s="837"/>
      <c r="C55" s="695">
        <f ca="1">C25*'EF ele_warmte'!B12</f>
        <v>266.25642609342242</v>
      </c>
      <c r="D55" s="695"/>
      <c r="E55" s="695">
        <f>E25*EF_CO2_aardgas</f>
        <v>471.56497372254478</v>
      </c>
      <c r="F55" s="695"/>
      <c r="G55" s="695"/>
      <c r="H55" s="695"/>
      <c r="I55" s="695"/>
      <c r="J55" s="695"/>
      <c r="K55" s="695"/>
      <c r="L55" s="695"/>
      <c r="M55" s="695"/>
      <c r="N55" s="695"/>
      <c r="O55" s="695"/>
      <c r="P55" s="695"/>
      <c r="Q55" s="696"/>
      <c r="R55" s="724">
        <f ca="1">SUM(C55:Q55)</f>
        <v>737.8213998159672</v>
      </c>
    </row>
    <row r="56" spans="1:18" ht="15.75" thickBot="1">
      <c r="A56" s="825" t="s">
        <v>715</v>
      </c>
      <c r="B56" s="838"/>
      <c r="C56" s="725">
        <f ca="1">SUM(C54:C55)</f>
        <v>340.04559266065144</v>
      </c>
      <c r="D56" s="725">
        <f t="shared" ref="D56:Q56" ca="1" si="7">SUM(D54:D55)</f>
        <v>2407.7042016806727</v>
      </c>
      <c r="E56" s="725">
        <f t="shared" si="7"/>
        <v>471.56497372254478</v>
      </c>
      <c r="F56" s="725">
        <f t="shared" si="7"/>
        <v>2.9498737020089663</v>
      </c>
      <c r="G56" s="725">
        <f t="shared" si="7"/>
        <v>301.85153931182418</v>
      </c>
      <c r="H56" s="725">
        <f t="shared" si="7"/>
        <v>0</v>
      </c>
      <c r="I56" s="725">
        <f t="shared" si="7"/>
        <v>0</v>
      </c>
      <c r="J56" s="725">
        <f t="shared" si="7"/>
        <v>0</v>
      </c>
      <c r="K56" s="725">
        <f t="shared" si="7"/>
        <v>32.381002998600295</v>
      </c>
      <c r="L56" s="725">
        <f t="shared" si="7"/>
        <v>0</v>
      </c>
      <c r="M56" s="725">
        <f t="shared" si="7"/>
        <v>0</v>
      </c>
      <c r="N56" s="725">
        <f t="shared" si="7"/>
        <v>0</v>
      </c>
      <c r="O56" s="725">
        <f t="shared" si="7"/>
        <v>0</v>
      </c>
      <c r="P56" s="725">
        <f t="shared" si="7"/>
        <v>0</v>
      </c>
      <c r="Q56" s="726">
        <f t="shared" si="7"/>
        <v>0</v>
      </c>
      <c r="R56" s="727">
        <f ca="1">SUM(R54:R55)</f>
        <v>3556.4971840763023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21697.164543215404</v>
      </c>
      <c r="D61" s="733">
        <f t="shared" ref="D61:Q61" ca="1" si="8">D46+D52+D56</f>
        <v>8821.1193277310958</v>
      </c>
      <c r="E61" s="733">
        <f t="shared" ca="1" si="8"/>
        <v>26666.997868051469</v>
      </c>
      <c r="F61" s="733">
        <f t="shared" si="8"/>
        <v>633.19381206392882</v>
      </c>
      <c r="G61" s="733">
        <f t="shared" ca="1" si="8"/>
        <v>2093.4403360985743</v>
      </c>
      <c r="H61" s="733">
        <f t="shared" si="8"/>
        <v>56135.375278813553</v>
      </c>
      <c r="I61" s="733">
        <f t="shared" si="8"/>
        <v>9131.2196662821843</v>
      </c>
      <c r="J61" s="733">
        <f t="shared" si="8"/>
        <v>0</v>
      </c>
      <c r="K61" s="733">
        <f t="shared" si="8"/>
        <v>34.188614257779136</v>
      </c>
      <c r="L61" s="733">
        <f t="shared" si="8"/>
        <v>0</v>
      </c>
      <c r="M61" s="733">
        <f t="shared" ca="1" si="8"/>
        <v>0</v>
      </c>
      <c r="N61" s="733">
        <f t="shared" si="8"/>
        <v>0</v>
      </c>
      <c r="O61" s="733">
        <f t="shared" ca="1" si="8"/>
        <v>0</v>
      </c>
      <c r="P61" s="733">
        <f t="shared" si="8"/>
        <v>0</v>
      </c>
      <c r="Q61" s="733">
        <f t="shared" si="8"/>
        <v>0</v>
      </c>
      <c r="R61" s="733">
        <f ca="1">R46+R52+R56</f>
        <v>125212.69944651397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0.21175956971775056</v>
      </c>
      <c r="D63" s="779">
        <f t="shared" ca="1" si="9"/>
        <v>0.23764705882352952</v>
      </c>
      <c r="E63" s="973">
        <f t="shared" ca="1" si="9"/>
        <v>0.20200000000000001</v>
      </c>
      <c r="F63" s="779">
        <f t="shared" si="9"/>
        <v>0.22699999999999998</v>
      </c>
      <c r="G63" s="779">
        <f t="shared" ca="1" si="9"/>
        <v>0.26700000000000002</v>
      </c>
      <c r="H63" s="779">
        <f t="shared" si="9"/>
        <v>0.26700000000000002</v>
      </c>
      <c r="I63" s="779">
        <f t="shared" si="9"/>
        <v>0.24900000000000003</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6241.2995113097941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25983</v>
      </c>
      <c r="D76" s="956">
        <f>'lokale energieproductie'!C8</f>
        <v>30568.235294117643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6174.783529411764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6241.2995113097941</v>
      </c>
      <c r="C78" s="751">
        <f>SUM(C72:C77)</f>
        <v>25983</v>
      </c>
      <c r="D78" s="752">
        <f t="shared" ref="D78:H78" si="10">SUM(D76:D77)</f>
        <v>30568.235294117643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6174.783529411764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37118.571428571428</v>
      </c>
      <c r="D87" s="775">
        <f>'lokale energieproductie'!C17</f>
        <v>43668.907563025212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8821.119327731094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37118.571428571428</v>
      </c>
      <c r="D90" s="751">
        <f t="shared" ref="D90:H90" si="12">SUM(D87:D89)</f>
        <v>43668.907563025212</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8821.119327731094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6241.2995113097941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25983</v>
      </c>
      <c r="C8" s="551">
        <f>B50</f>
        <v>30568.235294117643</v>
      </c>
      <c r="D8" s="552"/>
      <c r="E8" s="552">
        <f>E50</f>
        <v>0</v>
      </c>
      <c r="F8" s="553"/>
      <c r="G8" s="554"/>
      <c r="H8" s="552">
        <f>I50</f>
        <v>0</v>
      </c>
      <c r="I8" s="552">
        <f>G50+F50</f>
        <v>0</v>
      </c>
      <c r="J8" s="552">
        <f>H50+D50+C50</f>
        <v>0</v>
      </c>
      <c r="K8" s="552"/>
      <c r="L8" s="552"/>
      <c r="M8" s="552"/>
      <c r="N8" s="555"/>
      <c r="O8" s="556">
        <f>C8*$C$12+D8*$D$12+E8*$E$12+F8*$F$12+G8*$G$12+H8*$H$12+I8*$I$12+J8*$J$12</f>
        <v>6174.783529411764</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32224.299511309793</v>
      </c>
      <c r="C10" s="566">
        <f t="shared" ref="C10:L10" si="0">SUM(C8:C9)</f>
        <v>30568.235294117643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6174.783529411764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37118.571428571428</v>
      </c>
      <c r="C17" s="582">
        <f>B51</f>
        <v>43668.907563025212</v>
      </c>
      <c r="D17" s="583"/>
      <c r="E17" s="583">
        <f>E51</f>
        <v>0</v>
      </c>
      <c r="F17" s="584"/>
      <c r="G17" s="585"/>
      <c r="H17" s="582">
        <f>I51</f>
        <v>0</v>
      </c>
      <c r="I17" s="583">
        <f>G51+F51</f>
        <v>0</v>
      </c>
      <c r="J17" s="583">
        <f>H51+D51+C51</f>
        <v>0</v>
      </c>
      <c r="K17" s="583"/>
      <c r="L17" s="583"/>
      <c r="M17" s="583"/>
      <c r="N17" s="970"/>
      <c r="O17" s="586">
        <f>C17*$C$22+E17*$E$22+H17*$H$22+I17*$I$22+J17*$J$22+D17*$D$22+F17*$F$22+G17*$G$22+K17*$K$22+L17*$L$22</f>
        <v>8821.119327731094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37118.571428571428</v>
      </c>
      <c r="C20" s="565">
        <f>SUM(C17:C19)</f>
        <v>43668.907563025212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8821.119327731094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11052</v>
      </c>
      <c r="C28" s="794">
        <v>2160</v>
      </c>
      <c r="D28" s="643" t="s">
        <v>865</v>
      </c>
      <c r="E28" s="642" t="s">
        <v>866</v>
      </c>
      <c r="F28" s="642" t="s">
        <v>867</v>
      </c>
      <c r="G28" s="642" t="s">
        <v>868</v>
      </c>
      <c r="H28" s="642" t="s">
        <v>869</v>
      </c>
      <c r="I28" s="642" t="s">
        <v>866</v>
      </c>
      <c r="J28" s="793">
        <v>40246</v>
      </c>
      <c r="K28" s="793">
        <v>39468</v>
      </c>
      <c r="L28" s="642" t="s">
        <v>870</v>
      </c>
      <c r="M28" s="642">
        <v>4198</v>
      </c>
      <c r="N28" s="642">
        <v>18891</v>
      </c>
      <c r="O28" s="642">
        <v>26987.142857142859</v>
      </c>
      <c r="P28" s="642">
        <v>53974.285714285717</v>
      </c>
      <c r="Q28" s="642">
        <v>0</v>
      </c>
      <c r="R28" s="642">
        <v>0</v>
      </c>
      <c r="S28" s="642">
        <v>0</v>
      </c>
      <c r="T28" s="642">
        <v>0</v>
      </c>
      <c r="U28" s="642">
        <v>0</v>
      </c>
      <c r="V28" s="642">
        <v>0</v>
      </c>
      <c r="W28" s="642">
        <v>0</v>
      </c>
      <c r="X28" s="642">
        <v>800</v>
      </c>
      <c r="Y28" s="642" t="s">
        <v>35</v>
      </c>
      <c r="Z28" s="644" t="s">
        <v>385</v>
      </c>
    </row>
    <row r="29" spans="1:26" s="596" customFormat="1" ht="25.5">
      <c r="A29" s="595"/>
      <c r="B29" s="794">
        <v>11052</v>
      </c>
      <c r="C29" s="794">
        <v>2160</v>
      </c>
      <c r="D29" s="643" t="s">
        <v>871</v>
      </c>
      <c r="E29" s="642" t="s">
        <v>872</v>
      </c>
      <c r="F29" s="642" t="s">
        <v>873</v>
      </c>
      <c r="G29" s="642" t="s">
        <v>868</v>
      </c>
      <c r="H29" s="642" t="s">
        <v>869</v>
      </c>
      <c r="I29" s="642" t="s">
        <v>872</v>
      </c>
      <c r="J29" s="793">
        <v>39750</v>
      </c>
      <c r="K29" s="793">
        <v>39750</v>
      </c>
      <c r="L29" s="642" t="s">
        <v>874</v>
      </c>
      <c r="M29" s="642">
        <v>290</v>
      </c>
      <c r="N29" s="642">
        <v>1305</v>
      </c>
      <c r="O29" s="642">
        <v>1864.2857142857142</v>
      </c>
      <c r="P29" s="642">
        <v>3728.5714285714289</v>
      </c>
      <c r="Q29" s="642">
        <v>0</v>
      </c>
      <c r="R29" s="642">
        <v>0</v>
      </c>
      <c r="S29" s="642">
        <v>0</v>
      </c>
      <c r="T29" s="642">
        <v>0</v>
      </c>
      <c r="U29" s="642">
        <v>0</v>
      </c>
      <c r="V29" s="642">
        <v>0</v>
      </c>
      <c r="W29" s="642">
        <v>0</v>
      </c>
      <c r="X29" s="642">
        <v>10</v>
      </c>
      <c r="Y29" s="642" t="s">
        <v>111</v>
      </c>
      <c r="Z29" s="644" t="s">
        <v>111</v>
      </c>
    </row>
    <row r="30" spans="1:26" s="596" customFormat="1" ht="25.5">
      <c r="A30" s="595"/>
      <c r="B30" s="794">
        <v>11052</v>
      </c>
      <c r="C30" s="794">
        <v>2160</v>
      </c>
      <c r="D30" s="643" t="s">
        <v>875</v>
      </c>
      <c r="E30" s="642" t="s">
        <v>876</v>
      </c>
      <c r="F30" s="642" t="s">
        <v>877</v>
      </c>
      <c r="G30" s="642" t="s">
        <v>868</v>
      </c>
      <c r="H30" s="642" t="s">
        <v>869</v>
      </c>
      <c r="I30" s="642" t="s">
        <v>876</v>
      </c>
      <c r="J30" s="793">
        <v>40590</v>
      </c>
      <c r="K30" s="793">
        <v>40655</v>
      </c>
      <c r="L30" s="642" t="s">
        <v>870</v>
      </c>
      <c r="M30" s="642">
        <v>1286</v>
      </c>
      <c r="N30" s="642">
        <v>5787</v>
      </c>
      <c r="O30" s="642">
        <v>8267.1428571428569</v>
      </c>
      <c r="P30" s="642">
        <v>16534.285714285714</v>
      </c>
      <c r="Q30" s="642">
        <v>0</v>
      </c>
      <c r="R30" s="642">
        <v>0</v>
      </c>
      <c r="S30" s="642">
        <v>0</v>
      </c>
      <c r="T30" s="642">
        <v>0</v>
      </c>
      <c r="U30" s="642">
        <v>0</v>
      </c>
      <c r="V30" s="642">
        <v>0</v>
      </c>
      <c r="W30" s="642">
        <v>0</v>
      </c>
      <c r="X30" s="642">
        <v>10</v>
      </c>
      <c r="Y30" s="642" t="s">
        <v>111</v>
      </c>
      <c r="Z30" s="644" t="s">
        <v>111</v>
      </c>
    </row>
    <row r="31" spans="1:26" s="576" customFormat="1">
      <c r="A31" s="598" t="s">
        <v>279</v>
      </c>
      <c r="B31" s="599"/>
      <c r="C31" s="599"/>
      <c r="D31" s="599"/>
      <c r="E31" s="599"/>
      <c r="F31" s="599"/>
      <c r="G31" s="599"/>
      <c r="H31" s="599"/>
      <c r="I31" s="599"/>
      <c r="J31" s="599"/>
      <c r="K31" s="599"/>
      <c r="L31" s="600"/>
      <c r="M31" s="600">
        <f>SUM(M28:M30)</f>
        <v>5774</v>
      </c>
      <c r="N31" s="600">
        <f>SUM(N28:N30)</f>
        <v>25983</v>
      </c>
      <c r="O31" s="600">
        <f>SUM(O28:O30)</f>
        <v>37118.571428571428</v>
      </c>
      <c r="P31" s="600">
        <f>SUM(P28:P30)</f>
        <v>74237.142857142855</v>
      </c>
      <c r="Q31" s="600">
        <f>SUM(Q28:Q30)</f>
        <v>0</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4198</v>
      </c>
      <c r="N32" s="600">
        <f>SUMIF($Z$28:$Z$30,"industrie",N28:N30)</f>
        <v>18891</v>
      </c>
      <c r="O32" s="600">
        <f>SUMIF($Z$28:$Z$30,"industrie",O28:O30)</f>
        <v>26987.142857142859</v>
      </c>
      <c r="P32" s="600">
        <f>SUMIF($Z$28:$Z$30,"industrie",P28:P30)</f>
        <v>53974.285714285717</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0</v>
      </c>
      <c r="N33" s="600">
        <f ca="1">SUMIF($Z$28:AD30,"tertiair",N28:N30)</f>
        <v>0</v>
      </c>
      <c r="O33" s="600">
        <f ca="1">SUMIF($Z$28:AE30,"tertiair",O28:O30)</f>
        <v>0</v>
      </c>
      <c r="P33" s="600">
        <f ca="1">SUMIF($Z$28:AF30,"tertiair",P28:P30)</f>
        <v>0</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1576</v>
      </c>
      <c r="N34" s="605">
        <f>SUMIF($Z$28:$Z$30,"landbouw",N28:N30)</f>
        <v>7092</v>
      </c>
      <c r="O34" s="605">
        <f>SUMIF($Z$28:$Z$30,"landbouw",O28:O30)</f>
        <v>10131.428571428571</v>
      </c>
      <c r="P34" s="605">
        <f>SUMIF($Z$28:$Z$30,"landbouw",P28:P30)</f>
        <v>20262.857142857141</v>
      </c>
      <c r="Q34" s="605">
        <f>SUMIF($Z$28:$Z$30,"landbouw",Q28:Q30)</f>
        <v>0</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0.41176470588235292</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30568.235294117643</v>
      </c>
      <c r="C50" s="634">
        <f t="shared" si="2"/>
        <v>0</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43668.907563025212</v>
      </c>
      <c r="C51" s="637">
        <f t="shared" si="3"/>
        <v>0</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21256.615674299774</v>
      </c>
      <c r="C4" s="455">
        <f>huishoudens!C8</f>
        <v>0</v>
      </c>
      <c r="D4" s="455">
        <f>huishoudens!D8</f>
        <v>59102.115931022687</v>
      </c>
      <c r="E4" s="455">
        <f>huishoudens!E8</f>
        <v>2227.9921007550656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6003.0552713557809</v>
      </c>
      <c r="O4" s="455">
        <f>huishoudens!O8</f>
        <v>269.81831783663637</v>
      </c>
      <c r="P4" s="456">
        <f>huishoudens!P8</f>
        <v>294.95086061518066</v>
      </c>
      <c r="Q4" s="457">
        <f>SUM(B4:P4)</f>
        <v>89154.548155885117</v>
      </c>
    </row>
    <row r="5" spans="1:17">
      <c r="A5" s="454" t="s">
        <v>155</v>
      </c>
      <c r="B5" s="455">
        <f ca="1">tertiair!B16</f>
        <v>30522.261478867113</v>
      </c>
      <c r="C5" s="455">
        <f ca="1">tertiair!C16</f>
        <v>0</v>
      </c>
      <c r="D5" s="455">
        <f ca="1">tertiair!D16</f>
        <v>35530.001576589784</v>
      </c>
      <c r="E5" s="455">
        <f>tertiair!E16</f>
        <v>123.83864213857308</v>
      </c>
      <c r="F5" s="455">
        <f ca="1">tertiair!F16</f>
        <v>5171.3427046811512</v>
      </c>
      <c r="G5" s="455">
        <f>tertiair!G16</f>
        <v>0</v>
      </c>
      <c r="H5" s="455">
        <f>tertiair!H16</f>
        <v>0</v>
      </c>
      <c r="I5" s="455">
        <f>tertiair!I16</f>
        <v>0</v>
      </c>
      <c r="J5" s="455">
        <f>tertiair!J16</f>
        <v>4.5400883605909013E-2</v>
      </c>
      <c r="K5" s="455">
        <f>tertiair!K16</f>
        <v>0</v>
      </c>
      <c r="L5" s="455">
        <f ca="1">tertiair!L16</f>
        <v>0</v>
      </c>
      <c r="M5" s="455">
        <f>tertiair!M16</f>
        <v>0</v>
      </c>
      <c r="N5" s="455">
        <f ca="1">tertiair!N16</f>
        <v>1661.6073393677166</v>
      </c>
      <c r="O5" s="455">
        <f>tertiair!O16</f>
        <v>9.7945215316823084</v>
      </c>
      <c r="P5" s="456">
        <f>tertiair!P16</f>
        <v>157.61741491948504</v>
      </c>
      <c r="Q5" s="454">
        <f t="shared" ref="Q5:Q14" ca="1" si="0">SUM(B5:P5)</f>
        <v>73176.509078979128</v>
      </c>
    </row>
    <row r="6" spans="1:17">
      <c r="A6" s="454" t="s">
        <v>193</v>
      </c>
      <c r="B6" s="455">
        <f>'openbare verlichting'!B8</f>
        <v>863.54100000000005</v>
      </c>
      <c r="C6" s="455"/>
      <c r="D6" s="455"/>
      <c r="E6" s="455"/>
      <c r="F6" s="455"/>
      <c r="G6" s="455"/>
      <c r="H6" s="455"/>
      <c r="I6" s="455"/>
      <c r="J6" s="455"/>
      <c r="K6" s="455"/>
      <c r="L6" s="455"/>
      <c r="M6" s="455"/>
      <c r="N6" s="455"/>
      <c r="O6" s="455"/>
      <c r="P6" s="456"/>
      <c r="Q6" s="454">
        <f t="shared" si="0"/>
        <v>863.54100000000005</v>
      </c>
    </row>
    <row r="7" spans="1:17">
      <c r="A7" s="454" t="s">
        <v>111</v>
      </c>
      <c r="B7" s="455">
        <f>landbouw!B8</f>
        <v>348.45729364477302</v>
      </c>
      <c r="C7" s="455">
        <f>landbouw!C8</f>
        <v>10131.428571428571</v>
      </c>
      <c r="D7" s="455">
        <f>landbouw!D8</f>
        <v>0</v>
      </c>
      <c r="E7" s="455">
        <f>landbouw!E8</f>
        <v>12.995038334841261</v>
      </c>
      <c r="F7" s="455">
        <f>landbouw!F8</f>
        <v>1130.530109782113</v>
      </c>
      <c r="G7" s="455">
        <f>landbouw!G8</f>
        <v>0</v>
      </c>
      <c r="H7" s="455">
        <f>landbouw!H8</f>
        <v>0</v>
      </c>
      <c r="I7" s="455">
        <f>landbouw!I8</f>
        <v>0</v>
      </c>
      <c r="J7" s="455">
        <f>landbouw!J8</f>
        <v>91.471759883051675</v>
      </c>
      <c r="K7" s="455">
        <f>landbouw!K8</f>
        <v>0</v>
      </c>
      <c r="L7" s="455">
        <f>landbouw!L8</f>
        <v>0</v>
      </c>
      <c r="M7" s="455">
        <f>landbouw!M8</f>
        <v>0</v>
      </c>
      <c r="N7" s="455">
        <f>landbouw!N8</f>
        <v>0</v>
      </c>
      <c r="O7" s="455">
        <f>landbouw!O8</f>
        <v>0</v>
      </c>
      <c r="P7" s="456">
        <f>landbouw!P8</f>
        <v>0</v>
      </c>
      <c r="Q7" s="454">
        <f t="shared" si="0"/>
        <v>11714.882773073348</v>
      </c>
    </row>
    <row r="8" spans="1:17">
      <c r="A8" s="454" t="s">
        <v>626</v>
      </c>
      <c r="B8" s="455">
        <f>industrie!B18</f>
        <v>48065.060770130687</v>
      </c>
      <c r="C8" s="455">
        <f>industrie!C18</f>
        <v>26987.142857142859</v>
      </c>
      <c r="D8" s="455">
        <f>industrie!D18</f>
        <v>34493.099557168687</v>
      </c>
      <c r="E8" s="455">
        <f>industrie!E18</f>
        <v>67.082074587768659</v>
      </c>
      <c r="F8" s="455">
        <f>industrie!F18</f>
        <v>1538.7276952692241</v>
      </c>
      <c r="G8" s="455">
        <f>industrie!G18</f>
        <v>0</v>
      </c>
      <c r="H8" s="455">
        <f>industrie!H18</f>
        <v>0</v>
      </c>
      <c r="I8" s="455">
        <f>industrie!I18</f>
        <v>0</v>
      </c>
      <c r="J8" s="455">
        <f>industrie!J18</f>
        <v>5.0608456112495759</v>
      </c>
      <c r="K8" s="455">
        <f>industrie!K18</f>
        <v>0</v>
      </c>
      <c r="L8" s="455">
        <f>industrie!L18</f>
        <v>0</v>
      </c>
      <c r="M8" s="455">
        <f>industrie!M18</f>
        <v>0</v>
      </c>
      <c r="N8" s="455">
        <f>industrie!N18</f>
        <v>744.72250154593428</v>
      </c>
      <c r="O8" s="455">
        <f>industrie!O18</f>
        <v>0</v>
      </c>
      <c r="P8" s="456">
        <f>industrie!P18</f>
        <v>0</v>
      </c>
      <c r="Q8" s="454">
        <f t="shared" si="0"/>
        <v>111900.89630145641</v>
      </c>
    </row>
    <row r="9" spans="1:17" s="460" customFormat="1">
      <c r="A9" s="458" t="s">
        <v>552</v>
      </c>
      <c r="B9" s="459">
        <f>transport!B14</f>
        <v>148.02894830021188</v>
      </c>
      <c r="C9" s="459">
        <f>transport!C14</f>
        <v>0</v>
      </c>
      <c r="D9" s="459">
        <f>transport!D14</f>
        <v>555.14379823330603</v>
      </c>
      <c r="E9" s="459">
        <f>transport!E14</f>
        <v>357.49219732881215</v>
      </c>
      <c r="F9" s="459">
        <f>transport!F14</f>
        <v>0</v>
      </c>
      <c r="G9" s="459">
        <f>transport!G14</f>
        <v>208137.4124754309</v>
      </c>
      <c r="H9" s="459">
        <f>transport!H14</f>
        <v>36671.564924828046</v>
      </c>
      <c r="I9" s="459">
        <f>transport!I14</f>
        <v>0</v>
      </c>
      <c r="J9" s="459">
        <f>transport!J14</f>
        <v>0</v>
      </c>
      <c r="K9" s="459">
        <f>transport!K14</f>
        <v>0</v>
      </c>
      <c r="L9" s="459">
        <f>transport!L14</f>
        <v>0</v>
      </c>
      <c r="M9" s="459">
        <f>transport!M14</f>
        <v>14267.670136851504</v>
      </c>
      <c r="N9" s="459">
        <f>transport!N14</f>
        <v>0</v>
      </c>
      <c r="O9" s="459">
        <f>transport!O14</f>
        <v>0</v>
      </c>
      <c r="P9" s="459">
        <f>transport!P14</f>
        <v>0</v>
      </c>
      <c r="Q9" s="458">
        <f>SUM(B9:P9)</f>
        <v>260137.31248097276</v>
      </c>
    </row>
    <row r="10" spans="1:17">
      <c r="A10" s="454" t="s">
        <v>542</v>
      </c>
      <c r="B10" s="455">
        <f>transport!B54</f>
        <v>0</v>
      </c>
      <c r="C10" s="455">
        <f>transport!C54</f>
        <v>0</v>
      </c>
      <c r="D10" s="455">
        <f>transport!D54</f>
        <v>0</v>
      </c>
      <c r="E10" s="455">
        <f>transport!E54</f>
        <v>0</v>
      </c>
      <c r="F10" s="455">
        <f>transport!F54</f>
        <v>0</v>
      </c>
      <c r="G10" s="455">
        <f>transport!G54</f>
        <v>2107.4387560805262</v>
      </c>
      <c r="H10" s="455">
        <f>transport!H54</f>
        <v>0</v>
      </c>
      <c r="I10" s="455">
        <f>transport!I54</f>
        <v>0</v>
      </c>
      <c r="J10" s="455">
        <f>transport!J54</f>
        <v>0</v>
      </c>
      <c r="K10" s="455">
        <f>transport!K54</f>
        <v>0</v>
      </c>
      <c r="L10" s="455">
        <f>transport!L54</f>
        <v>0</v>
      </c>
      <c r="M10" s="455">
        <f>transport!M54</f>
        <v>114.36163000855782</v>
      </c>
      <c r="N10" s="455">
        <f>transport!N54</f>
        <v>0</v>
      </c>
      <c r="O10" s="455">
        <f>transport!O54</f>
        <v>0</v>
      </c>
      <c r="P10" s="456">
        <f>transport!P54</f>
        <v>0</v>
      </c>
      <c r="Q10" s="454">
        <f t="shared" si="0"/>
        <v>2221.800386089084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1257.3525080746501</v>
      </c>
      <c r="C14" s="462"/>
      <c r="D14" s="462">
        <f>'SEAP template'!E25</f>
        <v>2334.4800679333898</v>
      </c>
      <c r="E14" s="462"/>
      <c r="F14" s="462"/>
      <c r="G14" s="462"/>
      <c r="H14" s="462"/>
      <c r="I14" s="462"/>
      <c r="J14" s="462"/>
      <c r="K14" s="462"/>
      <c r="L14" s="462"/>
      <c r="M14" s="462"/>
      <c r="N14" s="462"/>
      <c r="O14" s="462"/>
      <c r="P14" s="463"/>
      <c r="Q14" s="454">
        <f t="shared" si="0"/>
        <v>3591.8325760080397</v>
      </c>
    </row>
    <row r="15" spans="1:17" s="466" customFormat="1">
      <c r="A15" s="464" t="s">
        <v>546</v>
      </c>
      <c r="B15" s="465">
        <f ca="1">SUM(B4:B14)</f>
        <v>102461.31767331721</v>
      </c>
      <c r="C15" s="465">
        <f t="shared" ref="C15:Q15" ca="1" si="1">SUM(C4:C14)</f>
        <v>37118.571428571428</v>
      </c>
      <c r="D15" s="465">
        <f t="shared" ca="1" si="1"/>
        <v>132014.84093094786</v>
      </c>
      <c r="E15" s="465">
        <f t="shared" si="1"/>
        <v>2789.4000531450611</v>
      </c>
      <c r="F15" s="465">
        <f t="shared" ca="1" si="1"/>
        <v>7840.6005097324887</v>
      </c>
      <c r="G15" s="465">
        <f t="shared" si="1"/>
        <v>210244.85123151142</v>
      </c>
      <c r="H15" s="465">
        <f t="shared" si="1"/>
        <v>36671.564924828046</v>
      </c>
      <c r="I15" s="465">
        <f t="shared" si="1"/>
        <v>0</v>
      </c>
      <c r="J15" s="465">
        <f t="shared" si="1"/>
        <v>96.578006377907158</v>
      </c>
      <c r="K15" s="465">
        <f t="shared" si="1"/>
        <v>0</v>
      </c>
      <c r="L15" s="465">
        <f t="shared" ca="1" si="1"/>
        <v>0</v>
      </c>
      <c r="M15" s="465">
        <f t="shared" si="1"/>
        <v>14382.031766860062</v>
      </c>
      <c r="N15" s="465">
        <f t="shared" ca="1" si="1"/>
        <v>8409.3851122694305</v>
      </c>
      <c r="O15" s="465">
        <f t="shared" si="1"/>
        <v>279.6128393683187</v>
      </c>
      <c r="P15" s="465">
        <f t="shared" si="1"/>
        <v>452.5682755346657</v>
      </c>
      <c r="Q15" s="465">
        <f t="shared" ca="1" si="1"/>
        <v>552761.32275246398</v>
      </c>
    </row>
    <row r="17" spans="1:17">
      <c r="A17" s="467" t="s">
        <v>547</v>
      </c>
      <c r="B17" s="784">
        <f ca="1">huishoudens!B10</f>
        <v>0.21175956971775056</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4501.2917888453121</v>
      </c>
      <c r="C22" s="455">
        <f t="shared" ref="C22:C32" ca="1" si="3">C4*$C$17</f>
        <v>0</v>
      </c>
      <c r="D22" s="455">
        <f t="shared" ref="D22:D32" si="4">D4*$D$17</f>
        <v>11938.627418066584</v>
      </c>
      <c r="E22" s="455">
        <f t="shared" ref="E22:E32" si="5">E4*$E$17</f>
        <v>505.7542068713999</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16945.673413783294</v>
      </c>
    </row>
    <row r="23" spans="1:17">
      <c r="A23" s="454" t="s">
        <v>155</v>
      </c>
      <c r="B23" s="455">
        <f t="shared" ca="1" si="2"/>
        <v>6463.3809575775731</v>
      </c>
      <c r="C23" s="455">
        <f t="shared" ca="1" si="3"/>
        <v>0</v>
      </c>
      <c r="D23" s="455">
        <f t="shared" ca="1" si="4"/>
        <v>7177.0603184711372</v>
      </c>
      <c r="E23" s="455">
        <f t="shared" si="5"/>
        <v>28.111371765456088</v>
      </c>
      <c r="F23" s="455">
        <f t="shared" ca="1" si="6"/>
        <v>1380.7485021498674</v>
      </c>
      <c r="G23" s="455">
        <f t="shared" si="7"/>
        <v>0</v>
      </c>
      <c r="H23" s="455">
        <f t="shared" si="8"/>
        <v>0</v>
      </c>
      <c r="I23" s="455">
        <f t="shared" si="9"/>
        <v>0</v>
      </c>
      <c r="J23" s="455">
        <f t="shared" si="10"/>
        <v>1.607191279649179E-2</v>
      </c>
      <c r="K23" s="455">
        <f t="shared" si="11"/>
        <v>0</v>
      </c>
      <c r="L23" s="455">
        <f t="shared" ca="1" si="12"/>
        <v>0</v>
      </c>
      <c r="M23" s="455">
        <f t="shared" si="13"/>
        <v>0</v>
      </c>
      <c r="N23" s="455">
        <f t="shared" ca="1" si="14"/>
        <v>0</v>
      </c>
      <c r="O23" s="455">
        <f t="shared" si="15"/>
        <v>0</v>
      </c>
      <c r="P23" s="456">
        <f t="shared" si="16"/>
        <v>0</v>
      </c>
      <c r="Q23" s="454">
        <f t="shared" ref="Q23:Q31" ca="1" si="17">SUM(B23:P23)</f>
        <v>15049.317221876829</v>
      </c>
    </row>
    <row r="24" spans="1:17">
      <c r="A24" s="454" t="s">
        <v>193</v>
      </c>
      <c r="B24" s="455">
        <f t="shared" ca="1" si="2"/>
        <v>182.86307059363605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182.86307059363605</v>
      </c>
    </row>
    <row r="25" spans="1:17">
      <c r="A25" s="454" t="s">
        <v>111</v>
      </c>
      <c r="B25" s="455">
        <f t="shared" ca="1" si="2"/>
        <v>73.789166567228989</v>
      </c>
      <c r="C25" s="455">
        <f t="shared" ca="1" si="3"/>
        <v>2407.7042016806727</v>
      </c>
      <c r="D25" s="455">
        <f t="shared" si="4"/>
        <v>0</v>
      </c>
      <c r="E25" s="455">
        <f t="shared" si="5"/>
        <v>2.9498737020089663</v>
      </c>
      <c r="F25" s="455">
        <f t="shared" si="6"/>
        <v>301.85153931182418</v>
      </c>
      <c r="G25" s="455">
        <f t="shared" si="7"/>
        <v>0</v>
      </c>
      <c r="H25" s="455">
        <f t="shared" si="8"/>
        <v>0</v>
      </c>
      <c r="I25" s="455">
        <f t="shared" si="9"/>
        <v>0</v>
      </c>
      <c r="J25" s="455">
        <f t="shared" si="10"/>
        <v>32.381002998600295</v>
      </c>
      <c r="K25" s="455">
        <f t="shared" si="11"/>
        <v>0</v>
      </c>
      <c r="L25" s="455">
        <f t="shared" si="12"/>
        <v>0</v>
      </c>
      <c r="M25" s="455">
        <f t="shared" si="13"/>
        <v>0</v>
      </c>
      <c r="N25" s="455">
        <f t="shared" si="14"/>
        <v>0</v>
      </c>
      <c r="O25" s="455">
        <f t="shared" si="15"/>
        <v>0</v>
      </c>
      <c r="P25" s="456">
        <f t="shared" si="16"/>
        <v>0</v>
      </c>
      <c r="Q25" s="454">
        <f t="shared" ca="1" si="17"/>
        <v>2818.6757842603351</v>
      </c>
    </row>
    <row r="26" spans="1:17">
      <c r="A26" s="454" t="s">
        <v>626</v>
      </c>
      <c r="B26" s="455">
        <f t="shared" ca="1" si="2"/>
        <v>10178.236587140407</v>
      </c>
      <c r="C26" s="455">
        <f t="shared" ca="1" si="3"/>
        <v>6413.4151260504223</v>
      </c>
      <c r="D26" s="455">
        <f t="shared" si="4"/>
        <v>6967.6061105480749</v>
      </c>
      <c r="E26" s="455">
        <f t="shared" si="5"/>
        <v>15.227630931423485</v>
      </c>
      <c r="F26" s="455">
        <f t="shared" si="6"/>
        <v>410.84029463688285</v>
      </c>
      <c r="G26" s="455">
        <f t="shared" si="7"/>
        <v>0</v>
      </c>
      <c r="H26" s="455">
        <f t="shared" si="8"/>
        <v>0</v>
      </c>
      <c r="I26" s="455">
        <f t="shared" si="9"/>
        <v>0</v>
      </c>
      <c r="J26" s="455">
        <f t="shared" si="10"/>
        <v>1.7915393463823497</v>
      </c>
      <c r="K26" s="455">
        <f t="shared" si="11"/>
        <v>0</v>
      </c>
      <c r="L26" s="455">
        <f t="shared" si="12"/>
        <v>0</v>
      </c>
      <c r="M26" s="455">
        <f t="shared" si="13"/>
        <v>0</v>
      </c>
      <c r="N26" s="455">
        <f t="shared" si="14"/>
        <v>0</v>
      </c>
      <c r="O26" s="455">
        <f t="shared" si="15"/>
        <v>0</v>
      </c>
      <c r="P26" s="456">
        <f t="shared" si="16"/>
        <v>0</v>
      </c>
      <c r="Q26" s="454">
        <f t="shared" ca="1" si="17"/>
        <v>23987.11728865359</v>
      </c>
    </row>
    <row r="27" spans="1:17" s="460" customFormat="1">
      <c r="A27" s="458" t="s">
        <v>552</v>
      </c>
      <c r="B27" s="778">
        <f t="shared" ca="1" si="2"/>
        <v>31.34654639782401</v>
      </c>
      <c r="C27" s="459">
        <f t="shared" ca="1" si="3"/>
        <v>0</v>
      </c>
      <c r="D27" s="459">
        <f t="shared" si="4"/>
        <v>112.13904724312782</v>
      </c>
      <c r="E27" s="459">
        <f t="shared" si="5"/>
        <v>81.150728793640369</v>
      </c>
      <c r="F27" s="459">
        <f t="shared" si="6"/>
        <v>0</v>
      </c>
      <c r="G27" s="459">
        <f t="shared" si="7"/>
        <v>55572.689130940053</v>
      </c>
      <c r="H27" s="459">
        <f t="shared" si="8"/>
        <v>9131.2196662821843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64928.545119656832</v>
      </c>
    </row>
    <row r="28" spans="1:17" ht="16.5" customHeight="1">
      <c r="A28" s="454" t="s">
        <v>542</v>
      </c>
      <c r="B28" s="455">
        <f t="shared" ca="1" si="2"/>
        <v>0</v>
      </c>
      <c r="C28" s="455">
        <f t="shared" ca="1" si="3"/>
        <v>0</v>
      </c>
      <c r="D28" s="455">
        <f t="shared" si="4"/>
        <v>0</v>
      </c>
      <c r="E28" s="455">
        <f t="shared" si="5"/>
        <v>0</v>
      </c>
      <c r="F28" s="455">
        <f t="shared" si="6"/>
        <v>0</v>
      </c>
      <c r="G28" s="455">
        <f t="shared" si="7"/>
        <v>562.68614787350054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562.68614787350054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266.25642609342242</v>
      </c>
      <c r="C32" s="455">
        <f t="shared" ca="1" si="3"/>
        <v>0</v>
      </c>
      <c r="D32" s="455">
        <f t="shared" si="4"/>
        <v>471.56497372254478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737.8213998159672</v>
      </c>
    </row>
    <row r="33" spans="1:17" s="466" customFormat="1">
      <c r="A33" s="464" t="s">
        <v>546</v>
      </c>
      <c r="B33" s="465">
        <f ca="1">SUM(B22:B32)</f>
        <v>21697.164543215407</v>
      </c>
      <c r="C33" s="465">
        <f t="shared" ref="C33:Q33" ca="1" si="19">SUM(C22:C32)</f>
        <v>8821.1193277310958</v>
      </c>
      <c r="D33" s="465">
        <f t="shared" ca="1" si="19"/>
        <v>26666.997868051469</v>
      </c>
      <c r="E33" s="465">
        <f t="shared" si="19"/>
        <v>633.19381206392882</v>
      </c>
      <c r="F33" s="465">
        <f t="shared" ca="1" si="19"/>
        <v>2093.4403360985743</v>
      </c>
      <c r="G33" s="465">
        <f t="shared" si="19"/>
        <v>56135.375278813553</v>
      </c>
      <c r="H33" s="465">
        <f t="shared" si="19"/>
        <v>9131.2196662821843</v>
      </c>
      <c r="I33" s="465">
        <f t="shared" si="19"/>
        <v>0</v>
      </c>
      <c r="J33" s="465">
        <f t="shared" si="19"/>
        <v>34.188614257779136</v>
      </c>
      <c r="K33" s="465">
        <f t="shared" si="19"/>
        <v>0</v>
      </c>
      <c r="L33" s="465">
        <f t="shared" ca="1" si="19"/>
        <v>0</v>
      </c>
      <c r="M33" s="465">
        <f t="shared" si="19"/>
        <v>0</v>
      </c>
      <c r="N33" s="465">
        <f t="shared" ca="1" si="19"/>
        <v>0</v>
      </c>
      <c r="O33" s="465">
        <f t="shared" si="19"/>
        <v>0</v>
      </c>
      <c r="P33" s="465">
        <f t="shared" si="19"/>
        <v>0</v>
      </c>
      <c r="Q33" s="465">
        <f t="shared" ca="1" si="19"/>
        <v>125212.69944651397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6241.2995113097941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25983</v>
      </c>
      <c r="D8" s="1026">
        <f>'SEAP template'!D76</f>
        <v>30568.235294117643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6174.783529411764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6241.2995113097941</v>
      </c>
      <c r="C10" s="1028">
        <f>SUM(C4:C9)</f>
        <v>25983</v>
      </c>
      <c r="D10" s="1028">
        <f t="shared" ref="D10:H10" si="0">SUM(D8:D9)</f>
        <v>30568.235294117643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6174.783529411764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0.21175956971775056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37118.571428571428</v>
      </c>
      <c r="D17" s="1027">
        <f>'SEAP template'!D87</f>
        <v>43668.907563025212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8821.119327731094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37118.571428571428</v>
      </c>
      <c r="D20" s="1028">
        <f t="shared" ref="D20:H20" si="2">SUM(D17:D19)</f>
        <v>43668.907563025212</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8821.119327731094</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0.21175956971775056</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2020-06-20T15:17:43Z</dcterms:modified>
</cp:coreProperties>
</file>