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22" i="59"/>
  <c r="C56" i="22"/>
  <c r="C58" i="22" s="1"/>
  <c r="D49" i="14" s="1"/>
  <c r="D52" i="14" s="1"/>
  <c r="C17" i="19"/>
  <c r="C19" i="19" s="1"/>
  <c r="D39" i="14" s="1"/>
  <c r="C20" i="16"/>
  <c r="C22" i="16" s="1"/>
  <c r="D43" i="14" s="1"/>
  <c r="C10" i="17"/>
  <c r="C12" i="17" s="1"/>
  <c r="D54" i="14" s="1"/>
  <c r="D56" i="14" s="1"/>
  <c r="C18" i="15"/>
  <c r="C20" i="15" s="1"/>
  <c r="D40" i="14" s="1"/>
  <c r="C29" i="20"/>
  <c r="C17" i="4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<sst xmlns="http://schemas.openxmlformats.org/spreadsheetml/2006/main" count="2375" uniqueCount="871">
  <si>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</si>
  <si>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</si>
  <si>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</si>
  <si>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</si>
  <si>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</si>
  <si>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</si>
  <si>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</si>
  <si>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</si>
  <si>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</si>
  <si>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</si>
  <si>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</si>
  <si>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</si>
  <si>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</si>
  <si>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</si>
  <si>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</si>
  <si>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</si>
  <si>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</si>
  <si>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</si>
  <si>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</si>
  <si>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</si>
  <si>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</si>
  <si>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</si>
  <si>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</si>
  <si>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</si>
  <si>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</si>
  <si>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</si>
  <si>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</si>
  <si>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</si>
  <si>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</si>
  <si>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</si>
  <si>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</si>
  <si>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</si>
  <si>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</si>
  <si>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</si>
  <si>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</si>
  <si>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</si>
  <si>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</si>
  <si>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</si>
  <si>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</si>
  <si>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</si>
  <si>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</si>
  <si>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</si>
  <si>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</si>
  <si>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</si>
  <si>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</si>
  <si>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</si>
  <si>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</si>
  <si>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</si>
  <si>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</si>
  <si>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</si>
  <si>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</si>
  <si>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</si>
  <si>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</si>
  <si>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</si>
  <si>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</si>
  <si>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</si>
  <si>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</si>
  <si>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</si>
  <si>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</si>
  <si>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</si>
  <si>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</si>
  <si>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</si>
  <si>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</si>
  <si>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</si>
  <si>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</si>
  <si>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</si>
  <si>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</si>
  <si>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</si>
  <si>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</si>
  <si>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</si>
  <si>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</si>
  <si>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</si>
  <si>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</si>
  <si>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</si>
  <si>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</si>
  <si>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</si>
  <si>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</si>
  <si>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</si>
  <si>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</si>
  <si>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</si>
  <si>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</si>
  <si>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</si>
  <si>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</si>
  <si>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</si>
  <si>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</si>
  <si>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</si>
  <si>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</si>
  <si>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</si>
  <si>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</si>
  <si>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</si>
  <si>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</si>
  <si>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</si>
  <si>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</si>
  <si>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</si>
  <si>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</si>
  <si>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</si>
  <si>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</si>
  <si>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</si>
  <si>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</si>
  <si>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</si>
  <si>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</si>
  <si>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</si>
  <si>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</si>
  <si>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</si>
  <si>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</si>
  <si>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</si>
  <si>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</si>
  <si>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</si>
  <si>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</si>
  <si>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</si>
  <si>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</si>
  <si>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</si>
  <si>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</si>
  <si>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</si>
  <si>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</si>
  <si>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</si>
  <si>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</si>
  <si>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</si>
  <si>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</si>
  <si>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</si>
  <si>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</si>
  <si>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</si>
  <si>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</si>
  <si>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</si>
  <si>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</si>
  <si>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</si>
  <si>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</si>
  <si>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</si>
  <si>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</si>
  <si>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</si>
  <si>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</si>
  <si>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</si>
  <si>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</si>
  <si>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</si>
  <si>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</si>
  <si>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</si>
  <si>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</si>
  <si>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</si>
  <si>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</si>
  <si>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</si>
  <si>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</si>
  <si>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</si>
  <si>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</si>
  <si>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</si>
  <si>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</si>
  <si>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</si>
  <si>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</si>
  <si>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</si>
  <si>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</si>
  <si>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</si>
  <si>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</si>
  <si>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</si>
  <si>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</si>
  <si>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</si>
  <si>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</si>
  <si>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</si>
  <si>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</si>
  <si>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</si>
  <si>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</si>
  <si>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</si>
  <si>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</si>
  <si>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</si>
  <si>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</si>
  <si>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</si>
  <si>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</si>
  <si>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</si>
  <si>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</si>
  <si>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</si>
  <si>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</si>
  <si>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</si>
  <si>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</si>
  <si>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</si>
  <si>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</si>
  <si>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</si>
  <si>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</si>
  <si>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</si>
  <si>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</si>
  <si>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</si>
  <si>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</si>
  <si>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</si>
  <si>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</si>
  <si>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</si>
  <si>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</si>
  <si>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</si>
  <si>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</si>
  <si>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</si>
  <si>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</si>
  <si>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</si>
  <si>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</si>
  <si>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</si>
  <si>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</si>
  <si>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</si>
  <si>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</si>
  <si>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</si>
  <si>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</si>
  <si>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</si>
  <si>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</si>
  <si>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</si>
  <si>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</si>
  <si>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</si>
  <si>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</si>
  <si>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</si>
  <si>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</si>
  <si>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</si>
  <si>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</si>
  <si>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</si>
  <si>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</si>
  <si>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</si>
  <si>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</si>
  <si>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</si>
  <si>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</si>
  <si>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</si>
  <si>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</si>
  <si>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</si>
  <si>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</si>
  <si>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</si>
  <si>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</si>
  <si>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</si>
  <si>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</si>
  <si>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</si>
  <si>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</si>
  <si>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</si>
  <si>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</si>
  <si>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</si>
  <si>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</si>
  <si>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</si>
  <si>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</si>
  <si>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</si>
  <si>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</si>
  <si>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</si>
  <si>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</si>
  <si>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</si>
  <si>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</si>
  <si>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</si>
  <si>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</si>
  <si>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</si>
  <si>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</si>
  <si>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</si>
  <si>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</si>
  <si>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</si>
  <si>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</si>
  <si>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</si>
  <si>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</si>
  <si>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</si>
  <si>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</si>
  <si>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</si>
  <si>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</si>
  <si>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</si>
  <si>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</si>
  <si>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</si>
  <si>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</si>
  <si>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</si>
  <si>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</si>
  <si>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</si>
  <si>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</si>
  <si>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</si>
  <si>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</si>
  <si>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</si>
  <si>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</si>
  <si>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</si>
  <si>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</si>
  <si>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</si>
  <si>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</si>
  <si>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</si>
  <si>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</si>
  <si>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</si>
  <si>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</si>
  <si>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</si>
  <si>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</si>
  <si>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</si>
  <si>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</si>
  <si>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</si>
  <si>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</si>
  <si>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</si>
  <si>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</si>
  <si>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</si>
  <si>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</si>
  <si>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</si>
  <si>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</si>
  <si>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</si>
  <si>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</si>
  <si>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</si>
  <si>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</si>
  <si>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</si>
  <si>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</si>
  <si>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</si>
  <si>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</si>
  <si>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</si>
  <si>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</si>
  <si>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</si>
  <si>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</si>
  <si>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</si>
  <si>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</si>
  <si>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</si>
  <si>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</si>
  <si>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</si>
  <si>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</si>
  <si>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</si>
  <si>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</si>
  <si>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</si>
  <si>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</si>
  <si>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</si>
  <si>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</si>
  <si>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</si>
  <si>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</si>
  <si>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</si>
  <si>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</si>
  <si>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</si>
  <si>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</si>
  <si>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</si>
  <si>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</si>
  <si>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</si>
  <si>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</si>
  <si>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</si>
  <si>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</si>
  <si>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</si>
  <si>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</si>
  <si>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</si>
  <si>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</si>
  <si>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</si>
  <si>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</si>
  <si>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</si>
  <si>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</si>
  <si>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</si>
  <si>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</si>
  <si>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</si>
  <si>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</si>
  <si>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</si>
  <si>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</si>
  <si>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</si>
  <si>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</si>
  <si>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</si>
  <si>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</si>
  <si>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</si>
  <si>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</si>
  <si>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</si>
  <si>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</si>
  <si>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</si>
  <si>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</si>
  <si>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</si>
  <si>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</si>
  <si>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</si>
  <si>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</si>
  <si>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</si>
  <si>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</si>
  <si>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</si>
  <si>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</si>
  <si>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</si>
  <si>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</si>
  <si>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</si>
  <si>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</si>
  <si>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</si>
  <si>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</si>
  <si>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</si>
  <si>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</si>
  <si>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</si>
  <si>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</si>
  <si>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</si>
  <si>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</si>
  <si>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</si>
  <si>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</si>
  <si>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</si>
  <si>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</si>
  <si>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</si>
  <si>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</si>
  <si>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</si>
  <si>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</si>
  <si>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</si>
  <si>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</si>
  <si>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</si>
  <si>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</si>
  <si>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</si>
  <si>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</si>
  <si>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</si>
  <si>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</si>
  <si>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</si>
  <si>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</si>
  <si>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</si>
  <si>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</si>
  <si>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</si>
  <si>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</si>
  <si>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</si>
  <si>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</si>
  <si>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</si>
  <si>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</si>
  <si>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</si>
  <si>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</si>
  <si>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</si>
  <si>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</si>
  <si>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</si>
  <si>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</si>
  <si>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</si>
  <si>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</si>
  <si>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</si>
  <si>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</si>
  <si>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</si>
  <si>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</si>
  <si>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</si>
  <si>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</si>
  <si>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</si>
  <si>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</si>
  <si>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</si>
  <si>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</si>
  <si>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</si>
  <si>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</si>
  <si>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</si>
  <si>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</si>
  <si>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</si>
  <si>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</si>
  <si>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</si>
  <si>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</si>
  <si>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</si>
  <si>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</si>
  <si>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</si>
  <si>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</si>
  <si>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</si>
  <si>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</si>
  <si>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</si>
  <si>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</si>
  <si>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</si>
  <si>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</si>
  <si>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</si>
  <si>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</si>
  <si>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</si>
  <si>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</si>
  <si>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</si>
  <si>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</si>
  <si>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</si>
  <si>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</si>
  <si>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</si>
  <si>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</si>
  <si>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</si>
  <si>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</si>
  <si>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</si>
  <si>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</si>
  <si>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</si>
  <si>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</si>
  <si>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</si>
  <si>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</si>
  <si>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</si>
  <si>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</si>
  <si>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</si>
  <si>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</si>
  <si>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</si>
  <si>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</si>
  <si>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</si>
  <si>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</si>
  <si>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</si>
  <si>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</si>
  <si>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</si>
  <si>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</si>
  <si>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</si>
  <si>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</si>
  <si>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</si>
  <si>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</si>
  <si>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</si>
  <si>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</si>
  <si>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</si>
  <si>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</si>
  <si>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</si>
  <si>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</si>
  <si>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</si>
  <si>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</si>
  <si>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</si>
  <si>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</si>
  <si>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</si>
  <si>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</si>
  <si>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</si>
  <si>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</si>
  <si>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</si>
  <si>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</si>
  <si>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</si>
  <si>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</si>
  <si>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</si>
  <si>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</si>
  <si>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</si>
  <si>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</si>
  <si>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</si>
  <si>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</si>
  <si>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</si>
  <si>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</si>
  <si>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</si>
  <si>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</si>
  <si>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</si>
  <si>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</si>
  <si>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</si>
  <si>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</si>
  <si>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</si>
  <si>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</si>
  <si>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</si>
  <si>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</si>
  <si>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</si>
  <si>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</si>
  <si>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</si>
  <si>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</si>
  <si>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</si>
  <si>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</si>
  <si>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</si>
  <si>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</si>
  <si>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</si>
  <si>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</si>
  <si>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</si>
  <si>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</si>
  <si>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</si>
  <si>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</si>
  <si>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</si>
  <si>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</si>
  <si>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</si>
  <si>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</si>
  <si>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</si>
  <si>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</si>
  <si>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</si>
  <si>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</si>
  <si>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</si>
  <si>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</si>
  <si>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</si>
  <si>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</si>
  <si>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</si>
  <si>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</si>
  <si>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</si>
  <si>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</si>
  <si>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</si>
  <si>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</si>
  <si>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</si>
  <si>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</si>
  <si>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</si>
  <si>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</si>
  <si>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</si>
  <si>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</si>
  <si>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</si>
  <si>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</si>
  <si>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</si>
  <si>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</si>
  <si>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</si>
  <si>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</si>
  <si>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</si>
  <si>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</si>
  <si>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</si>
  <si>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</si>
  <si>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</si>
  <si>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</si>
  <si>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</si>
  <si>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</si>
  <si>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</si>
  <si>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</si>
  <si>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</si>
  <si>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</si>
  <si>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</si>
  <si>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</si>
  <si>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</si>
  <si>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</si>
  <si>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</si>
  <si>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</si>
  <si>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</si>
  <si>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</si>
  <si>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</si>
  <si>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</si>
  <si>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</si>
  <si>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</si>
  <si>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</si>
  <si>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</si>
  <si>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</si>
  <si>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</si>
  <si>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</si>
  <si>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</si>
  <si>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</si>
  <si>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</si>
  <si>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</si>
  <si>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</si>
  <si>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</si>
  <si>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</si>
  <si>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</si>
  <si>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</si>
  <si>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</si>
  <si>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</si>
  <si>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</si>
  <si>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</si>
  <si>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</si>
  <si>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</si>
  <si>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</si>
  <si>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</si>
  <si>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</si>
  <si>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</si>
  <si>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</si>
  <si>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</si>
  <si>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</si>
  <si>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</si>
  <si>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</si>
  <si>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</si>
  <si>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</si>
  <si>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</si>
  <si>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</si>
  <si>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</si>
  <si>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</si>
  <si>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</si>
  <si>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</si>
  <si>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</si>
  <si>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</si>
  <si>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</si>
  <si>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</si>
  <si>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</si>
  <si>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</si>
  <si>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</si>
  <si>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</si>
  <si>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</si>
  <si>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</si>
  <si>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</si>
  <si>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</si>
  <si>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</si>
  <si>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</si>
  <si>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</si>
  <si>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</si>
  <si>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</si>
  <si>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</si>
  <si>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</si>
  <si>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</si>
  <si>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</si>
  <si>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</si>
  <si>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</si>
  <si>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</si>
  <si>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</si>
  <si>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</si>
  <si>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</si>
  <si>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</si>
  <si>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</si>
  <si>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</si>
  <si>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</si>
  <si>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</si>
  <si>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</si>
  <si>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</si>
  <si>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</si>
  <si>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</si>
  <si>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</si>
  <si>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</si>
  <si>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</si>
  <si>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</si>
  <si>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</si>
  <si>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</si>
  <si>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</si>
  <si>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</si>
  <si>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</si>
  <si>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</si>
  <si>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</si>
  <si>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</si>
  <si>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</si>
  <si>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</si>
  <si>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</si>
  <si>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</si>
  <si>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</si>
  <si>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</si>
  <si>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</si>
  <si>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</si>
  <si>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</si>
  <si>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</si>
  <si>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</si>
  <si>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</si>
  <si>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</si>
  <si>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</si>
  <si>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</si>
  <si>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</si>
  <si>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</si>
  <si>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</si>
  <si>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</si>
  <si>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</si>
  <si>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</si>
  <si>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</si>
  <si>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</si>
  <si>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</si>
  <si>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</si>
  <si>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</si>
  <si>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</si>
  <si>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</si>
  <si>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</si>
  <si>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</si>
  <si>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</si>
  <si>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</si>
  <si>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</si>
  <si>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</si>
  <si>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</si>
  <si>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</si>
  <si>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</si>
  <si>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</si>
  <si>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</si>
  <si>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</si>
  <si>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</si>
  <si>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</si>
  <si>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</si>
  <si>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</si>
  <si>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</si>
  <si>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</si>
  <si>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</si>
  <si>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</si>
  <si>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</si>
  <si>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</si>
  <si>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</si>
  <si>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</si>
  <si>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</si>
  <si>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</si>
  <si>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</si>
  <si>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</si>
  <si>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</si>
  <si>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</si>
  <si>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</si>
  <si>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</si>
  <si>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</si>
  <si>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</si>
  <si>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</si>
  <si>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</si>
  <si>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</si>
  <si>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</si>
  <si>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</si>
  <si>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</si>
  <si>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</si>
  <si>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</si>
  <si>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</si>
  <si>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</si>
  <si>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</si>
  <si>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</si>
  <si>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</si>
  <si>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</si>
  <si>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</si>
  <si>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</si>
  <si>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</si>
  <si>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</si>
  <si>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</si>
  <si>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</si>
  <si>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</si>
  <si>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</si>
  <si>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</si>
  <si>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</si>
  <si>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</si>
  <si>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</si>
  <si>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</si>
  <si>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</si>
  <si>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</si>
  <si>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</si>
  <si>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</si>
  <si>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</si>
  <si>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</si>
  <si>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</si>
  <si>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</si>
  <si>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</si>
  <si>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</si>
  <si>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</si>
  <si>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</si>
  <si>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</si>
  <si>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</si>
  <si>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</si>
  <si>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</si>
  <si>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</si>
  <si>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</si>
  <si>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</si>
  <si>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</si>
  <si>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</si>
  <si>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</si>
  <si>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</si>
  <si>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</si>
  <si>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</si>
  <si>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</si>
  <si>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</si>
  <si>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</si>
  <si>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</si>
  <si>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</si>
  <si>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</si>
  <si>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</si>
  <si>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</si>
  <si>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</si>
  <si>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</si>
  <si>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</si>
  <si>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</si>
  <si>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</si>
  <si>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</si>
  <si>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</si>
  <si>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</si>
  <si>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</si>
  <si>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</si>
  <si>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</si>
  <si>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</si>
  <si>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</si>
  <si>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</si>
  <si>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</si>
  <si>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</si>
  <si>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</si>
  <si>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</si>
  <si>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</si>
  <si>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</si>
  <si>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</si>
  <si>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</si>
  <si>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</si>
  <si>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</si>
  <si>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</si>
  <si>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</si>
  <si>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</si>
  <si>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</si>
  <si>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</si>
  <si>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</si>
  <si>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</si>
  <si>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</si>
  <si>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</si>
  <si>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</si>
  <si>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</si>
  <si>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</si>
  <si>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</si>
  <si>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</si>
  <si>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</si>
  <si>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</si>
  <si>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</si>
  <si>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</si>
  <si>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</si>
  <si>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</si>
  <si>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</si>
  <si>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</si>
  <si>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</si>
  <si>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</si>
  <si>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</si>
  <si>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</si>
  <si>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</si>
  <si>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</si>
  <si>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</si>
  <si>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</si>
  <si>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</si>
  <si>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</si>
  <si>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</si>
  <si>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</si>
  <si>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</si>
  <si>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</si>
  <si>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</si>
  <si>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</si>
  <si>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</si>
  <si>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</si>
  <si>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</si>
  <si>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</si>
  <si>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</si>
  <si>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</si>
  <si>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</si>
  <si>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</si>
  <si>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</si>
  <si>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</si>
  <si>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</si>
  <si>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</si>
  <si>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</si>
  <si>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</si>
  <si>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</si>
  <si>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</si>
  <si>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</si>
  <si>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</si>
  <si>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</si>
  <si>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</si>
  <si>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</si>
  <si>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</si>
  <si>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</si>
  <si>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</si>
  <si>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</si>
  <si>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</si>
  <si>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</si>
  <si>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</si>
  <si>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</si>
  <si>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</si>
  <si>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</si>
  <si>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</si>
  <si>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</si>
  <si>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</si>
  <si>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11044</t>
  </si>
  <si>
    <t>STABROEK</t>
  </si>
  <si>
    <t>referentietaak LNE (2017); Jaarverslag De Lijn</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</si>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</sst>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130840.52457607698</c:v>
                </c:pt>
                <c:pt idx="1">
                  <c:v>30419.35814434163</c:v>
                </c:pt>
                <c:pt idx="2">
                  <c:v>837.15700000000004</c:v>
                </c:pt>
                <c:pt idx="3">
                  <c:v>1598.5271453758276</c:v>
                </c:pt>
                <c:pt idx="4">
                  <c:v>37899.700955512846</c:v>
                </c:pt>
                <c:pt idx="5">
                  <c:v>134310.30277039463</c:v>
                </c:pt>
                <c:pt idx="6">
                  <c:v>1575.3545043448023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130840.52457607698</c:v>
                </c:pt>
                <c:pt idx="1">
                  <c:v>30419.35814434163</c:v>
                </c:pt>
                <c:pt idx="2">
                  <c:v>837.15700000000004</c:v>
                </c:pt>
                <c:pt idx="3">
                  <c:v>1598.5271453758276</c:v>
                </c:pt>
                <c:pt idx="4">
                  <c:v>37899.700955512846</c:v>
                </c:pt>
                <c:pt idx="5">
                  <c:v>134310.30277039463</c:v>
                </c:pt>
                <c:pt idx="6">
                  <c:v>1575.3545043448023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24708.463003148579</c:v>
                </c:pt>
                <c:pt idx="1">
                  <c:v>6087.5706919685454</c:v>
                </c:pt>
                <c:pt idx="2">
                  <c:v>164.28095299296444</c:v>
                </c:pt>
                <c:pt idx="3">
                  <c:v>397.83340029439267</c:v>
                </c:pt>
                <c:pt idx="4">
                  <c:v>7685.9801988114577</c:v>
                </c:pt>
                <c:pt idx="5">
                  <c:v>33489.919227118058</c:v>
                </c:pt>
                <c:pt idx="6">
                  <c:v>398.96930576435807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24708.463003148579</c:v>
                </c:pt>
                <c:pt idx="1">
                  <c:v>6087.5706919685454</c:v>
                </c:pt>
                <c:pt idx="2">
                  <c:v>164.28095299296444</c:v>
                </c:pt>
                <c:pt idx="3">
                  <c:v>397.83340029439267</c:v>
                </c:pt>
                <c:pt idx="4">
                  <c:v>7685.9801988114577</c:v>
                </c:pt>
                <c:pt idx="5">
                  <c:v>33489.919227118058</c:v>
                </c:pt>
                <c:pt idx="6">
                  <c:v>398.96930576435807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11044</v>
      </c>
      <c r="B6" s="392"/>
      <c r="C6" s="393"/>
    </row>
    <row r="7" spans="1:7" s="390" customFormat="1" ht="15.75" customHeight="1">
      <c r="A7" s="394" t="str">
        <f>txtMunicipality</f>
        <v>STABROEK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0.19623673097515096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0.19623673097515096</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7823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1167.2</v>
      </c>
      <c r="C14" s="332"/>
      <c r="D14" s="332"/>
      <c r="E14" s="332"/>
      <c r="F14" s="332"/>
    </row>
    <row r="15" spans="1:6">
      <c r="A15" s="1310" t="s">
        <v>183</v>
      </c>
      <c r="B15" s="1311">
        <v>9</v>
      </c>
      <c r="C15" s="332"/>
      <c r="D15" s="332"/>
      <c r="E15" s="332"/>
      <c r="F15" s="332"/>
    </row>
    <row r="16" spans="1:6">
      <c r="A16" s="1310" t="s">
        <v>6</v>
      </c>
      <c r="B16" s="1311">
        <v>325</v>
      </c>
      <c r="C16" s="332"/>
      <c r="D16" s="332"/>
      <c r="E16" s="332"/>
      <c r="F16" s="332"/>
    </row>
    <row r="17" spans="1:6">
      <c r="A17" s="1310" t="s">
        <v>7</v>
      </c>
      <c r="B17" s="1311">
        <v>308</v>
      </c>
      <c r="C17" s="332"/>
      <c r="D17" s="332"/>
      <c r="E17" s="332"/>
      <c r="F17" s="332"/>
    </row>
    <row r="18" spans="1:6">
      <c r="A18" s="1310" t="s">
        <v>8</v>
      </c>
      <c r="B18" s="1311">
        <v>493</v>
      </c>
      <c r="C18" s="332"/>
      <c r="D18" s="332"/>
      <c r="E18" s="332"/>
      <c r="F18" s="332"/>
    </row>
    <row r="19" spans="1:6">
      <c r="A19" s="1310" t="s">
        <v>9</v>
      </c>
      <c r="B19" s="1311">
        <v>491</v>
      </c>
      <c r="C19" s="332"/>
      <c r="D19" s="332"/>
      <c r="E19" s="332"/>
      <c r="F19" s="332"/>
    </row>
    <row r="20" spans="1:6">
      <c r="A20" s="1310" t="s">
        <v>10</v>
      </c>
      <c r="B20" s="1311">
        <v>352</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321</v>
      </c>
      <c r="C26" s="332"/>
      <c r="D26" s="332"/>
      <c r="E26" s="332"/>
      <c r="F26" s="332"/>
    </row>
    <row r="27" spans="1:6">
      <c r="A27" s="1310" t="s">
        <v>17</v>
      </c>
      <c r="B27" s="1311">
        <v>766</v>
      </c>
      <c r="C27" s="332"/>
      <c r="D27" s="332"/>
      <c r="E27" s="332"/>
      <c r="F27" s="332"/>
    </row>
    <row r="28" spans="1:6" s="43" customFormat="1">
      <c r="A28" s="1312" t="s">
        <v>18</v>
      </c>
      <c r="B28" s="1313">
        <v>7475</v>
      </c>
      <c r="C28" s="338"/>
      <c r="D28" s="338"/>
      <c r="E28" s="338"/>
      <c r="F28" s="338"/>
    </row>
    <row r="29" spans="1:6">
      <c r="A29" s="1312" t="s">
        <v>699</v>
      </c>
      <c r="B29" s="1313">
        <v>59</v>
      </c>
      <c r="C29" s="338"/>
      <c r="D29" s="338"/>
      <c r="E29" s="338"/>
      <c r="F29" s="338"/>
    </row>
    <row r="30" spans="1:6">
      <c r="A30" s="1305" t="s">
        <v>700</v>
      </c>
      <c r="B30" s="1314">
        <v>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2470.4344787179998</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6747</v>
      </c>
      <c r="D39" s="1311">
        <v>103246627.41636208</v>
      </c>
      <c r="E39" s="1311">
        <v>7947</v>
      </c>
      <c r="F39" s="1311">
        <v>24873598.577933099</v>
      </c>
    </row>
    <row r="40" spans="1:6">
      <c r="A40" s="1310" t="s">
        <v>29</v>
      </c>
      <c r="B40" s="1310" t="s">
        <v>28</v>
      </c>
      <c r="C40" s="1311">
        <v>0</v>
      </c>
      <c r="D40" s="1311">
        <v>0</v>
      </c>
      <c r="E40" s="1311">
        <v>2</v>
      </c>
      <c r="F40" s="1311">
        <v>7914.6899706220001</v>
      </c>
    </row>
    <row r="41" spans="1:6">
      <c r="A41" s="1310" t="s">
        <v>31</v>
      </c>
      <c r="B41" s="1310" t="s">
        <v>32</v>
      </c>
      <c r="C41" s="1311">
        <v>74</v>
      </c>
      <c r="D41" s="1311">
        <v>1665774.166</v>
      </c>
      <c r="E41" s="1311">
        <v>131</v>
      </c>
      <c r="F41" s="1311">
        <v>820375.270800489</v>
      </c>
    </row>
    <row r="42" spans="1:6">
      <c r="A42" s="1310" t="s">
        <v>31</v>
      </c>
      <c r="B42" s="1310" t="s">
        <v>33</v>
      </c>
      <c r="C42" s="1311">
        <v>0</v>
      </c>
      <c r="D42" s="1311">
        <v>0</v>
      </c>
      <c r="E42" s="1311">
        <v>0</v>
      </c>
      <c r="F42" s="1311">
        <v>0</v>
      </c>
    </row>
    <row r="43" spans="1:6">
      <c r="A43" s="1310" t="s">
        <v>31</v>
      </c>
      <c r="B43" s="1310" t="s">
        <v>34</v>
      </c>
      <c r="C43" s="1311">
        <v>0</v>
      </c>
      <c r="D43" s="1311">
        <v>0</v>
      </c>
      <c r="E43" s="1311">
        <v>3</v>
      </c>
      <c r="F43" s="1311">
        <v>7073.2033220889998</v>
      </c>
    </row>
    <row r="44" spans="1:6">
      <c r="A44" s="1310" t="s">
        <v>31</v>
      </c>
      <c r="B44" s="1310" t="s">
        <v>35</v>
      </c>
      <c r="C44" s="1311">
        <v>8</v>
      </c>
      <c r="D44" s="1311">
        <v>227390.81400000001</v>
      </c>
      <c r="E44" s="1311">
        <v>17</v>
      </c>
      <c r="F44" s="1311">
        <v>189331.779697308</v>
      </c>
    </row>
    <row r="45" spans="1:6">
      <c r="A45" s="1310" t="s">
        <v>31</v>
      </c>
      <c r="B45" s="1310" t="s">
        <v>36</v>
      </c>
      <c r="C45" s="1311">
        <v>0</v>
      </c>
      <c r="D45" s="1311">
        <v>0</v>
      </c>
      <c r="E45" s="1311">
        <v>3</v>
      </c>
      <c r="F45" s="1311">
        <v>39111.675519182703</v>
      </c>
    </row>
    <row r="46" spans="1:6">
      <c r="A46" s="1310" t="s">
        <v>31</v>
      </c>
      <c r="B46" s="1310" t="s">
        <v>37</v>
      </c>
      <c r="C46" s="1311">
        <v>0</v>
      </c>
      <c r="D46" s="1311">
        <v>0</v>
      </c>
      <c r="E46" s="1311">
        <v>0</v>
      </c>
      <c r="F46" s="1311">
        <v>0</v>
      </c>
    </row>
    <row r="47" spans="1:6">
      <c r="A47" s="1310" t="s">
        <v>31</v>
      </c>
      <c r="B47" s="1310" t="s">
        <v>38</v>
      </c>
      <c r="C47" s="1311">
        <v>3</v>
      </c>
      <c r="D47" s="1311">
        <v>125167.50900000001</v>
      </c>
      <c r="E47" s="1311">
        <v>4</v>
      </c>
      <c r="F47" s="1311">
        <v>38953.348712109502</v>
      </c>
    </row>
    <row r="48" spans="1:6">
      <c r="A48" s="1310" t="s">
        <v>31</v>
      </c>
      <c r="B48" s="1310" t="s">
        <v>28</v>
      </c>
      <c r="C48" s="1311">
        <v>2</v>
      </c>
      <c r="D48" s="1311">
        <v>56986.680999999997</v>
      </c>
      <c r="E48" s="1311">
        <v>0</v>
      </c>
      <c r="F48" s="1311">
        <v>0</v>
      </c>
    </row>
    <row r="49" spans="1:6">
      <c r="A49" s="1310" t="s">
        <v>31</v>
      </c>
      <c r="B49" s="1310" t="s">
        <v>39</v>
      </c>
      <c r="C49" s="1311">
        <v>0</v>
      </c>
      <c r="D49" s="1311">
        <v>0</v>
      </c>
      <c r="E49" s="1311">
        <v>3</v>
      </c>
      <c r="F49" s="1311">
        <v>30310.276520847201</v>
      </c>
    </row>
    <row r="50" spans="1:6">
      <c r="A50" s="1310" t="s">
        <v>31</v>
      </c>
      <c r="B50" s="1310" t="s">
        <v>40</v>
      </c>
      <c r="C50" s="1311">
        <v>13</v>
      </c>
      <c r="D50" s="1311">
        <v>35445678.369999997</v>
      </c>
      <c r="E50" s="1311">
        <v>14</v>
      </c>
      <c r="F50" s="1311">
        <v>2584830.6490147798</v>
      </c>
    </row>
    <row r="51" spans="1:6">
      <c r="A51" s="1310" t="s">
        <v>41</v>
      </c>
      <c r="B51" s="1310" t="s">
        <v>42</v>
      </c>
      <c r="C51" s="1311">
        <v>12</v>
      </c>
      <c r="D51" s="1311">
        <v>237129.04199999999</v>
      </c>
      <c r="E51" s="1311">
        <v>33</v>
      </c>
      <c r="F51" s="1311">
        <v>304653.04557827499</v>
      </c>
    </row>
    <row r="52" spans="1:6">
      <c r="A52" s="1310" t="s">
        <v>41</v>
      </c>
      <c r="B52" s="1310" t="s">
        <v>28</v>
      </c>
      <c r="C52" s="1311">
        <v>0</v>
      </c>
      <c r="D52" s="1311">
        <v>0</v>
      </c>
      <c r="E52" s="1311">
        <v>0</v>
      </c>
      <c r="F52" s="1311">
        <v>0</v>
      </c>
    </row>
    <row r="53" spans="1:6">
      <c r="A53" s="1310" t="s">
        <v>43</v>
      </c>
      <c r="B53" s="1310" t="s">
        <v>44</v>
      </c>
      <c r="C53" s="1311">
        <v>98</v>
      </c>
      <c r="D53" s="1311">
        <v>1826009.868</v>
      </c>
      <c r="E53" s="1311">
        <v>255</v>
      </c>
      <c r="F53" s="1311">
        <v>481819.86232425098</v>
      </c>
    </row>
    <row r="54" spans="1:6">
      <c r="A54" s="1310" t="s">
        <v>45</v>
      </c>
      <c r="B54" s="1310" t="s">
        <v>46</v>
      </c>
      <c r="C54" s="1311">
        <v>0</v>
      </c>
      <c r="D54" s="1311">
        <v>0</v>
      </c>
      <c r="E54" s="1311">
        <v>1</v>
      </c>
      <c r="F54" s="1311">
        <v>837157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32</v>
      </c>
      <c r="D57" s="1311">
        <v>781265.93400000001</v>
      </c>
      <c r="E57" s="1311">
        <v>52</v>
      </c>
      <c r="F57" s="1311">
        <v>1008985.8087552401</v>
      </c>
    </row>
    <row r="58" spans="1:6">
      <c r="A58" s="1310" t="s">
        <v>48</v>
      </c>
      <c r="B58" s="1310" t="s">
        <v>50</v>
      </c>
      <c r="C58" s="1311">
        <v>32</v>
      </c>
      <c r="D58" s="1311">
        <v>2331728.2149999999</v>
      </c>
      <c r="E58" s="1311">
        <v>38</v>
      </c>
      <c r="F58" s="1311">
        <v>1198653.20868347</v>
      </c>
    </row>
    <row r="59" spans="1:6">
      <c r="A59" s="1310" t="s">
        <v>48</v>
      </c>
      <c r="B59" s="1310" t="s">
        <v>51</v>
      </c>
      <c r="C59" s="1311">
        <v>83</v>
      </c>
      <c r="D59" s="1311">
        <v>3317373.8459999999</v>
      </c>
      <c r="E59" s="1311">
        <v>141</v>
      </c>
      <c r="F59" s="1311">
        <v>4972758.8757773796</v>
      </c>
    </row>
    <row r="60" spans="1:6">
      <c r="A60" s="1310" t="s">
        <v>48</v>
      </c>
      <c r="B60" s="1310" t="s">
        <v>52</v>
      </c>
      <c r="C60" s="1311">
        <v>37</v>
      </c>
      <c r="D60" s="1311">
        <v>3296442.196</v>
      </c>
      <c r="E60" s="1311">
        <v>39</v>
      </c>
      <c r="F60" s="1311">
        <v>1191133.8782208699</v>
      </c>
    </row>
    <row r="61" spans="1:6">
      <c r="A61" s="1310" t="s">
        <v>48</v>
      </c>
      <c r="B61" s="1310" t="s">
        <v>53</v>
      </c>
      <c r="C61" s="1311">
        <v>153</v>
      </c>
      <c r="D61" s="1311">
        <v>4609576.085</v>
      </c>
      <c r="E61" s="1311">
        <v>317</v>
      </c>
      <c r="F61" s="1311">
        <v>2862987.0474143201</v>
      </c>
    </row>
    <row r="62" spans="1:6">
      <c r="A62" s="1310" t="s">
        <v>48</v>
      </c>
      <c r="B62" s="1310" t="s">
        <v>54</v>
      </c>
      <c r="C62" s="1311">
        <v>11</v>
      </c>
      <c r="D62" s="1311">
        <v>3516310.1460000002</v>
      </c>
      <c r="E62" s="1311">
        <v>13</v>
      </c>
      <c r="F62" s="1311">
        <v>876820.68290292099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27550.274000000001</v>
      </c>
      <c r="E65" s="1311">
        <v>0</v>
      </c>
      <c r="F65" s="1311">
        <v>0</v>
      </c>
    </row>
    <row r="66" spans="1:6">
      <c r="A66" s="1310" t="s">
        <v>55</v>
      </c>
      <c r="B66" s="1310" t="s">
        <v>57</v>
      </c>
      <c r="C66" s="1311">
        <v>0</v>
      </c>
      <c r="D66" s="1311">
        <v>0</v>
      </c>
      <c r="E66" s="1311">
        <v>8</v>
      </c>
      <c r="F66" s="1311">
        <v>92891.476103592999</v>
      </c>
    </row>
    <row r="67" spans="1:6">
      <c r="A67" s="1312" t="s">
        <v>55</v>
      </c>
      <c r="B67" s="1312" t="s">
        <v>58</v>
      </c>
      <c r="C67" s="1311">
        <v>20</v>
      </c>
      <c r="D67" s="1311">
        <v>2379502.3640000001</v>
      </c>
      <c r="E67" s="1311">
        <v>53</v>
      </c>
      <c r="F67" s="1311">
        <v>304520.93136151897</v>
      </c>
    </row>
    <row r="68" spans="1:6">
      <c r="A68" s="1305" t="s">
        <v>55</v>
      </c>
      <c r="B68" s="1305" t="s">
        <v>59</v>
      </c>
      <c r="C68" s="1314">
        <v>5</v>
      </c>
      <c r="D68" s="1314">
        <v>91777.875</v>
      </c>
      <c r="E68" s="1314">
        <v>7</v>
      </c>
      <c r="F68" s="1314">
        <v>30739.908768253801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31653547</v>
      </c>
      <c r="E73" s="453"/>
      <c r="F73" s="332"/>
    </row>
    <row r="74" spans="1:6">
      <c r="A74" s="1310" t="s">
        <v>63</v>
      </c>
      <c r="B74" s="1310" t="s">
        <v>648</v>
      </c>
      <c r="C74" s="1324" t="s">
        <v>650</v>
      </c>
      <c r="D74" s="1325">
        <v>2627160.4608700559</v>
      </c>
      <c r="E74" s="453"/>
      <c r="F74" s="332"/>
    </row>
    <row r="75" spans="1:6">
      <c r="A75" s="1310" t="s">
        <v>64</v>
      </c>
      <c r="B75" s="1310" t="s">
        <v>647</v>
      </c>
      <c r="C75" s="1324" t="s">
        <v>651</v>
      </c>
      <c r="D75" s="1325">
        <v>14818098</v>
      </c>
      <c r="E75" s="453"/>
      <c r="F75" s="332"/>
    </row>
    <row r="76" spans="1:6">
      <c r="A76" s="1310" t="s">
        <v>64</v>
      </c>
      <c r="B76" s="1310" t="s">
        <v>648</v>
      </c>
      <c r="C76" s="1324" t="s">
        <v>652</v>
      </c>
      <c r="D76" s="1325">
        <v>247636.46087005601</v>
      </c>
      <c r="E76" s="453"/>
      <c r="F76" s="332"/>
    </row>
    <row r="77" spans="1:6">
      <c r="A77" s="1310" t="s">
        <v>65</v>
      </c>
      <c r="B77" s="1310" t="s">
        <v>647</v>
      </c>
      <c r="C77" s="1324" t="s">
        <v>653</v>
      </c>
      <c r="D77" s="1325">
        <v>70579661</v>
      </c>
      <c r="E77" s="453"/>
      <c r="F77" s="332"/>
    </row>
    <row r="78" spans="1:6">
      <c r="A78" s="1305" t="s">
        <v>65</v>
      </c>
      <c r="B78" s="1305" t="s">
        <v>648</v>
      </c>
      <c r="C78" s="1305" t="s">
        <v>654</v>
      </c>
      <c r="D78" s="1326">
        <v>17260496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436965.07825988799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4459.5255688102425</v>
      </c>
      <c r="C91" s="332"/>
      <c r="D91" s="332"/>
      <c r="E91" s="332"/>
      <c r="F91" s="332"/>
    </row>
    <row r="92" spans="1:6">
      <c r="A92" s="1305" t="s">
        <v>68</v>
      </c>
      <c r="B92" s="1306">
        <v>960.39065958727235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5071</v>
      </c>
      <c r="C97" s="332"/>
      <c r="D97" s="332"/>
      <c r="E97" s="332"/>
      <c r="F97" s="332"/>
    </row>
    <row r="98" spans="1:6">
      <c r="A98" s="1310" t="s">
        <v>71</v>
      </c>
      <c r="B98" s="1311">
        <v>4</v>
      </c>
      <c r="C98" s="332"/>
      <c r="D98" s="332"/>
      <c r="E98" s="332"/>
      <c r="F98" s="332"/>
    </row>
    <row r="99" spans="1:6">
      <c r="A99" s="1310" t="s">
        <v>72</v>
      </c>
      <c r="B99" s="1311">
        <v>7</v>
      </c>
      <c r="C99" s="332"/>
      <c r="D99" s="332"/>
      <c r="E99" s="332"/>
      <c r="F99" s="332"/>
    </row>
    <row r="100" spans="1:6">
      <c r="A100" s="1310" t="s">
        <v>73</v>
      </c>
      <c r="B100" s="1311">
        <v>451</v>
      </c>
      <c r="C100" s="332"/>
      <c r="D100" s="332"/>
      <c r="E100" s="332"/>
      <c r="F100" s="332"/>
    </row>
    <row r="101" spans="1:6">
      <c r="A101" s="1310" t="s">
        <v>74</v>
      </c>
      <c r="B101" s="1311">
        <v>52</v>
      </c>
      <c r="C101" s="332"/>
      <c r="D101" s="332"/>
      <c r="E101" s="332"/>
      <c r="F101" s="332"/>
    </row>
    <row r="102" spans="1:6">
      <c r="A102" s="1310" t="s">
        <v>75</v>
      </c>
      <c r="B102" s="1311">
        <v>84</v>
      </c>
      <c r="C102" s="332"/>
      <c r="D102" s="332"/>
      <c r="E102" s="332"/>
      <c r="F102" s="332"/>
    </row>
    <row r="103" spans="1:6">
      <c r="A103" s="1310" t="s">
        <v>76</v>
      </c>
      <c r="B103" s="1311">
        <v>115</v>
      </c>
      <c r="C103" s="332"/>
      <c r="D103" s="332"/>
      <c r="E103" s="332"/>
      <c r="F103" s="332"/>
    </row>
    <row r="104" spans="1:6">
      <c r="A104" s="1310" t="s">
        <v>77</v>
      </c>
      <c r="B104" s="1311">
        <v>786</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8</v>
      </c>
      <c r="C123" s="1311">
        <v>22</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112</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47765.064149961741</v>
      </c>
      <c r="C3" s="43" t="s">
        <v>169</v>
      </c>
      <c r="D3" s="43"/>
      <c r="E3" s="154"/>
      <c r="F3" s="43"/>
      <c r="G3" s="43"/>
      <c r="H3" s="43"/>
      <c r="I3" s="43"/>
      <c r="J3" s="43"/>
      <c r="K3" s="96"/>
    </row>
    <row r="4" spans="1:11">
      <c r="A4" s="360" t="s">
        <v>170</v>
      </c>
      <c r="B4" s="49">
        <f>IF(ISERROR('SEAP template'!B78+'SEAP template'!C78),0,'SEAP template'!B78+'SEAP template'!C78)</f>
        <v>6319.9162283975147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213.88235294117646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0.19623673097515096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305.54621848739504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1285.7142857142858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837.15700000000004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837.15700000000004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0.19623673097515096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164.28095299296444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24881.513267903723</v>
      </c>
      <c r="C5" s="17">
        <f>IF(ISERROR('Eigen informatie GS &amp; warmtenet'!B59),0,'Eigen informatie GS &amp; warmtenet'!B59)</f>
        <v>0</v>
      </c>
      <c r="D5" s="30">
        <f>(SUM(HH_hh_gas_kWh,HH_rest_gas_kWh)/1000)*0.903</f>
        <v>93231.704556974961</v>
      </c>
      <c r="E5" s="17">
        <f>B46*B57</f>
        <v>519.24730355921793</v>
      </c>
      <c r="F5" s="17">
        <f>B51*B62</f>
        <v>0</v>
      </c>
      <c r="G5" s="18"/>
      <c r="H5" s="17"/>
      <c r="I5" s="17"/>
      <c r="J5" s="17">
        <f>B50*B61+C50*C61</f>
        <v>0</v>
      </c>
      <c r="K5" s="17"/>
      <c r="L5" s="17"/>
      <c r="M5" s="17"/>
      <c r="N5" s="17">
        <f>B48*B59+C48*C59</f>
        <v>7229.8684540465365</v>
      </c>
      <c r="O5" s="17">
        <f>B69*B70*B71</f>
        <v>265.85040139786224</v>
      </c>
      <c r="P5" s="17">
        <f>B77*B78*B79/1000-B77*B78*B79/1000/B80</f>
        <v>252.81502338444056</v>
      </c>
    </row>
    <row r="6" spans="1:16">
      <c r="A6" s="16" t="s">
        <v>612</v>
      </c>
      <c r="B6" s="786">
        <f>kWh_PV_kleiner_dan_10kW</f>
        <v>4459.5255688102425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29341.038836713968</v>
      </c>
      <c r="C8" s="21">
        <f>C5</f>
        <v>0</v>
      </c>
      <c r="D8" s="21">
        <f>D5</f>
        <v>93231.704556974961</v>
      </c>
      <c r="E8" s="21">
        <f>E5</f>
        <v>519.24730355921793</v>
      </c>
      <c r="F8" s="21">
        <f>F5</f>
        <v>0</v>
      </c>
      <c r="G8" s="21"/>
      <c r="H8" s="21"/>
      <c r="I8" s="21"/>
      <c r="J8" s="21">
        <f>J5</f>
        <v>0</v>
      </c>
      <c r="K8" s="21"/>
      <c r="L8" s="21">
        <f>L5</f>
        <v>0</v>
      </c>
      <c r="M8" s="21">
        <f>M5</f>
        <v>0</v>
      </c>
      <c r="N8" s="21">
        <f>N5</f>
        <v>7229.8684540465365</v>
      </c>
      <c r="O8" s="21">
        <f>O5</f>
        <v>265.85040139786224</v>
      </c>
      <c r="P8" s="21">
        <f>P5</f>
        <v>252.81502338444056</v>
      </c>
    </row>
    <row r="9" spans="1:16">
      <c r="B9" s="19"/>
      <c r="C9" s="19"/>
      <c r="D9" s="258"/>
      <c r="E9" s="19"/>
      <c r="F9" s="19"/>
      <c r="G9" s="19"/>
      <c r="H9" s="19"/>
      <c r="I9" s="19"/>
      <c r="J9" s="19"/>
      <c r="K9" s="19"/>
      <c r="L9" s="19"/>
      <c r="M9" s="19"/>
      <c r="N9" s="19"/>
      <c r="O9" s="19"/>
      <c r="P9" s="19"/>
    </row>
    <row r="10" spans="1:16">
      <c r="A10" s="24" t="s">
        <v>213</v>
      </c>
      <c r="B10" s="25">
        <f ca="1">'EF ele_warmte'!B12</f>
        <v>0.19623673097515096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5757.7895447316951</v>
      </c>
      <c r="C12" s="23">
        <f ca="1">C10*C8</f>
        <v>0</v>
      </c>
      <c r="D12" s="23">
        <f>D8*D10</f>
        <v>18832.804320508942</v>
      </c>
      <c r="E12" s="23">
        <f>E10*E8</f>
        <v>117.86913790794247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5071</v>
      </c>
      <c r="C18" s="166" t="s">
        <v>110</v>
      </c>
      <c r="D18" s="228"/>
      <c r="E18" s="15"/>
    </row>
    <row r="19" spans="1:7">
      <c r="A19" s="171" t="s">
        <v>71</v>
      </c>
      <c r="B19" s="37">
        <f>aantalw2001_ander</f>
        <v>4</v>
      </c>
      <c r="C19" s="166" t="s">
        <v>110</v>
      </c>
      <c r="D19" s="229"/>
      <c r="E19" s="15"/>
    </row>
    <row r="20" spans="1:7">
      <c r="A20" s="171" t="s">
        <v>72</v>
      </c>
      <c r="B20" s="37">
        <f>aantalw2001_propaan</f>
        <v>7</v>
      </c>
      <c r="C20" s="167">
        <f>IF(ISERROR(B20/SUM($B$20,$B$21,$B$22)*100),0,B20/SUM($B$20,$B$21,$B$22)*100)</f>
        <v>1.3725490196078431</v>
      </c>
      <c r="D20" s="229"/>
      <c r="E20" s="15"/>
    </row>
    <row r="21" spans="1:7">
      <c r="A21" s="171" t="s">
        <v>73</v>
      </c>
      <c r="B21" s="37">
        <f>aantalw2001_elektriciteit</f>
        <v>451</v>
      </c>
      <c r="C21" s="167">
        <f>IF(ISERROR(B21/SUM($B$20,$B$21,$B$22)*100),0,B21/SUM($B$20,$B$21,$B$22)*100)</f>
        <v>88.431372549019599</v>
      </c>
      <c r="D21" s="229"/>
      <c r="E21" s="15"/>
    </row>
    <row r="22" spans="1:7">
      <c r="A22" s="171" t="s">
        <v>74</v>
      </c>
      <c r="B22" s="37">
        <f>aantalw2001_hout</f>
        <v>52</v>
      </c>
      <c r="C22" s="167">
        <f>IF(ISERROR(B22/SUM($B$20,$B$21,$B$22)*100),0,B22/SUM($B$20,$B$21,$B$22)*100)</f>
        <v>10.196078431372548</v>
      </c>
      <c r="D22" s="229"/>
      <c r="E22" s="15"/>
    </row>
    <row r="23" spans="1:7">
      <c r="A23" s="171" t="s">
        <v>75</v>
      </c>
      <c r="B23" s="37">
        <f>aantalw2001_niet_gespec</f>
        <v>84</v>
      </c>
      <c r="C23" s="166" t="s">
        <v>110</v>
      </c>
      <c r="D23" s="228"/>
      <c r="E23" s="15"/>
    </row>
    <row r="24" spans="1:7">
      <c r="A24" s="171" t="s">
        <v>76</v>
      </c>
      <c r="B24" s="37">
        <f>aantalw2001_steenkool</f>
        <v>115</v>
      </c>
      <c r="C24" s="166" t="s">
        <v>110</v>
      </c>
      <c r="D24" s="229"/>
      <c r="E24" s="15"/>
    </row>
    <row r="25" spans="1:7">
      <c r="A25" s="171" t="s">
        <v>77</v>
      </c>
      <c r="B25" s="37">
        <f>aantalw2001_stookolie</f>
        <v>786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7823</v>
      </c>
      <c r="C28" s="36"/>
      <c r="D28" s="228"/>
    </row>
    <row r="29" spans="1:7" s="15" customFormat="1">
      <c r="A29" s="230" t="s">
        <v>839</v>
      </c>
      <c r="B29" s="37">
        <f>SUM(HH_hh_gas_aantal,HH_rest_gas_aantal)</f>
        <v>6747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6747</v>
      </c>
      <c r="C32" s="167">
        <f>IF(ISERROR(B32/SUM($B$32,$B$34,$B$35,$B$36,$B$38,$B$39)*100),0,B32/SUM($B$32,$B$34,$B$35,$B$36,$B$38,$B$39)*100)</f>
        <v>86.511091165534054</v>
      </c>
      <c r="D32" s="233"/>
      <c r="G32" s="15"/>
    </row>
    <row r="33" spans="1:7">
      <c r="A33" s="171" t="s">
        <v>71</v>
      </c>
      <c r="B33" s="34" t="s">
        <v>110</v>
      </c>
      <c r="C33" s="167"/>
      <c r="D33" s="233"/>
      <c r="G33" s="15"/>
    </row>
    <row r="34" spans="1:7">
      <c r="A34" s="171" t="s">
        <v>72</v>
      </c>
      <c r="B34" s="33">
        <f>IF((($B$28-$B$32-$B$39-$B$77-$B$38)*C20/100)&lt;0,0,($B$28-$B$32-$B$39-$B$77-$B$38)*C20/100)</f>
        <v>14.43921568627451</v>
      </c>
      <c r="C34" s="167">
        <f>IF(ISERROR(B34/SUM($B$32,$B$34,$B$35,$B$36,$B$38,$B$39)*100),0,B34/SUM($B$32,$B$34,$B$35,$B$36,$B$38,$B$39)*100)</f>
        <v>0.18514188596325826</v>
      </c>
      <c r="D34" s="233"/>
      <c r="G34" s="15"/>
    </row>
    <row r="35" spans="1:7">
      <c r="A35" s="171" t="s">
        <v>73</v>
      </c>
      <c r="B35" s="33">
        <f>IF((($B$28-$B$32-$B$39-$B$77-$B$38)*C21/100)&lt;0,0,($B$28-$B$32-$B$39-$B$77-$B$38)*C21/100)</f>
        <v>930.29803921568612</v>
      </c>
      <c r="C35" s="167">
        <f>IF(ISERROR(B35/SUM($B$32,$B$34,$B$35,$B$36,$B$38,$B$39)*100),0,B35/SUM($B$32,$B$34,$B$35,$B$36,$B$38,$B$39)*100)</f>
        <v>11.92842722420421</v>
      </c>
      <c r="D35" s="233"/>
      <c r="G35" s="15"/>
    </row>
    <row r="36" spans="1:7">
      <c r="A36" s="171" t="s">
        <v>74</v>
      </c>
      <c r="B36" s="33">
        <f>IF((($B$28-$B$32-$B$39-$B$77-$B$38)*C22/100)&lt;0,0,($B$28-$B$32-$B$39-$B$77-$B$38)*C22/100)</f>
        <v>107.26274509803922</v>
      </c>
      <c r="C36" s="167">
        <f>IF(ISERROR(B36/SUM($B$32,$B$34,$B$35,$B$36,$B$38,$B$39)*100),0,B36/SUM($B$32,$B$34,$B$35,$B$36,$B$38,$B$39)*100)</f>
        <v>1.3753397242984899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6747</v>
      </c>
      <c r="C44" s="34" t="s">
        <v>110</v>
      </c>
      <c r="D44" s="174"/>
    </row>
    <row r="45" spans="1:7">
      <c r="A45" s="171" t="s">
        <v>71</v>
      </c>
      <c r="B45" s="33" t="str">
        <f t="shared" si="0"/>
        <v>-</v>
      </c>
      <c r="C45" s="34" t="s">
        <v>110</v>
      </c>
      <c r="D45" s="174"/>
    </row>
    <row r="46" spans="1:7">
      <c r="A46" s="171" t="s">
        <v>72</v>
      </c>
      <c r="B46" s="33">
        <f t="shared" si="0"/>
        <v>14.43921568627451</v>
      </c>
      <c r="C46" s="34" t="s">
        <v>110</v>
      </c>
      <c r="D46" s="174"/>
    </row>
    <row r="47" spans="1:7">
      <c r="A47" s="171" t="s">
        <v>73</v>
      </c>
      <c r="B47" s="33">
        <f t="shared" si="0"/>
        <v>930.29803921568612</v>
      </c>
      <c r="C47" s="34" t="s">
        <v>110</v>
      </c>
      <c r="D47" s="174"/>
    </row>
    <row r="48" spans="1:7">
      <c r="A48" s="171" t="s">
        <v>74</v>
      </c>
      <c r="B48" s="33">
        <f t="shared" si="0"/>
        <v>107.26274509803922</v>
      </c>
      <c r="C48" s="33">
        <f>B48*10</f>
        <v>1072.6274509803923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12111.339501754201</v>
      </c>
      <c r="C5" s="17">
        <f>IF(ISERROR('Eigen informatie GS &amp; warmtenet'!B60),0,'Eigen informatie GS &amp; warmtenet'!B60)</f>
        <v>0</v>
      </c>
      <c r="D5" s="30">
        <f>SUM(D6:D12)</f>
        <v>16120.984869066</v>
      </c>
      <c r="E5" s="17">
        <f>SUM(E6:E12)</f>
        <v>32.613337114797609</v>
      </c>
      <c r="F5" s="17">
        <f>SUM(F6:F12)</f>
        <v>1674.2895950660229</v>
      </c>
      <c r="G5" s="18"/>
      <c r="H5" s="17"/>
      <c r="I5" s="17"/>
      <c r="J5" s="17">
        <f>SUM(J6:J12)</f>
        <v>9.964562337892939E-3</v>
      </c>
      <c r="K5" s="17"/>
      <c r="L5" s="17"/>
      <c r="M5" s="17"/>
      <c r="N5" s="17">
        <f>SUM(N6:N12)</f>
        <v>375.04260016528161</v>
      </c>
      <c r="O5" s="17">
        <f>B38*B39*B40</f>
        <v>0</v>
      </c>
      <c r="P5" s="17">
        <f>B46*B47*B48/1000-B46*B47*B48/1000/B49</f>
        <v>105.07827661299004</v>
      </c>
      <c r="R5" s="32"/>
    </row>
    <row r="6" spans="1:18">
      <c r="A6" s="32" t="s">
        <v>53</v>
      </c>
      <c r="B6" s="37">
        <f>B26</f>
        <v>2862.9870474143199</v>
      </c>
      <c r="C6" s="33"/>
      <c r="D6" s="37">
        <f>IF(ISERROR(TER_kantoor_gas_kWh/1000),0,TER_kantoor_gas_kWh/1000)*0.903</f>
        <v>4162.4472047549998</v>
      </c>
      <c r="E6" s="33">
        <f>$C$26*'E Balans VL '!I12/100/3.6*1000000</f>
        <v>0.68590364444904794</v>
      </c>
      <c r="F6" s="33">
        <f>$C$26*('E Balans VL '!L12+'E Balans VL '!N12)/100/3.6*1000000</f>
        <v>271.49369903818166</v>
      </c>
      <c r="G6" s="34"/>
      <c r="H6" s="33"/>
      <c r="I6" s="33"/>
      <c r="J6" s="33">
        <f>$C$26*('E Balans VL '!D12+'E Balans VL '!E12)/100/3.6*1000000</f>
        <v>0</v>
      </c>
      <c r="K6" s="33"/>
      <c r="L6" s="33"/>
      <c r="M6" s="33"/>
      <c r="N6" s="33">
        <f>$C$26*'E Balans VL '!Y12/100/3.6*1000000</f>
        <v>1.4542493358152819</v>
      </c>
      <c r="O6" s="33"/>
      <c r="P6" s="33"/>
      <c r="R6" s="32"/>
    </row>
    <row r="7" spans="1:18">
      <c r="A7" s="32" t="s">
        <v>52</v>
      </c>
      <c r="B7" s="37">
        <f t="shared" ref="B7:B12" si="0">B27</f>
        <v>1191.13387822087</v>
      </c>
      <c r="C7" s="33"/>
      <c r="D7" s="37">
        <f>IF(ISERROR(TER_horeca_gas_kWh/1000),0,TER_horeca_gas_kWh/1000)*0.903</f>
        <v>2976.6873029879998</v>
      </c>
      <c r="E7" s="33">
        <f>$C$27*'E Balans VL '!I9/100/3.6*1000000</f>
        <v>0</v>
      </c>
      <c r="F7" s="33">
        <f>$C$27*('E Balans VL '!L9+'E Balans VL '!N9)/100/3.6*1000000</f>
        <v>97.670178028450906</v>
      </c>
      <c r="G7" s="34"/>
      <c r="H7" s="33"/>
      <c r="I7" s="33"/>
      <c r="J7" s="33">
        <f>$C$27*('E Balans VL '!D9+'E Balans VL '!E9)/100/3.6*1000000</f>
        <v>0</v>
      </c>
      <c r="K7" s="33"/>
      <c r="L7" s="33"/>
      <c r="M7" s="33"/>
      <c r="N7" s="33">
        <f>$C$27*'E Balans VL '!Y9/100/3.6*1000000</f>
        <v>0.36513038992444868</v>
      </c>
      <c r="O7" s="33"/>
      <c r="P7" s="33"/>
      <c r="R7" s="32"/>
    </row>
    <row r="8" spans="1:18">
      <c r="A8" s="6" t="s">
        <v>51</v>
      </c>
      <c r="B8" s="37">
        <f t="shared" si="0"/>
        <v>4972.7588757773792</v>
      </c>
      <c r="C8" s="33"/>
      <c r="D8" s="37">
        <f>IF(ISERROR(TER_handel_gas_kWh/1000),0,TER_handel_gas_kWh/1000)*0.903</f>
        <v>2995.5885829379999</v>
      </c>
      <c r="E8" s="33">
        <f>$C$28*'E Balans VL '!I13/100/3.6*1000000</f>
        <v>17.476529571566722</v>
      </c>
      <c r="F8" s="33">
        <f>$C$28*('E Balans VL '!L13+'E Balans VL '!N13)/100/3.6*1000000</f>
        <v>454.99850689211632</v>
      </c>
      <c r="G8" s="34"/>
      <c r="H8" s="33"/>
      <c r="I8" s="33"/>
      <c r="J8" s="33">
        <f>$C$28*('E Balans VL '!D13+'E Balans VL '!E13)/100/3.6*1000000</f>
        <v>0</v>
      </c>
      <c r="K8" s="33"/>
      <c r="L8" s="33"/>
      <c r="M8" s="33"/>
      <c r="N8" s="33">
        <f>$C$28*'E Balans VL '!Y13/100/3.6*1000000</f>
        <v>1.8009191795249009</v>
      </c>
      <c r="O8" s="33"/>
      <c r="P8" s="33"/>
      <c r="R8" s="32"/>
    </row>
    <row r="9" spans="1:18">
      <c r="A9" s="32" t="s">
        <v>50</v>
      </c>
      <c r="B9" s="37">
        <f t="shared" si="0"/>
        <v>1198.65320868347</v>
      </c>
      <c r="C9" s="33"/>
      <c r="D9" s="37">
        <f>IF(ISERROR(TER_gezond_gas_kWh/1000),0,TER_gezond_gas_kWh/1000)*0.903</f>
        <v>2105.5505781449997</v>
      </c>
      <c r="E9" s="33">
        <f>$C$29*'E Balans VL '!I10/100/3.6*1000000</f>
        <v>0</v>
      </c>
      <c r="F9" s="33">
        <f>$C$29*('E Balans VL '!L10+'E Balans VL '!N10)/100/3.6*1000000</f>
        <v>146.93287257771701</v>
      </c>
      <c r="G9" s="34"/>
      <c r="H9" s="33"/>
      <c r="I9" s="33"/>
      <c r="J9" s="33">
        <f>$C$29*('E Balans VL '!D10+'E Balans VL '!E10)/100/3.6*1000000</f>
        <v>0</v>
      </c>
      <c r="K9" s="33"/>
      <c r="L9" s="33"/>
      <c r="M9" s="33"/>
      <c r="N9" s="33">
        <f>$C$29*'E Balans VL '!Y10/100/3.6*1000000</f>
        <v>8.8392321267562401</v>
      </c>
      <c r="O9" s="33"/>
      <c r="P9" s="33"/>
      <c r="R9" s="32"/>
    </row>
    <row r="10" spans="1:18">
      <c r="A10" s="32" t="s">
        <v>49</v>
      </c>
      <c r="B10" s="37">
        <f t="shared" si="0"/>
        <v>1008.9858087552401</v>
      </c>
      <c r="C10" s="33"/>
      <c r="D10" s="37">
        <f>IF(ISERROR(TER_ander_gas_kWh/1000),0,TER_ander_gas_kWh/1000)*0.903</f>
        <v>705.48313840200001</v>
      </c>
      <c r="E10" s="33">
        <f>$C$30*'E Balans VL '!I14/100/3.6*1000000</f>
        <v>14.450903898781837</v>
      </c>
      <c r="F10" s="33">
        <f>$C$30*('E Balans VL '!L14+'E Balans VL '!N14)/100/3.6*1000000</f>
        <v>600.68355915557208</v>
      </c>
      <c r="G10" s="34"/>
      <c r="H10" s="33"/>
      <c r="I10" s="33"/>
      <c r="J10" s="33">
        <f>$C$30*('E Balans VL '!D14+'E Balans VL '!E14)/100/3.6*1000000</f>
        <v>9.964562337892939E-3</v>
      </c>
      <c r="K10" s="33"/>
      <c r="L10" s="33"/>
      <c r="M10" s="33"/>
      <c r="N10" s="33">
        <f>$C$30*'E Balans VL '!Y14/100/3.6*1000000</f>
        <v>360.11404277659244</v>
      </c>
      <c r="O10" s="33"/>
      <c r="P10" s="33"/>
      <c r="R10" s="32"/>
    </row>
    <row r="11" spans="1:18">
      <c r="A11" s="32" t="s">
        <v>54</v>
      </c>
      <c r="B11" s="37">
        <f t="shared" si="0"/>
        <v>876.82068290292102</v>
      </c>
      <c r="C11" s="33"/>
      <c r="D11" s="37">
        <f>IF(ISERROR(TER_onderwijs_gas_kWh/1000),0,TER_onderwijs_gas_kWh/1000)*0.903</f>
        <v>3175.2280618380005</v>
      </c>
      <c r="E11" s="33">
        <f>$C$31*'E Balans VL '!I11/100/3.6*1000000</f>
        <v>0</v>
      </c>
      <c r="F11" s="33">
        <f>$C$31*('E Balans VL '!L11+'E Balans VL '!N11)/100/3.6*1000000</f>
        <v>102.51077937398485</v>
      </c>
      <c r="G11" s="34"/>
      <c r="H11" s="33"/>
      <c r="I11" s="33"/>
      <c r="J11" s="33">
        <f>$C$31*('E Balans VL '!D11+'E Balans VL '!E11)/100/3.6*1000000</f>
        <v>0</v>
      </c>
      <c r="K11" s="33"/>
      <c r="L11" s="33"/>
      <c r="M11" s="33"/>
      <c r="N11" s="33">
        <f>$C$31*'E Balans VL '!Y11/100/3.6*1000000</f>
        <v>2.4690263566682624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12111.339501754201</v>
      </c>
      <c r="C16" s="21">
        <f t="shared" ca="1" si="1"/>
        <v>0</v>
      </c>
      <c r="D16" s="21">
        <f t="shared" ca="1" si="1"/>
        <v>16120.984869066</v>
      </c>
      <c r="E16" s="21">
        <f t="shared" si="1"/>
        <v>32.613337114797609</v>
      </c>
      <c r="F16" s="21">
        <f t="shared" ca="1" si="1"/>
        <v>1674.2895950660229</v>
      </c>
      <c r="G16" s="21">
        <f t="shared" si="1"/>
        <v>0</v>
      </c>
      <c r="H16" s="21">
        <f t="shared" si="1"/>
        <v>0</v>
      </c>
      <c r="I16" s="21">
        <f t="shared" si="1"/>
        <v>0</v>
      </c>
      <c r="J16" s="21">
        <f t="shared" si="1"/>
        <v>9.964562337892939E-3</v>
      </c>
      <c r="K16" s="21">
        <f t="shared" si="1"/>
        <v>0</v>
      </c>
      <c r="L16" s="21">
        <f t="shared" ca="1" si="1"/>
        <v>0</v>
      </c>
      <c r="M16" s="21">
        <f t="shared" si="1"/>
        <v>0</v>
      </c>
      <c r="N16" s="21">
        <f t="shared" ca="1" si="1"/>
        <v>375.04260016528161</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0.19623673097515096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2376.6896715544581</v>
      </c>
      <c r="C20" s="23">
        <f t="shared" ref="C20:P20" ca="1" si="2">C16*C18</f>
        <v>0</v>
      </c>
      <c r="D20" s="23">
        <f t="shared" ca="1" si="2"/>
        <v>3256.4389435513322</v>
      </c>
      <c r="E20" s="23">
        <f t="shared" si="2"/>
        <v>7.4032275250590578</v>
      </c>
      <c r="F20" s="23">
        <f t="shared" ca="1" si="2"/>
        <v>447.03532188262812</v>
      </c>
      <c r="G20" s="23">
        <f t="shared" si="2"/>
        <v>0</v>
      </c>
      <c r="H20" s="23">
        <f t="shared" si="2"/>
        <v>0</v>
      </c>
      <c r="I20" s="23">
        <f t="shared" si="2"/>
        <v>0</v>
      </c>
      <c r="J20" s="23">
        <f t="shared" si="2"/>
        <v>3.5274550676141002E-3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2862.9870474143199</v>
      </c>
      <c r="C26" s="39">
        <f>IF(ISERROR(B26*3.6/1000000/'E Balans VL '!Z12*100),0,B26*3.6/1000000/'E Balans VL '!Z12*100)</f>
        <v>8.07438163106418E-2</v>
      </c>
      <c r="D26" s="237" t="s">
        <v>702</v>
      </c>
      <c r="F26" s="6"/>
    </row>
    <row r="27" spans="1:18">
      <c r="A27" s="231" t="s">
        <v>52</v>
      </c>
      <c r="B27" s="33">
        <f>IF(ISERROR(TER_horeca_ele_kWh/1000),0,TER_horeca_ele_kWh/1000)</f>
        <v>1191.13387822087</v>
      </c>
      <c r="C27" s="39">
        <f>IF(ISERROR(B27*3.6/1000000/'E Balans VL '!Z9*100),0,B27*3.6/1000000/'E Balans VL '!Z9*100)</f>
        <v>8.8307944374845487E-2</v>
      </c>
      <c r="D27" s="237" t="s">
        <v>702</v>
      </c>
      <c r="F27" s="6"/>
    </row>
    <row r="28" spans="1:18">
      <c r="A28" s="171" t="s">
        <v>51</v>
      </c>
      <c r="B28" s="33">
        <f>IF(ISERROR(TER_handel_ele_kWh/1000),0,TER_handel_ele_kWh/1000)</f>
        <v>4972.7588757773792</v>
      </c>
      <c r="C28" s="39">
        <f>IF(ISERROR(B28*3.6/1000000/'E Balans VL '!Z13*100),0,B28*3.6/1000000/'E Balans VL '!Z13*100)</f>
        <v>0.1489720327426354</v>
      </c>
      <c r="D28" s="237" t="s">
        <v>702</v>
      </c>
      <c r="F28" s="6"/>
    </row>
    <row r="29" spans="1:18">
      <c r="A29" s="231" t="s">
        <v>50</v>
      </c>
      <c r="B29" s="33">
        <f>IF(ISERROR(TER_gezond_ele_kWh/1000),0,TER_gezond_ele_kWh/1000)</f>
        <v>1198.65320868347</v>
      </c>
      <c r="C29" s="39">
        <f>IF(ISERROR(B29*3.6/1000000/'E Balans VL '!Z10*100),0,B29*3.6/1000000/'E Balans VL '!Z10*100)</f>
        <v>0.11852329908448349</v>
      </c>
      <c r="D29" s="237" t="s">
        <v>702</v>
      </c>
      <c r="F29" s="6"/>
    </row>
    <row r="30" spans="1:18">
      <c r="A30" s="231" t="s">
        <v>49</v>
      </c>
      <c r="B30" s="33">
        <f>IF(ISERROR(TER_ander_ele_kWh/1000),0,TER_ander_ele_kWh/1000)</f>
        <v>1008.9858087552401</v>
      </c>
      <c r="C30" s="39">
        <f>IF(ISERROR(B30*3.6/1000000/'E Balans VL '!Z14*100),0,B30*3.6/1000000/'E Balans VL '!Z14*100)</f>
        <v>4.0810494216626365E-2</v>
      </c>
      <c r="D30" s="237" t="s">
        <v>702</v>
      </c>
      <c r="F30" s="6"/>
    </row>
    <row r="31" spans="1:18">
      <c r="A31" s="231" t="s">
        <v>54</v>
      </c>
      <c r="B31" s="33">
        <f>IF(ISERROR(TER_onderwijs_ele_kWh/1000),0,TER_onderwijs_ele_kWh/1000)</f>
        <v>876.82068290292102</v>
      </c>
      <c r="C31" s="39">
        <f>IF(ISERROR(B31*3.6/1000000/'E Balans VL '!Z11*100),0,B31*3.6/1000000/'E Balans VL '!Z11*100)</f>
        <v>0.24090098902687013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3709.9862035868055</v>
      </c>
      <c r="C5" s="17">
        <f>IF(ISERROR('Eigen informatie GS &amp; warmtenet'!B61),0,'Eigen informatie GS &amp; warmtenet'!B61)</f>
        <v>0</v>
      </c>
      <c r="D5" s="30">
        <f>SUM(D6:D15)</f>
        <v>33881.460778619992</v>
      </c>
      <c r="E5" s="17">
        <f>SUM(E6:E15)</f>
        <v>7.8733762173585102</v>
      </c>
      <c r="F5" s="17">
        <f>SUM(F6:F15)</f>
        <v>559.22020099600638</v>
      </c>
      <c r="G5" s="18"/>
      <c r="H5" s="17"/>
      <c r="I5" s="17"/>
      <c r="J5" s="17">
        <f>SUM(J6:J15)</f>
        <v>0.16893212344627268</v>
      </c>
      <c r="K5" s="17"/>
      <c r="L5" s="17"/>
      <c r="M5" s="17"/>
      <c r="N5" s="17">
        <f>SUM(N6:N15)</f>
        <v>126.70574968352271</v>
      </c>
      <c r="O5" s="17">
        <f>B43*B44*B45</f>
        <v>0</v>
      </c>
      <c r="P5" s="17">
        <f>B51*B52*B53/1000-B51*B52*B53/1000/B54</f>
        <v>0</v>
      </c>
      <c r="R5" s="32"/>
    </row>
    <row r="6" spans="1:18">
      <c r="A6" s="6" t="s">
        <v>34</v>
      </c>
      <c r="B6" s="37">
        <f>IF( ISERROR(IND_ijzer_ele_kWh/1000),0,IND_ijzer_ele_kWh/1000)</f>
        <v>7.0732033220889994</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189.33177969730801</v>
      </c>
      <c r="C8" s="33"/>
      <c r="D8" s="37">
        <f>IF( ISERROR(IND_metaal_Gas_kWH/1000),0,IND_metaal_Gas_kWH/1000)*0.903</f>
        <v>205.333905042</v>
      </c>
      <c r="E8" s="33">
        <f>C30*'E Balans VL '!I18/100/3.6*1000000</f>
        <v>0.95464386771510279</v>
      </c>
      <c r="F8" s="33">
        <f>C30*'E Balans VL '!L18/100/3.6*1000000+C30*'E Balans VL '!N18/100/3.6*1000000</f>
        <v>12.935534079139796</v>
      </c>
      <c r="G8" s="34"/>
      <c r="H8" s="33"/>
      <c r="I8" s="33"/>
      <c r="J8" s="40">
        <f>C30*'E Balans VL '!D18/100/3.6*1000000+C30*'E Balans VL '!E18/100/3.6*1000000</f>
        <v>0.16785877291052648</v>
      </c>
      <c r="K8" s="33"/>
      <c r="L8" s="33"/>
      <c r="M8" s="33"/>
      <c r="N8" s="33">
        <f>C30*'E Balans VL '!Y18/100/3.6*1000000</f>
        <v>2.5162204757718376</v>
      </c>
      <c r="O8" s="33"/>
      <c r="P8" s="33"/>
      <c r="R8" s="32"/>
    </row>
    <row r="9" spans="1:18">
      <c r="A9" s="6" t="s">
        <v>32</v>
      </c>
      <c r="B9" s="37">
        <f t="shared" si="0"/>
        <v>820.37527080048903</v>
      </c>
      <c r="C9" s="33"/>
      <c r="D9" s="37">
        <f>IF( ISERROR(IND_andere_gas_kWh/1000),0,IND_andere_gas_kWh/1000)*0.903</f>
        <v>1504.1940718979999</v>
      </c>
      <c r="E9" s="33">
        <f>C31*'E Balans VL '!I19/100/3.6*1000000</f>
        <v>2.5860167437664106</v>
      </c>
      <c r="F9" s="33">
        <f>C31*'E Balans VL '!L19/100/3.6*1000000+C31*'E Balans VL '!N19/100/3.6*1000000</f>
        <v>502.19923685730049</v>
      </c>
      <c r="G9" s="34"/>
      <c r="H9" s="33"/>
      <c r="I9" s="33"/>
      <c r="J9" s="40">
        <f>C31*'E Balans VL '!D19/100/3.6*1000000+C31*'E Balans VL '!E19/100/3.6*1000000</f>
        <v>0</v>
      </c>
      <c r="K9" s="33"/>
      <c r="L9" s="33"/>
      <c r="M9" s="33"/>
      <c r="N9" s="33">
        <f>C31*'E Balans VL '!Y19/100/3.6*1000000</f>
        <v>34.399449027323115</v>
      </c>
      <c r="O9" s="33"/>
      <c r="P9" s="33"/>
      <c r="R9" s="32"/>
    </row>
    <row r="10" spans="1:18">
      <c r="A10" s="6" t="s">
        <v>40</v>
      </c>
      <c r="B10" s="37">
        <f t="shared" si="0"/>
        <v>2584.8306490147797</v>
      </c>
      <c r="C10" s="33"/>
      <c r="D10" s="37">
        <f>IF( ISERROR(IND_voed_gas_kWh/1000),0,IND_voed_gas_kWh/1000)*0.903</f>
        <v>32007.447568109994</v>
      </c>
      <c r="E10" s="33">
        <f>C32*'E Balans VL '!I20/100/3.6*1000000</f>
        <v>4.1194941224038386</v>
      </c>
      <c r="F10" s="33">
        <f>C32*'E Balans VL '!L20/100/3.6*1000000+C32*'E Balans VL '!N20/100/3.6*1000000</f>
        <v>41.997218781063104</v>
      </c>
      <c r="G10" s="34"/>
      <c r="H10" s="33"/>
      <c r="I10" s="33"/>
      <c r="J10" s="40">
        <f>C32*'E Balans VL '!D20/100/3.6*1000000+C32*'E Balans VL '!E20/100/3.6*1000000</f>
        <v>0</v>
      </c>
      <c r="K10" s="33"/>
      <c r="L10" s="33"/>
      <c r="M10" s="33"/>
      <c r="N10" s="33">
        <f>C32*'E Balans VL '!Y20/100/3.6*1000000</f>
        <v>81.641861501501694</v>
      </c>
      <c r="O10" s="33"/>
      <c r="P10" s="33"/>
      <c r="R10" s="32"/>
    </row>
    <row r="11" spans="1:18">
      <c r="A11" s="6" t="s">
        <v>39</v>
      </c>
      <c r="B11" s="37">
        <f t="shared" si="0"/>
        <v>30.3102765208472</v>
      </c>
      <c r="C11" s="33"/>
      <c r="D11" s="37">
        <f>IF( ISERROR(IND_textiel_gas_kWh/1000),0,IND_textiel_gas_kWh/1000)*0.903</f>
        <v>0</v>
      </c>
      <c r="E11" s="33">
        <f>C33*'E Balans VL '!I21/100/3.6*1000000</f>
        <v>4.3974672676044234E-2</v>
      </c>
      <c r="F11" s="33">
        <f>C33*'E Balans VL '!L21/100/3.6*1000000+C33*'E Balans VL '!N21/100/3.6*1000000</f>
        <v>0.59319158638581981</v>
      </c>
      <c r="G11" s="34"/>
      <c r="H11" s="33"/>
      <c r="I11" s="33"/>
      <c r="J11" s="40">
        <f>C33*'E Balans VL '!D21/100/3.6*1000000+C33*'E Balans VL '!E21/100/3.6*1000000</f>
        <v>0</v>
      </c>
      <c r="K11" s="33"/>
      <c r="L11" s="33"/>
      <c r="M11" s="33"/>
      <c r="N11" s="33">
        <f>C33*'E Balans VL '!Y21/100/3.6*1000000</f>
        <v>1.4766478816181912</v>
      </c>
      <c r="O11" s="33"/>
      <c r="P11" s="33"/>
      <c r="R11" s="32"/>
    </row>
    <row r="12" spans="1:18">
      <c r="A12" s="6" t="s">
        <v>36</v>
      </c>
      <c r="B12" s="37">
        <f t="shared" si="0"/>
        <v>39.111675519182704</v>
      </c>
      <c r="C12" s="33"/>
      <c r="D12" s="37">
        <f>IF( ISERROR(IND_min_gas_kWh/1000),0,IND_min_gas_kWh/1000)*0.903</f>
        <v>0</v>
      </c>
      <c r="E12" s="33">
        <f>C34*'E Balans VL '!I22/100/3.6*1000000</f>
        <v>0.16924681079711421</v>
      </c>
      <c r="F12" s="33">
        <f>C34*'E Balans VL '!L22/100/3.6*1000000+C34*'E Balans VL '!N22/100/3.6*1000000</f>
        <v>1.4933320519224687</v>
      </c>
      <c r="G12" s="34"/>
      <c r="H12" s="33"/>
      <c r="I12" s="33"/>
      <c r="J12" s="40">
        <f>C34*'E Balans VL '!D22/100/3.6*1000000+C34*'E Balans VL '!E22/100/3.6*1000000</f>
        <v>0</v>
      </c>
      <c r="K12" s="33"/>
      <c r="L12" s="33"/>
      <c r="M12" s="33"/>
      <c r="N12" s="33">
        <f>C34*'E Balans VL '!Y22/100/3.6*1000000</f>
        <v>6.6715707973078677</v>
      </c>
      <c r="O12" s="33"/>
      <c r="P12" s="33"/>
      <c r="R12" s="32"/>
    </row>
    <row r="13" spans="1:18">
      <c r="A13" s="6" t="s">
        <v>38</v>
      </c>
      <c r="B13" s="37">
        <f t="shared" si="0"/>
        <v>38.953348712109502</v>
      </c>
      <c r="C13" s="33"/>
      <c r="D13" s="37">
        <f>IF( ISERROR(IND_papier_gas_kWh/1000),0,IND_papier_gas_kWh/1000)*0.903</f>
        <v>113.02626062700001</v>
      </c>
      <c r="E13" s="33">
        <f>C35*'E Balans VL '!I23/100/3.6*1000000</f>
        <v>0</v>
      </c>
      <c r="F13" s="33">
        <f>C35*'E Balans VL '!L23/100/3.6*1000000+C35*'E Balans VL '!N23/100/3.6*1000000</f>
        <v>1.6876401946002513E-3</v>
      </c>
      <c r="G13" s="34"/>
      <c r="H13" s="33"/>
      <c r="I13" s="33"/>
      <c r="J13" s="40">
        <f>C35*'E Balans VL '!D23/100/3.6*1000000+C35*'E Balans VL '!E23/100/3.6*1000000</f>
        <v>1.0733505357461957E-3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51.458972942999999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900</v>
      </c>
      <c r="C16" s="247">
        <f>'lokale energieproductie'!O37+'lokale energieproductie'!O30</f>
        <v>1285.7142857142858</v>
      </c>
      <c r="D16" s="310">
        <f>('lokale energieproductie'!P30+'lokale energieproductie'!P37)*(-1)</f>
        <v>-2571.4285714285716</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4609.9862035868055</v>
      </c>
      <c r="C18" s="21">
        <f>C5+C16</f>
        <v>1285.7142857142858</v>
      </c>
      <c r="D18" s="21">
        <f>MAX((D5+D16),0)</f>
        <v>31310.03220719142</v>
      </c>
      <c r="E18" s="21">
        <f>MAX((E5+E16),0)</f>
        <v>7.8733762173585102</v>
      </c>
      <c r="F18" s="21">
        <f>MAX((F5+F16),0)</f>
        <v>559.22020099600638</v>
      </c>
      <c r="G18" s="21"/>
      <c r="H18" s="21"/>
      <c r="I18" s="21"/>
      <c r="J18" s="21">
        <f>MAX((J5+J16),0)</f>
        <v>0.16893212344627268</v>
      </c>
      <c r="K18" s="21"/>
      <c r="L18" s="21">
        <f>MAX((L5+L16),0)</f>
        <v>0</v>
      </c>
      <c r="M18" s="21"/>
      <c r="N18" s="21">
        <f>MAX((N5+N16),0)</f>
        <v>126.70574968352271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0.19623673097515096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904.64862243242146</v>
      </c>
      <c r="C22" s="23">
        <f ca="1">C18*C20</f>
        <v>305.54621848739504</v>
      </c>
      <c r="D22" s="23">
        <f>D18*D20</f>
        <v>6324.6265058526669</v>
      </c>
      <c r="E22" s="23">
        <f>E18*E20</f>
        <v>1.7872564013403818</v>
      </c>
      <c r="F22" s="23">
        <f>F18*F20</f>
        <v>149.31179366593372</v>
      </c>
      <c r="G22" s="23"/>
      <c r="H22" s="23"/>
      <c r="I22" s="23"/>
      <c r="J22" s="23">
        <f>J18*J20</f>
        <v>5.980197169998052E-2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189.33177969730801</v>
      </c>
      <c r="C30" s="39">
        <f>IF(ISERROR(B30*3.6/1000000/'E Balans VL '!Z18*100),0,B30*3.6/1000000/'E Balans VL '!Z18*100)</f>
        <v>9.3980028379143619E-3</v>
      </c>
      <c r="D30" s="237" t="s">
        <v>702</v>
      </c>
    </row>
    <row r="31" spans="1:18">
      <c r="A31" s="6" t="s">
        <v>32</v>
      </c>
      <c r="B31" s="37">
        <f>IF( ISERROR(IND_ander_ele_kWh/1000),0,IND_ander_ele_kWh/1000)</f>
        <v>820.37527080048903</v>
      </c>
      <c r="C31" s="39">
        <f>IF(ISERROR(B31*3.6/1000000/'E Balans VL '!Z19*100),0,B31*3.6/1000000/'E Balans VL '!Z19*100)</f>
        <v>2.7683461526514814E-2</v>
      </c>
      <c r="D31" s="237" t="s">
        <v>702</v>
      </c>
    </row>
    <row r="32" spans="1:18">
      <c r="A32" s="171" t="s">
        <v>40</v>
      </c>
      <c r="B32" s="37">
        <f>IF( ISERROR(IND_voed_ele_kWh/1000),0,IND_voed_ele_kWh/1000)</f>
        <v>2584.8306490147797</v>
      </c>
      <c r="C32" s="39">
        <f>IF(ISERROR(B32*3.6/1000000/'E Balans VL '!Z20*100),0,B32*3.6/1000000/'E Balans VL '!Z20*100)</f>
        <v>6.0702972220982407E-2</v>
      </c>
      <c r="D32" s="237" t="s">
        <v>702</v>
      </c>
    </row>
    <row r="33" spans="1:5">
      <c r="A33" s="171" t="s">
        <v>39</v>
      </c>
      <c r="B33" s="37">
        <f>IF( ISERROR(IND_textiel_ele_kWh/1000),0,IND_textiel_ele_kWh/1000)</f>
        <v>30.3102765208472</v>
      </c>
      <c r="C33" s="39">
        <f>IF(ISERROR(B33*3.6/1000000/'E Balans VL '!Z21*100),0,B33*3.6/1000000/'E Balans VL '!Z21*100)</f>
        <v>3.3265144281100908E-3</v>
      </c>
      <c r="D33" s="237" t="s">
        <v>702</v>
      </c>
    </row>
    <row r="34" spans="1:5">
      <c r="A34" s="171" t="s">
        <v>36</v>
      </c>
      <c r="B34" s="37">
        <f>IF( ISERROR(IND_min_ele_kWh/1000),0,IND_min_ele_kWh/1000)</f>
        <v>39.111675519182704</v>
      </c>
      <c r="C34" s="39">
        <f>IF(ISERROR(B34*3.6/1000000/'E Balans VL '!Z22*100),0,B34*3.6/1000000/'E Balans VL '!Z22*100)</f>
        <v>5.5488030740275382E-3</v>
      </c>
      <c r="D34" s="237" t="s">
        <v>702</v>
      </c>
    </row>
    <row r="35" spans="1:5">
      <c r="A35" s="171" t="s">
        <v>38</v>
      </c>
      <c r="B35" s="37">
        <f>IF( ISERROR(IND_papier_ele_kWh/1000),0,IND_papier_ele_kWh/1000)</f>
        <v>38.953348712109502</v>
      </c>
      <c r="C35" s="39">
        <f>IF(ISERROR(B35*3.6/1000000/'E Balans VL '!Z22*100),0,B35*3.6/1000000/'E Balans VL '!Z22*100)</f>
        <v>5.5263411298094268E-3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304.653045578275</v>
      </c>
      <c r="C5" s="17">
        <f>'Eigen informatie GS &amp; warmtenet'!B62</f>
        <v>0</v>
      </c>
      <c r="D5" s="30">
        <f>IF(ISERROR(SUM(LB_lb_gas_kWh,LB_rest_gas_kWh)/1000),0,SUM(LB_lb_gas_kWh,LB_rest_gas_kWh)/1000)*0.903</f>
        <v>214.12752492600001</v>
      </c>
      <c r="E5" s="17">
        <f>B17*'E Balans VL '!I25/3.6*1000000/100</f>
        <v>11.361443936804825</v>
      </c>
      <c r="F5" s="17">
        <f>B17*('E Balans VL '!L25/3.6*1000000+'E Balans VL '!N25/3.6*1000000)/100</f>
        <v>988.41220242665656</v>
      </c>
      <c r="G5" s="18"/>
      <c r="H5" s="17"/>
      <c r="I5" s="17"/>
      <c r="J5" s="17">
        <f>('E Balans VL '!D25+'E Balans VL '!E25)/3.6*1000000*landbouw!B17/100</f>
        <v>79.972928508091186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304.653045578275</v>
      </c>
      <c r="C8" s="21">
        <f>C5+C6</f>
        <v>0</v>
      </c>
      <c r="D8" s="21">
        <f>MAX((D5+D6),0)</f>
        <v>214.12752492600001</v>
      </c>
      <c r="E8" s="21">
        <f>MAX((E5+E6),0)</f>
        <v>11.361443936804825</v>
      </c>
      <c r="F8" s="21">
        <f>MAX((F5+F6),0)</f>
        <v>988.41220242665656</v>
      </c>
      <c r="G8" s="21"/>
      <c r="H8" s="21"/>
      <c r="I8" s="21"/>
      <c r="J8" s="21">
        <f>MAX((J5+J6),0)</f>
        <v>79.972928508091186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0.19623673097515096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59.784117745904354</v>
      </c>
      <c r="C12" s="23">
        <f ca="1">C8*C10</f>
        <v>0</v>
      </c>
      <c r="D12" s="23">
        <f>D8*D10</f>
        <v>43.253760035052004</v>
      </c>
      <c r="E12" s="23">
        <f>E8*E10</f>
        <v>2.5790477736546955</v>
      </c>
      <c r="F12" s="23">
        <f>F8*F10</f>
        <v>263.90605804791733</v>
      </c>
      <c r="G12" s="23"/>
      <c r="H12" s="23"/>
      <c r="I12" s="23"/>
      <c r="J12" s="23">
        <f>J8*J10</f>
        <v>28.31041669186428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4.1843300812462014E-2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143.47382860774277</v>
      </c>
      <c r="C26" s="247">
        <f>B26*'GWP N2O_CH4'!B5</f>
        <v>3012.9504007625983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18.355121381158099</v>
      </c>
      <c r="C27" s="247">
        <f>B27*'GWP N2O_CH4'!B5</f>
        <v>385.45754900432007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1.8493142628901567</v>
      </c>
      <c r="C28" s="247">
        <f>B28*'GWP N2O_CH4'!B4</f>
        <v>573.28742149594859</v>
      </c>
      <c r="D28" s="50"/>
    </row>
    <row r="29" spans="1:4">
      <c r="A29" s="41" t="s">
        <v>276</v>
      </c>
      <c r="B29" s="247">
        <f>B34*'ha_N2O bodem landbouw'!B4</f>
        <v>7.5771003951902127</v>
      </c>
      <c r="C29" s="247">
        <f>B29*'GWP N2O_CH4'!B4</f>
        <v>2348.9011225089657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1.7268428188371449E-3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2.846509200152697E-4</v>
      </c>
      <c r="C5" s="440" t="s">
        <v>210</v>
      </c>
      <c r="D5" s="425">
        <f>SUM(D6:D11)</f>
        <v>1.1210933696956214E-3</v>
      </c>
      <c r="E5" s="425">
        <f>SUM(E6:E11)</f>
        <v>6.8657931850431742E-4</v>
      </c>
      <c r="F5" s="438" t="s">
        <v>210</v>
      </c>
      <c r="G5" s="425">
        <f>SUM(G6:G11)</f>
        <v>0.38157737503534128</v>
      </c>
      <c r="H5" s="425">
        <f>SUM(H6:H11)</f>
        <v>7.3270589362237001E-2</v>
      </c>
      <c r="I5" s="440" t="s">
        <v>210</v>
      </c>
      <c r="J5" s="440" t="s">
        <v>210</v>
      </c>
      <c r="K5" s="440" t="s">
        <v>210</v>
      </c>
      <c r="L5" s="440" t="s">
        <v>210</v>
      </c>
      <c r="M5" s="425">
        <f>SUM(M6:M11)</f>
        <v>2.6576801967627132E-2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7.6976597555405158E-5</v>
      </c>
      <c r="C6" s="426"/>
      <c r="D6" s="893">
        <f>vkm_GW_PW*SUMIFS(TableVerdeelsleutelVkm[CNG],TableVerdeelsleutelVkm[Voertuigtype],"Lichte voertuigen")*SUMIFS(TableECFTransport[EnergieConsumptieFactor (PJ per km)],TableECFTransport[Index],CONCATENATE($A6,"_CNG_CNG"))</f>
        <v>2.7801597943154341E-4</v>
      </c>
      <c r="E6" s="893">
        <f>vkm_GW_PW*SUMIFS(TableVerdeelsleutelVkm[LPG],TableVerdeelsleutelVkm[Voertuigtype],"Lichte voertuigen")*SUMIFS(TableECFTransport[EnergieConsumptieFactor (PJ per km)],TableECFTransport[Index],CONCATENATE($A6,"_LPG_LPG"))</f>
        <v>1.5109454851834251E-4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4.7019692553673588E-2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1.7795065698274243E-2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3.8843380564118363E-3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2.5096749955626708E-2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2.6420711562370956E-7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1.4129863325185298E-3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3.60353538351501E-5</v>
      </c>
      <c r="C8" s="426"/>
      <c r="D8" s="428">
        <f>vkm_NGW_PW*SUMIFS(TableVerdeelsleutelVkm[CNG],TableVerdeelsleutelVkm[Voertuigtype],"Lichte voertuigen")*SUMIFS(TableECFTransport[EnergieConsumptieFactor (PJ per km)],TableECFTransport[Index],CONCATENATE($A8,"_CNG_CNG"))</f>
        <v>2.2061053281340572E-4</v>
      </c>
      <c r="E8" s="428">
        <f>vkm_NGW_PW*SUMIFS(TableVerdeelsleutelVkm[LPG],TableVerdeelsleutelVkm[Voertuigtype],"Lichte voertuigen")*SUMIFS(TableECFTransport[EnergieConsumptieFactor (PJ per km)],TableECFTransport[Index],CONCATENATE($A8,"_LPG_LPG"))</f>
        <v>1.1393338910415038E-4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3.2995137604447174E-2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1.3905716399020947E-2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2.8243613379867593E-3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2.8515097671448996E-3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4.3601838358538707E-8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1.6054541055529674E-4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1.7163896862471445E-4</v>
      </c>
      <c r="C10" s="426"/>
      <c r="D10" s="428">
        <f>vkm_SW_PW*SUMIFS(TableVerdeelsleutelVkm[CNG],TableVerdeelsleutelVkm[Voertuigtype],"Lichte voertuigen")*SUMIFS(TableECFTransport[EnergieConsumptieFactor (PJ per km)],TableECFTransport[Index],CONCATENATE($A10,"_CNG_CNG"))</f>
        <v>6.2246685745067222E-4</v>
      </c>
      <c r="E10" s="428">
        <f>vkm_SW_PW*SUMIFS(TableVerdeelsleutelVkm[LPG],TableVerdeelsleutelVkm[Voertuigtype],"Lichte voertuigen")*SUMIFS(TableECFTransport[EnergieConsumptieFactor (PJ per km)],TableECFTransport[Index],CONCATENATE($A10,"_LPG_LPG"))</f>
        <v>4.2155138088182444E-4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0.11657619953092936</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4.1567748661357339E-2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9.4530738517807529E-3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0.15703808562351959</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1.7507946304881868E-6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8.841496978373959E-3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79.069700004241582</v>
      </c>
      <c r="C14" s="21"/>
      <c r="D14" s="21">
        <f t="shared" ref="D14:M14" si="0">((D5)*10^9/3600)+D12</f>
        <v>311.41482491545042</v>
      </c>
      <c r="E14" s="21">
        <f t="shared" si="0"/>
        <v>190.7164773623104</v>
      </c>
      <c r="F14" s="21"/>
      <c r="G14" s="21">
        <f t="shared" si="0"/>
        <v>105993.71528759479</v>
      </c>
      <c r="H14" s="21">
        <f t="shared" si="0"/>
        <v>20352.941489510278</v>
      </c>
      <c r="I14" s="21"/>
      <c r="J14" s="21"/>
      <c r="K14" s="21"/>
      <c r="L14" s="21"/>
      <c r="M14" s="21">
        <f t="shared" si="0"/>
        <v>7382.4449910075364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0.19623673097515096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15.516379448018247</v>
      </c>
      <c r="C18" s="23"/>
      <c r="D18" s="23">
        <f t="shared" ref="D18:M18" si="1">D14*D16</f>
        <v>62.905794632920987</v>
      </c>
      <c r="E18" s="23">
        <f t="shared" si="1"/>
        <v>43.292640361244459</v>
      </c>
      <c r="F18" s="23"/>
      <c r="G18" s="23">
        <f t="shared" si="1"/>
        <v>28300.321981787813</v>
      </c>
      <c r="H18" s="23">
        <f t="shared" si="1"/>
        <v>5067.8824308880594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5.3793614260362879E-3</v>
      </c>
      <c r="H50" s="321">
        <f t="shared" si="2"/>
        <v>0</v>
      </c>
      <c r="I50" s="321">
        <f t="shared" si="2"/>
        <v>0</v>
      </c>
      <c r="J50" s="321">
        <f t="shared" si="2"/>
        <v>0</v>
      </c>
      <c r="K50" s="321">
        <f t="shared" si="2"/>
        <v>0</v>
      </c>
      <c r="L50" s="321">
        <f t="shared" si="2"/>
        <v>0</v>
      </c>
      <c r="M50" s="321">
        <f t="shared" si="2"/>
        <v>2.9191478960500014E-4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5.3793614260362879E-3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2.9191478960500014E-4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1494.2670627878579</v>
      </c>
      <c r="H54" s="21">
        <f t="shared" si="3"/>
        <v>0</v>
      </c>
      <c r="I54" s="21">
        <f t="shared" si="3"/>
        <v>0</v>
      </c>
      <c r="J54" s="21">
        <f t="shared" si="3"/>
        <v>0</v>
      </c>
      <c r="K54" s="21">
        <f t="shared" si="3"/>
        <v>0</v>
      </c>
      <c r="L54" s="21">
        <f t="shared" si="3"/>
        <v>0</v>
      </c>
      <c r="M54" s="21">
        <f t="shared" si="3"/>
        <v>81.087441556944469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0.19623673097515096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398.96930576435807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12948.4965017542</v>
      </c>
      <c r="D10" s="689">
        <f ca="1">tertiair!C16</f>
        <v>0</v>
      </c>
      <c r="E10" s="689">
        <f ca="1">tertiair!D16</f>
        <v>16120.984869066</v>
      </c>
      <c r="F10" s="689">
        <f>tertiair!E16</f>
        <v>32.613337114797609</v>
      </c>
      <c r="G10" s="689">
        <f ca="1">tertiair!F16</f>
        <v>1674.2895950660229</v>
      </c>
      <c r="H10" s="689">
        <f>tertiair!G16</f>
        <v>0</v>
      </c>
      <c r="I10" s="689">
        <f>tertiair!H16</f>
        <v>0</v>
      </c>
      <c r="J10" s="689">
        <f>tertiair!I16</f>
        <v>0</v>
      </c>
      <c r="K10" s="689">
        <f>tertiair!J16</f>
        <v>9.964562337892939E-3</v>
      </c>
      <c r="L10" s="689">
        <f>tertiair!K16</f>
        <v>0</v>
      </c>
      <c r="M10" s="689">
        <f ca="1">tertiair!L16</f>
        <v>0</v>
      </c>
      <c r="N10" s="689">
        <f>tertiair!M16</f>
        <v>0</v>
      </c>
      <c r="O10" s="689">
        <f ca="1">tertiair!N16</f>
        <v>375.04260016528161</v>
      </c>
      <c r="P10" s="689">
        <f>tertiair!O16</f>
        <v>0</v>
      </c>
      <c r="Q10" s="690">
        <f>tertiair!P16</f>
        <v>105.07827661299004</v>
      </c>
      <c r="R10" s="692">
        <f ca="1">SUM(C10:Q10)</f>
        <v>31256.515144341629</v>
      </c>
      <c r="S10" s="67"/>
    </row>
    <row r="11" spans="1:19" s="451" customFormat="1">
      <c r="A11" s="811" t="s">
        <v>224</v>
      </c>
      <c r="B11" s="816"/>
      <c r="C11" s="689">
        <f>huishoudens!B8</f>
        <v>29341.038836713968</v>
      </c>
      <c r="D11" s="689">
        <f>huishoudens!C8</f>
        <v>0</v>
      </c>
      <c r="E11" s="689">
        <f>huishoudens!D8</f>
        <v>93231.704556974961</v>
      </c>
      <c r="F11" s="689">
        <f>huishoudens!E8</f>
        <v>519.24730355921793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7229.8684540465365</v>
      </c>
      <c r="P11" s="689">
        <f>huishoudens!O8</f>
        <v>265.85040139786224</v>
      </c>
      <c r="Q11" s="690">
        <f>huishoudens!P8</f>
        <v>252.81502338444056</v>
      </c>
      <c r="R11" s="692">
        <f>SUM(C11:Q11)</f>
        <v>130840.52457607698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4609.9862035868055</v>
      </c>
      <c r="D13" s="689">
        <f>industrie!C18</f>
        <v>1285.7142857142858</v>
      </c>
      <c r="E13" s="689">
        <f>industrie!D18</f>
        <v>31310.03220719142</v>
      </c>
      <c r="F13" s="689">
        <f>industrie!E18</f>
        <v>7.8733762173585102</v>
      </c>
      <c r="G13" s="689">
        <f>industrie!F18</f>
        <v>559.22020099600638</v>
      </c>
      <c r="H13" s="689">
        <f>industrie!G18</f>
        <v>0</v>
      </c>
      <c r="I13" s="689">
        <f>industrie!H18</f>
        <v>0</v>
      </c>
      <c r="J13" s="689">
        <f>industrie!I18</f>
        <v>0</v>
      </c>
      <c r="K13" s="689">
        <f>industrie!J18</f>
        <v>0.16893212344627268</v>
      </c>
      <c r="L13" s="689">
        <f>industrie!K18</f>
        <v>0</v>
      </c>
      <c r="M13" s="689">
        <f>industrie!L18</f>
        <v>0</v>
      </c>
      <c r="N13" s="689">
        <f>industrie!M18</f>
        <v>0</v>
      </c>
      <c r="O13" s="689">
        <f>industrie!N18</f>
        <v>126.70574968352271</v>
      </c>
      <c r="P13" s="689">
        <f>industrie!O18</f>
        <v>0</v>
      </c>
      <c r="Q13" s="690">
        <f>industrie!P18</f>
        <v>0</v>
      </c>
      <c r="R13" s="692">
        <f>SUM(C13:Q13)</f>
        <v>37899.700955512846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46899.521542054972</v>
      </c>
      <c r="D16" s="725">
        <f t="shared" ref="D16:R16" ca="1" si="0">SUM(D9:D15)</f>
        <v>1285.7142857142858</v>
      </c>
      <c r="E16" s="725">
        <f t="shared" ca="1" si="0"/>
        <v>140662.72163323237</v>
      </c>
      <c r="F16" s="725">
        <f t="shared" si="0"/>
        <v>559.73401689137404</v>
      </c>
      <c r="G16" s="725">
        <f t="shared" ca="1" si="0"/>
        <v>2233.5097960620292</v>
      </c>
      <c r="H16" s="725">
        <f t="shared" si="0"/>
        <v>0</v>
      </c>
      <c r="I16" s="725">
        <f t="shared" si="0"/>
        <v>0</v>
      </c>
      <c r="J16" s="725">
        <f t="shared" si="0"/>
        <v>0</v>
      </c>
      <c r="K16" s="725">
        <f t="shared" si="0"/>
        <v>0.17889668578416562</v>
      </c>
      <c r="L16" s="725">
        <f t="shared" si="0"/>
        <v>0</v>
      </c>
      <c r="M16" s="725">
        <f t="shared" ca="1" si="0"/>
        <v>0</v>
      </c>
      <c r="N16" s="725">
        <f t="shared" si="0"/>
        <v>0</v>
      </c>
      <c r="O16" s="725">
        <f t="shared" ca="1" si="0"/>
        <v>7731.6168038953401</v>
      </c>
      <c r="P16" s="725">
        <f t="shared" si="0"/>
        <v>265.85040139786224</v>
      </c>
      <c r="Q16" s="725">
        <f t="shared" si="0"/>
        <v>357.89329999743063</v>
      </c>
      <c r="R16" s="725">
        <f t="shared" ca="1" si="0"/>
        <v>199996.74067593145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1494.2670627878579</v>
      </c>
      <c r="I19" s="689">
        <f>transport!H54</f>
        <v>0</v>
      </c>
      <c r="J19" s="689">
        <f>transport!I54</f>
        <v>0</v>
      </c>
      <c r="K19" s="689">
        <f>transport!J54</f>
        <v>0</v>
      </c>
      <c r="L19" s="689">
        <f>transport!K54</f>
        <v>0</v>
      </c>
      <c r="M19" s="689">
        <f>transport!L54</f>
        <v>0</v>
      </c>
      <c r="N19" s="689">
        <f>transport!M54</f>
        <v>81.087441556944469</v>
      </c>
      <c r="O19" s="689">
        <f>transport!N54</f>
        <v>0</v>
      </c>
      <c r="P19" s="689">
        <f>transport!O54</f>
        <v>0</v>
      </c>
      <c r="Q19" s="690">
        <f>transport!P54</f>
        <v>0</v>
      </c>
      <c r="R19" s="692">
        <f>SUM(C19:Q19)</f>
        <v>1575.3545043448023</v>
      </c>
      <c r="S19" s="67"/>
    </row>
    <row r="20" spans="1:19" s="451" customFormat="1">
      <c r="A20" s="811" t="s">
        <v>306</v>
      </c>
      <c r="B20" s="816"/>
      <c r="C20" s="689">
        <f>transport!B14</f>
        <v>79.069700004241582</v>
      </c>
      <c r="D20" s="689">
        <f>transport!C14</f>
        <v>0</v>
      </c>
      <c r="E20" s="689">
        <f>transport!D14</f>
        <v>311.41482491545042</v>
      </c>
      <c r="F20" s="689">
        <f>transport!E14</f>
        <v>190.7164773623104</v>
      </c>
      <c r="G20" s="689">
        <f>transport!F14</f>
        <v>0</v>
      </c>
      <c r="H20" s="689">
        <f>transport!G14</f>
        <v>105993.71528759479</v>
      </c>
      <c r="I20" s="689">
        <f>transport!H14</f>
        <v>20352.941489510278</v>
      </c>
      <c r="J20" s="689">
        <f>transport!I14</f>
        <v>0</v>
      </c>
      <c r="K20" s="689">
        <f>transport!J14</f>
        <v>0</v>
      </c>
      <c r="L20" s="689">
        <f>transport!K14</f>
        <v>0</v>
      </c>
      <c r="M20" s="689">
        <f>transport!L14</f>
        <v>0</v>
      </c>
      <c r="N20" s="689">
        <f>transport!M14</f>
        <v>7382.4449910075364</v>
      </c>
      <c r="O20" s="689">
        <f>transport!N14</f>
        <v>0</v>
      </c>
      <c r="P20" s="689">
        <f>transport!O14</f>
        <v>0</v>
      </c>
      <c r="Q20" s="690">
        <f>transport!P14</f>
        <v>0</v>
      </c>
      <c r="R20" s="692">
        <f>SUM(C20:Q20)</f>
        <v>134310.30277039463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79.069700004241582</v>
      </c>
      <c r="D22" s="814">
        <f t="shared" ref="D22:R22" si="1">SUM(D18:D21)</f>
        <v>0</v>
      </c>
      <c r="E22" s="814">
        <f t="shared" si="1"/>
        <v>311.41482491545042</v>
      </c>
      <c r="F22" s="814">
        <f t="shared" si="1"/>
        <v>190.7164773623104</v>
      </c>
      <c r="G22" s="814">
        <f t="shared" si="1"/>
        <v>0</v>
      </c>
      <c r="H22" s="814">
        <f t="shared" si="1"/>
        <v>107487.98235038265</v>
      </c>
      <c r="I22" s="814">
        <f t="shared" si="1"/>
        <v>20352.941489510278</v>
      </c>
      <c r="J22" s="814">
        <f t="shared" si="1"/>
        <v>0</v>
      </c>
      <c r="K22" s="814">
        <f t="shared" si="1"/>
        <v>0</v>
      </c>
      <c r="L22" s="814">
        <f t="shared" si="1"/>
        <v>0</v>
      </c>
      <c r="M22" s="814">
        <f t="shared" si="1"/>
        <v>0</v>
      </c>
      <c r="N22" s="814">
        <f t="shared" si="1"/>
        <v>7463.5324325644806</v>
      </c>
      <c r="O22" s="814">
        <f t="shared" si="1"/>
        <v>0</v>
      </c>
      <c r="P22" s="814">
        <f t="shared" si="1"/>
        <v>0</v>
      </c>
      <c r="Q22" s="814">
        <f t="shared" si="1"/>
        <v>0</v>
      </c>
      <c r="R22" s="814">
        <f t="shared" si="1"/>
        <v>135885.65727473944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304.653045578275</v>
      </c>
      <c r="D24" s="689">
        <f>+landbouw!C8</f>
        <v>0</v>
      </c>
      <c r="E24" s="689">
        <f>+landbouw!D8</f>
        <v>214.12752492600001</v>
      </c>
      <c r="F24" s="689">
        <f>+landbouw!E8</f>
        <v>11.361443936804825</v>
      </c>
      <c r="G24" s="689">
        <f>+landbouw!F8</f>
        <v>988.41220242665656</v>
      </c>
      <c r="H24" s="689">
        <f>+landbouw!G8</f>
        <v>0</v>
      </c>
      <c r="I24" s="689">
        <f>+landbouw!H8</f>
        <v>0</v>
      </c>
      <c r="J24" s="689">
        <f>+landbouw!I8</f>
        <v>0</v>
      </c>
      <c r="K24" s="689">
        <f>+landbouw!J8</f>
        <v>79.972928508091186</v>
      </c>
      <c r="L24" s="689">
        <f>+landbouw!K8</f>
        <v>0</v>
      </c>
      <c r="M24" s="689">
        <f>+landbouw!L8</f>
        <v>0</v>
      </c>
      <c r="N24" s="689">
        <f>+landbouw!M8</f>
        <v>0</v>
      </c>
      <c r="O24" s="689">
        <f>+landbouw!N8</f>
        <v>0</v>
      </c>
      <c r="P24" s="689">
        <f>+landbouw!O8</f>
        <v>0</v>
      </c>
      <c r="Q24" s="690">
        <f>+landbouw!P8</f>
        <v>0</v>
      </c>
      <c r="R24" s="692">
        <f>SUM(C24:Q24)</f>
        <v>1598.5271453758276</v>
      </c>
      <c r="S24" s="67"/>
    </row>
    <row r="25" spans="1:19" s="451" customFormat="1" ht="15" thickBot="1">
      <c r="A25" s="833" t="s">
        <v>714</v>
      </c>
      <c r="B25" s="947"/>
      <c r="C25" s="948">
        <f>IF(Onbekend_ele_kWh="---",0,Onbekend_ele_kWh)/1000+IF(REST_rest_ele_kWh="---",0,REST_rest_ele_kWh)/1000</f>
        <v>481.81986232425101</v>
      </c>
      <c r="D25" s="948"/>
      <c r="E25" s="948">
        <f>IF(onbekend_gas_kWh="---",0,onbekend_gas_kWh)/1000+IF(REST_rest_gas_kWh="---",0,REST_rest_gas_kWh)/1000</f>
        <v>1826.0098680000001</v>
      </c>
      <c r="F25" s="948"/>
      <c r="G25" s="948"/>
      <c r="H25" s="948"/>
      <c r="I25" s="948"/>
      <c r="J25" s="948"/>
      <c r="K25" s="948"/>
      <c r="L25" s="948"/>
      <c r="M25" s="948"/>
      <c r="N25" s="948"/>
      <c r="O25" s="948"/>
      <c r="P25" s="948"/>
      <c r="Q25" s="949"/>
      <c r="R25" s="692">
        <f>SUM(C25:Q25)</f>
        <v>2307.8297303242512</v>
      </c>
      <c r="S25" s="67"/>
    </row>
    <row r="26" spans="1:19" s="451" customFormat="1" ht="15.75" thickBot="1">
      <c r="A26" s="697" t="s">
        <v>715</v>
      </c>
      <c r="B26" s="819"/>
      <c r="C26" s="814">
        <f>SUM(C24:C25)</f>
        <v>786.472907902526</v>
      </c>
      <c r="D26" s="814">
        <f t="shared" ref="D26:R26" si="2">SUM(D24:D25)</f>
        <v>0</v>
      </c>
      <c r="E26" s="814">
        <f t="shared" si="2"/>
        <v>2040.1373929260001</v>
      </c>
      <c r="F26" s="814">
        <f t="shared" si="2"/>
        <v>11.361443936804825</v>
      </c>
      <c r="G26" s="814">
        <f t="shared" si="2"/>
        <v>988.41220242665656</v>
      </c>
      <c r="H26" s="814">
        <f t="shared" si="2"/>
        <v>0</v>
      </c>
      <c r="I26" s="814">
        <f t="shared" si="2"/>
        <v>0</v>
      </c>
      <c r="J26" s="814">
        <f t="shared" si="2"/>
        <v>0</v>
      </c>
      <c r="K26" s="814">
        <f t="shared" si="2"/>
        <v>79.972928508091186</v>
      </c>
      <c r="L26" s="814">
        <f t="shared" si="2"/>
        <v>0</v>
      </c>
      <c r="M26" s="814">
        <f t="shared" si="2"/>
        <v>0</v>
      </c>
      <c r="N26" s="814">
        <f t="shared" si="2"/>
        <v>0</v>
      </c>
      <c r="O26" s="814">
        <f t="shared" si="2"/>
        <v>0</v>
      </c>
      <c r="P26" s="814">
        <f t="shared" si="2"/>
        <v>0</v>
      </c>
      <c r="Q26" s="814">
        <f t="shared" si="2"/>
        <v>0</v>
      </c>
      <c r="R26" s="814">
        <f t="shared" si="2"/>
        <v>3906.3568757000785</v>
      </c>
      <c r="S26" s="67"/>
    </row>
    <row r="27" spans="1:19" s="451" customFormat="1" ht="17.25" thickTop="1" thickBot="1">
      <c r="A27" s="698" t="s">
        <v>115</v>
      </c>
      <c r="B27" s="806"/>
      <c r="C27" s="699">
        <f ca="1">C22+C16+C26</f>
        <v>47765.064149961741</v>
      </c>
      <c r="D27" s="699">
        <f t="shared" ref="D27:R27" ca="1" si="3">D22+D16+D26</f>
        <v>1285.7142857142858</v>
      </c>
      <c r="E27" s="699">
        <f t="shared" ca="1" si="3"/>
        <v>143014.27385107381</v>
      </c>
      <c r="F27" s="699">
        <f t="shared" si="3"/>
        <v>761.81193819048917</v>
      </c>
      <c r="G27" s="699">
        <f t="shared" ca="1" si="3"/>
        <v>3221.9219984886859</v>
      </c>
      <c r="H27" s="699">
        <f t="shared" si="3"/>
        <v>107487.98235038265</v>
      </c>
      <c r="I27" s="699">
        <f t="shared" si="3"/>
        <v>20352.941489510278</v>
      </c>
      <c r="J27" s="699">
        <f t="shared" si="3"/>
        <v>0</v>
      </c>
      <c r="K27" s="699">
        <f t="shared" si="3"/>
        <v>80.151825193875354</v>
      </c>
      <c r="L27" s="699">
        <f t="shared" si="3"/>
        <v>0</v>
      </c>
      <c r="M27" s="699">
        <f t="shared" ca="1" si="3"/>
        <v>0</v>
      </c>
      <c r="N27" s="699">
        <f t="shared" si="3"/>
        <v>7463.5324325644806</v>
      </c>
      <c r="O27" s="699">
        <f t="shared" ca="1" si="3"/>
        <v>7731.6168038953401</v>
      </c>
      <c r="P27" s="699">
        <f t="shared" si="3"/>
        <v>265.85040139786224</v>
      </c>
      <c r="Q27" s="699">
        <f t="shared" si="3"/>
        <v>357.89329999743063</v>
      </c>
      <c r="R27" s="699">
        <f t="shared" ca="1" si="3"/>
        <v>339788.75482637098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2540.9706245474226</v>
      </c>
      <c r="D40" s="689">
        <f ca="1">tertiair!C20</f>
        <v>0</v>
      </c>
      <c r="E40" s="689">
        <f ca="1">tertiair!D20</f>
        <v>3256.4389435513322</v>
      </c>
      <c r="F40" s="689">
        <f>tertiair!E20</f>
        <v>7.4032275250590578</v>
      </c>
      <c r="G40" s="689">
        <f ca="1">tertiair!F20</f>
        <v>447.03532188262812</v>
      </c>
      <c r="H40" s="689">
        <f>tertiair!G20</f>
        <v>0</v>
      </c>
      <c r="I40" s="689">
        <f>tertiair!H20</f>
        <v>0</v>
      </c>
      <c r="J40" s="689">
        <f>tertiair!I20</f>
        <v>0</v>
      </c>
      <c r="K40" s="689">
        <f>tertiair!J20</f>
        <v>3.5274550676141002E-3</v>
      </c>
      <c r="L40" s="689">
        <f>tertiair!K20</f>
        <v>0</v>
      </c>
      <c r="M40" s="689">
        <f ca="1">tertiair!L20</f>
        <v>0</v>
      </c>
      <c r="N40" s="689">
        <f>tertiair!M20</f>
        <v>0</v>
      </c>
      <c r="O40" s="689">
        <f ca="1">tertiair!N20</f>
        <v>0</v>
      </c>
      <c r="P40" s="689">
        <f>tertiair!O20</f>
        <v>0</v>
      </c>
      <c r="Q40" s="772">
        <f>tertiair!P20</f>
        <v>0</v>
      </c>
      <c r="R40" s="852">
        <f t="shared" ca="1" si="4"/>
        <v>6251.8516449615099</v>
      </c>
    </row>
    <row r="41" spans="1:18">
      <c r="A41" s="824" t="s">
        <v>224</v>
      </c>
      <c r="B41" s="831"/>
      <c r="C41" s="689">
        <f ca="1">huishoudens!B12</f>
        <v>5757.7895447316951</v>
      </c>
      <c r="D41" s="689">
        <f ca="1">huishoudens!C12</f>
        <v>0</v>
      </c>
      <c r="E41" s="689">
        <f>huishoudens!D12</f>
        <v>18832.804320508942</v>
      </c>
      <c r="F41" s="689">
        <f>huishoudens!E12</f>
        <v>117.86913790794247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24708.463003148579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904.64862243242146</v>
      </c>
      <c r="D43" s="689">
        <f ca="1">industrie!C22</f>
        <v>305.54621848739504</v>
      </c>
      <c r="E43" s="689">
        <f>industrie!D22</f>
        <v>6324.6265058526669</v>
      </c>
      <c r="F43" s="689">
        <f>industrie!E22</f>
        <v>1.7872564013403818</v>
      </c>
      <c r="G43" s="689">
        <f>industrie!F22</f>
        <v>149.31179366593372</v>
      </c>
      <c r="H43" s="689">
        <f>industrie!G22</f>
        <v>0</v>
      </c>
      <c r="I43" s="689">
        <f>industrie!H22</f>
        <v>0</v>
      </c>
      <c r="J43" s="689">
        <f>industrie!I22</f>
        <v>0</v>
      </c>
      <c r="K43" s="689">
        <f>industrie!J22</f>
        <v>5.980197169998052E-2</v>
      </c>
      <c r="L43" s="689">
        <f>industrie!K22</f>
        <v>0</v>
      </c>
      <c r="M43" s="689">
        <f>industrie!L22</f>
        <v>0</v>
      </c>
      <c r="N43" s="689">
        <f>industrie!M22</f>
        <v>0</v>
      </c>
      <c r="O43" s="689">
        <f>industrie!N22</f>
        <v>0</v>
      </c>
      <c r="P43" s="689">
        <f>industrie!O22</f>
        <v>0</v>
      </c>
      <c r="Q43" s="772">
        <f>industrie!P22</f>
        <v>0</v>
      </c>
      <c r="R43" s="851">
        <f t="shared" ca="1" si="4"/>
        <v>7685.9801988114577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9203.4087917115394</v>
      </c>
      <c r="D46" s="725">
        <f t="shared" ref="D46:Q46" ca="1" si="5">SUM(D39:D45)</f>
        <v>305.54621848739504</v>
      </c>
      <c r="E46" s="725">
        <f t="shared" ca="1" si="5"/>
        <v>28413.869769912941</v>
      </c>
      <c r="F46" s="725">
        <f t="shared" si="5"/>
        <v>127.05962183434191</v>
      </c>
      <c r="G46" s="725">
        <f t="shared" ca="1" si="5"/>
        <v>596.34711554856187</v>
      </c>
      <c r="H46" s="725">
        <f t="shared" si="5"/>
        <v>0</v>
      </c>
      <c r="I46" s="725">
        <f t="shared" si="5"/>
        <v>0</v>
      </c>
      <c r="J46" s="725">
        <f t="shared" si="5"/>
        <v>0</v>
      </c>
      <c r="K46" s="725">
        <f t="shared" si="5"/>
        <v>6.3329426767594621E-2</v>
      </c>
      <c r="L46" s="725">
        <f t="shared" si="5"/>
        <v>0</v>
      </c>
      <c r="M46" s="725">
        <f t="shared" ca="1" si="5"/>
        <v>0</v>
      </c>
      <c r="N46" s="725">
        <f t="shared" si="5"/>
        <v>0</v>
      </c>
      <c r="O46" s="725">
        <f t="shared" ca="1" si="5"/>
        <v>0</v>
      </c>
      <c r="P46" s="725">
        <f t="shared" si="5"/>
        <v>0</v>
      </c>
      <c r="Q46" s="725">
        <f t="shared" si="5"/>
        <v>0</v>
      </c>
      <c r="R46" s="725">
        <f ca="1">SUM(R39:R45)</f>
        <v>38646.294846921548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398.96930576435807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398.96930576435807</v>
      </c>
    </row>
    <row r="50" spans="1:18">
      <c r="A50" s="827" t="s">
        <v>306</v>
      </c>
      <c r="B50" s="837"/>
      <c r="C50" s="695">
        <f ca="1">transport!B18</f>
        <v>15.516379448018247</v>
      </c>
      <c r="D50" s="695">
        <f>transport!C18</f>
        <v>0</v>
      </c>
      <c r="E50" s="695">
        <f>transport!D18</f>
        <v>62.905794632920987</v>
      </c>
      <c r="F50" s="695">
        <f>transport!E18</f>
        <v>43.292640361244459</v>
      </c>
      <c r="G50" s="695">
        <f>transport!F18</f>
        <v>0</v>
      </c>
      <c r="H50" s="695">
        <f>transport!G18</f>
        <v>28300.321981787813</v>
      </c>
      <c r="I50" s="695">
        <f>transport!H18</f>
        <v>5067.8824308880594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33489.919227118058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15.516379448018247</v>
      </c>
      <c r="D52" s="725">
        <f t="shared" ref="D52:Q52" ca="1" si="6">SUM(D48:D51)</f>
        <v>0</v>
      </c>
      <c r="E52" s="725">
        <f t="shared" si="6"/>
        <v>62.905794632920987</v>
      </c>
      <c r="F52" s="725">
        <f t="shared" si="6"/>
        <v>43.292640361244459</v>
      </c>
      <c r="G52" s="725">
        <f t="shared" si="6"/>
        <v>0</v>
      </c>
      <c r="H52" s="725">
        <f t="shared" si="6"/>
        <v>28699.291287552172</v>
      </c>
      <c r="I52" s="725">
        <f t="shared" si="6"/>
        <v>5067.8824308880594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33888.888532882418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59.784117745904354</v>
      </c>
      <c r="D54" s="695">
        <f ca="1">+landbouw!C12</f>
        <v>0</v>
      </c>
      <c r="E54" s="695">
        <f>+landbouw!D12</f>
        <v>43.253760035052004</v>
      </c>
      <c r="F54" s="695">
        <f>+landbouw!E12</f>
        <v>2.5790477736546955</v>
      </c>
      <c r="G54" s="695">
        <f>+landbouw!F12</f>
        <v>263.90605804791733</v>
      </c>
      <c r="H54" s="695">
        <f>+landbouw!G12</f>
        <v>0</v>
      </c>
      <c r="I54" s="695">
        <f>+landbouw!H12</f>
        <v>0</v>
      </c>
      <c r="J54" s="695">
        <f>+landbouw!I12</f>
        <v>0</v>
      </c>
      <c r="K54" s="695">
        <f>+landbouw!J12</f>
        <v>28.31041669186428</v>
      </c>
      <c r="L54" s="695">
        <f>+landbouw!K12</f>
        <v>0</v>
      </c>
      <c r="M54" s="695">
        <f>+landbouw!L12</f>
        <v>0</v>
      </c>
      <c r="N54" s="695">
        <f>+landbouw!M12</f>
        <v>0</v>
      </c>
      <c r="O54" s="695">
        <f>+landbouw!N12</f>
        <v>0</v>
      </c>
      <c r="P54" s="695">
        <f>+landbouw!O12</f>
        <v>0</v>
      </c>
      <c r="Q54" s="696">
        <f>+landbouw!P12</f>
        <v>0</v>
      </c>
      <c r="R54" s="724">
        <f ca="1">SUM(C54:Q54)</f>
        <v>397.83340029439267</v>
      </c>
    </row>
    <row r="55" spans="1:18" ht="15" thickBot="1">
      <c r="A55" s="827" t="s">
        <v>714</v>
      </c>
      <c r="B55" s="837"/>
      <c r="C55" s="695">
        <f ca="1">C25*'EF ele_warmte'!B12</f>
        <v>94.550754701408323</v>
      </c>
      <c r="D55" s="695"/>
      <c r="E55" s="695">
        <f>E25*EF_CO2_aardgas</f>
        <v>368.85399333600003</v>
      </c>
      <c r="F55" s="695"/>
      <c r="G55" s="695"/>
      <c r="H55" s="695"/>
      <c r="I55" s="695"/>
      <c r="J55" s="695"/>
      <c r="K55" s="695"/>
      <c r="L55" s="695"/>
      <c r="M55" s="695"/>
      <c r="N55" s="695"/>
      <c r="O55" s="695"/>
      <c r="P55" s="695"/>
      <c r="Q55" s="696"/>
      <c r="R55" s="724">
        <f ca="1">SUM(C55:Q55)</f>
        <v>463.40474803740835</v>
      </c>
    </row>
    <row r="56" spans="1:18" ht="15.75" thickBot="1">
      <c r="A56" s="825" t="s">
        <v>715</v>
      </c>
      <c r="B56" s="838"/>
      <c r="C56" s="725">
        <f ca="1">SUM(C54:C55)</f>
        <v>154.33487244731268</v>
      </c>
      <c r="D56" s="725">
        <f t="shared" ref="D56:Q56" ca="1" si="7">SUM(D54:D55)</f>
        <v>0</v>
      </c>
      <c r="E56" s="725">
        <f t="shared" si="7"/>
        <v>412.10775337105201</v>
      </c>
      <c r="F56" s="725">
        <f t="shared" si="7"/>
        <v>2.5790477736546955</v>
      </c>
      <c r="G56" s="725">
        <f t="shared" si="7"/>
        <v>263.90605804791733</v>
      </c>
      <c r="H56" s="725">
        <f t="shared" si="7"/>
        <v>0</v>
      </c>
      <c r="I56" s="725">
        <f t="shared" si="7"/>
        <v>0</v>
      </c>
      <c r="J56" s="725">
        <f t="shared" si="7"/>
        <v>0</v>
      </c>
      <c r="K56" s="725">
        <f t="shared" si="7"/>
        <v>28.31041669186428</v>
      </c>
      <c r="L56" s="725">
        <f t="shared" si="7"/>
        <v>0</v>
      </c>
      <c r="M56" s="725">
        <f t="shared" si="7"/>
        <v>0</v>
      </c>
      <c r="N56" s="725">
        <f t="shared" si="7"/>
        <v>0</v>
      </c>
      <c r="O56" s="725">
        <f t="shared" si="7"/>
        <v>0</v>
      </c>
      <c r="P56" s="725">
        <f t="shared" si="7"/>
        <v>0</v>
      </c>
      <c r="Q56" s="726">
        <f t="shared" si="7"/>
        <v>0</v>
      </c>
      <c r="R56" s="727">
        <f ca="1">SUM(R54:R55)</f>
        <v>861.23814833180109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9373.2600436068697</v>
      </c>
      <c r="D61" s="733">
        <f t="shared" ref="D61:Q61" ca="1" si="8">D46+D52+D56</f>
        <v>305.54621848739504</v>
      </c>
      <c r="E61" s="733">
        <f t="shared" ca="1" si="8"/>
        <v>28888.883317916912</v>
      </c>
      <c r="F61" s="733">
        <f t="shared" si="8"/>
        <v>172.93130996924108</v>
      </c>
      <c r="G61" s="733">
        <f t="shared" ca="1" si="8"/>
        <v>860.2531735964792</v>
      </c>
      <c r="H61" s="733">
        <f t="shared" si="8"/>
        <v>28699.291287552172</v>
      </c>
      <c r="I61" s="733">
        <f t="shared" si="8"/>
        <v>5067.8824308880594</v>
      </c>
      <c r="J61" s="733">
        <f t="shared" si="8"/>
        <v>0</v>
      </c>
      <c r="K61" s="733">
        <f t="shared" si="8"/>
        <v>28.373746118631875</v>
      </c>
      <c r="L61" s="733">
        <f t="shared" si="8"/>
        <v>0</v>
      </c>
      <c r="M61" s="733">
        <f t="shared" ca="1" si="8"/>
        <v>0</v>
      </c>
      <c r="N61" s="733">
        <f t="shared" si="8"/>
        <v>0</v>
      </c>
      <c r="O61" s="733">
        <f t="shared" ca="1" si="8"/>
        <v>0</v>
      </c>
      <c r="P61" s="733">
        <f t="shared" si="8"/>
        <v>0</v>
      </c>
      <c r="Q61" s="733">
        <f t="shared" si="8"/>
        <v>0</v>
      </c>
      <c r="R61" s="733">
        <f ca="1">R46+R52+R56</f>
        <v>73396.421528135761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0.19623673097515096</v>
      </c>
      <c r="D63" s="779">
        <f t="shared" ca="1" si="9"/>
        <v>0.23764705882352946</v>
      </c>
      <c r="E63" s="973">
        <f t="shared" ca="1" si="9"/>
        <v>0.20200000000000001</v>
      </c>
      <c r="F63" s="779">
        <f t="shared" si="9"/>
        <v>0.22700000000000006</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5419.9162283975147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900</v>
      </c>
      <c r="D76" s="956">
        <f>'lokale energieproductie'!C8</f>
        <v>1058.8235294117646</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213.88235294117646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5419.9162283975147</v>
      </c>
      <c r="C78" s="751">
        <f>SUM(C72:C77)</f>
        <v>900</v>
      </c>
      <c r="D78" s="752">
        <f t="shared" ref="D78:H78" si="10">SUM(D76:D77)</f>
        <v>1058.8235294117646</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213.88235294117646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1285.7142857142858</v>
      </c>
      <c r="D87" s="775">
        <f>'lokale energieproductie'!C17</f>
        <v>1512.6050420168069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305.54621848739504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1285.7142857142858</v>
      </c>
      <c r="D90" s="751">
        <f t="shared" ref="D90:H90" si="12">SUM(D87:D89)</f>
        <v>1512.6050420168069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305.54621848739504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5419.9162283975147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900</v>
      </c>
      <c r="C8" s="551">
        <f>B48</f>
        <v>1058.8235294117646</v>
      </c>
      <c r="D8" s="552"/>
      <c r="E8" s="552">
        <f>E48</f>
        <v>0</v>
      </c>
      <c r="F8" s="553"/>
      <c r="G8" s="554"/>
      <c r="H8" s="552">
        <f>I48</f>
        <v>0</v>
      </c>
      <c r="I8" s="552">
        <f>G48+F48</f>
        <v>0</v>
      </c>
      <c r="J8" s="552">
        <f>H48+D48+C48</f>
        <v>0</v>
      </c>
      <c r="K8" s="552"/>
      <c r="L8" s="552"/>
      <c r="M8" s="552"/>
      <c r="N8" s="555"/>
      <c r="O8" s="556">
        <f>C8*$C$12+D8*$D$12+E8*$E$12+F8*$F$12+G8*$G$12+H8*$H$12+I8*$I$12+J8*$J$12</f>
        <v>213.88235294117646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6319.9162283975147</v>
      </c>
      <c r="C10" s="566">
        <f t="shared" ref="C10:L10" si="0">SUM(C8:C9)</f>
        <v>1058.8235294117646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213.88235294117646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1285.7142857142858</v>
      </c>
      <c r="C17" s="582">
        <f>B49</f>
        <v>1512.6050420168069</v>
      </c>
      <c r="D17" s="583"/>
      <c r="E17" s="583">
        <f>E49</f>
        <v>0</v>
      </c>
      <c r="F17" s="584"/>
      <c r="G17" s="585"/>
      <c r="H17" s="582">
        <f>I49</f>
        <v>0</v>
      </c>
      <c r="I17" s="583">
        <f>G49+F49</f>
        <v>0</v>
      </c>
      <c r="J17" s="583">
        <f>H49+D49+C49</f>
        <v>0</v>
      </c>
      <c r="K17" s="583"/>
      <c r="L17" s="583"/>
      <c r="M17" s="583"/>
      <c r="N17" s="970"/>
      <c r="O17" s="586">
        <f>C17*$C$22+E17*$E$22+H17*$H$22+I17*$I$22+J17*$J$22+D17*$D$22+F17*$F$22+G17*$G$22+K17*$K$22+L17*$L$22</f>
        <v>305.54621848739504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1285.7142857142858</v>
      </c>
      <c r="C20" s="565">
        <f>SUM(C17:C19)</f>
        <v>1512.6050420168069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305.54621848739504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11044</v>
      </c>
      <c r="C28" s="794">
        <v>2940</v>
      </c>
      <c r="D28" s="643" t="s">
        <v>865</v>
      </c>
      <c r="E28" s="642" t="s">
        <v>866</v>
      </c>
      <c r="F28" s="642" t="s">
        <v>867</v>
      </c>
      <c r="G28" s="642" t="s">
        <v>868</v>
      </c>
      <c r="H28" s="642" t="s">
        <v>869</v>
      </c>
      <c r="I28" s="642" t="s">
        <v>866</v>
      </c>
      <c r="J28" s="793">
        <v>41754</v>
      </c>
      <c r="K28" s="793">
        <v>41754</v>
      </c>
      <c r="L28" s="642" t="s">
        <v>870</v>
      </c>
      <c r="M28" s="642">
        <v>200</v>
      </c>
      <c r="N28" s="642">
        <v>900</v>
      </c>
      <c r="O28" s="642">
        <v>1285.7142857142858</v>
      </c>
      <c r="P28" s="642">
        <v>2571.4285714285716</v>
      </c>
      <c r="Q28" s="642">
        <v>0</v>
      </c>
      <c r="R28" s="642">
        <v>0</v>
      </c>
      <c r="S28" s="642">
        <v>0</v>
      </c>
      <c r="T28" s="642">
        <v>0</v>
      </c>
      <c r="U28" s="642">
        <v>0</v>
      </c>
      <c r="V28" s="642">
        <v>0</v>
      </c>
      <c r="W28" s="642">
        <v>0</v>
      </c>
      <c r="X28" s="642">
        <v>500</v>
      </c>
      <c r="Y28" s="642" t="s">
        <v>40</v>
      </c>
      <c r="Z28" s="644" t="s">
        <v>385</v>
      </c>
    </row>
    <row r="29" spans="1:26" s="576" customFormat="1">
      <c r="A29" s="598" t="s">
        <v>279</v>
      </c>
      <c r="B29" s="599"/>
      <c r="C29" s="599"/>
      <c r="D29" s="599"/>
      <c r="E29" s="599"/>
      <c r="F29" s="599"/>
      <c r="G29" s="599"/>
      <c r="H29" s="599"/>
      <c r="I29" s="599"/>
      <c r="J29" s="599"/>
      <c r="K29" s="599"/>
      <c r="L29" s="600"/>
      <c r="M29" s="600">
        <f>SUM(M28:M28)</f>
        <v>200</v>
      </c>
      <c r="N29" s="600">
        <f>SUM(N28:N28)</f>
        <v>900</v>
      </c>
      <c r="O29" s="600">
        <f>SUM(O28:O28)</f>
        <v>1285.7142857142858</v>
      </c>
      <c r="P29" s="600">
        <f>SUM(P28:P28)</f>
        <v>2571.4285714285716</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200</v>
      </c>
      <c r="N30" s="600">
        <f>SUMIF($Z$28:$Z$28,"industrie",N28:N28)</f>
        <v>900</v>
      </c>
      <c r="O30" s="600">
        <f>SUMIF($Z$28:$Z$28,"industrie",O28:O28)</f>
        <v>1285.7142857142858</v>
      </c>
      <c r="P30" s="600">
        <f>SUMIF($Z$28:$Z$28,"industrie",P28:P28)</f>
        <v>2571.4285714285716</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1058.8235294117646</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1512.6050420168069</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29341.038836713968</v>
      </c>
      <c r="C4" s="455">
        <f>huishoudens!C8</f>
        <v>0</v>
      </c>
      <c r="D4" s="455">
        <f>huishoudens!D8</f>
        <v>93231.704556974961</v>
      </c>
      <c r="E4" s="455">
        <f>huishoudens!E8</f>
        <v>519.24730355921793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7229.8684540465365</v>
      </c>
      <c r="O4" s="455">
        <f>huishoudens!O8</f>
        <v>265.85040139786224</v>
      </c>
      <c r="P4" s="456">
        <f>huishoudens!P8</f>
        <v>252.81502338444056</v>
      </c>
      <c r="Q4" s="457">
        <f>SUM(B4:P4)</f>
        <v>130840.52457607698</v>
      </c>
    </row>
    <row r="5" spans="1:17">
      <c r="A5" s="454" t="s">
        <v>155</v>
      </c>
      <c r="B5" s="455">
        <f ca="1">tertiair!B16</f>
        <v>12111.339501754201</v>
      </c>
      <c r="C5" s="455">
        <f ca="1">tertiair!C16</f>
        <v>0</v>
      </c>
      <c r="D5" s="455">
        <f ca="1">tertiair!D16</f>
        <v>16120.984869066</v>
      </c>
      <c r="E5" s="455">
        <f>tertiair!E16</f>
        <v>32.613337114797609</v>
      </c>
      <c r="F5" s="455">
        <f ca="1">tertiair!F16</f>
        <v>1674.2895950660229</v>
      </c>
      <c r="G5" s="455">
        <f>tertiair!G16</f>
        <v>0</v>
      </c>
      <c r="H5" s="455">
        <f>tertiair!H16</f>
        <v>0</v>
      </c>
      <c r="I5" s="455">
        <f>tertiair!I16</f>
        <v>0</v>
      </c>
      <c r="J5" s="455">
        <f>tertiair!J16</f>
        <v>9.964562337892939E-3</v>
      </c>
      <c r="K5" s="455">
        <f>tertiair!K16</f>
        <v>0</v>
      </c>
      <c r="L5" s="455">
        <f ca="1">tertiair!L16</f>
        <v>0</v>
      </c>
      <c r="M5" s="455">
        <f>tertiair!M16</f>
        <v>0</v>
      </c>
      <c r="N5" s="455">
        <f ca="1">tertiair!N16</f>
        <v>375.04260016528161</v>
      </c>
      <c r="O5" s="455">
        <f>tertiair!O16</f>
        <v>0</v>
      </c>
      <c r="P5" s="456">
        <f>tertiair!P16</f>
        <v>105.07827661299004</v>
      </c>
      <c r="Q5" s="454">
        <f t="shared" ref="Q5:Q14" ca="1" si="0">SUM(B5:P5)</f>
        <v>30419.35814434163</v>
      </c>
    </row>
    <row r="6" spans="1:17">
      <c r="A6" s="454" t="s">
        <v>193</v>
      </c>
      <c r="B6" s="455">
        <f>'openbare verlichting'!B8</f>
        <v>837.15700000000004</v>
      </c>
      <c r="C6" s="455"/>
      <c r="D6" s="455"/>
      <c r="E6" s="455"/>
      <c r="F6" s="455"/>
      <c r="G6" s="455"/>
      <c r="H6" s="455"/>
      <c r="I6" s="455"/>
      <c r="J6" s="455"/>
      <c r="K6" s="455"/>
      <c r="L6" s="455"/>
      <c r="M6" s="455"/>
      <c r="N6" s="455"/>
      <c r="O6" s="455"/>
      <c r="P6" s="456"/>
      <c r="Q6" s="454">
        <f t="shared" si="0"/>
        <v>837.15700000000004</v>
      </c>
    </row>
    <row r="7" spans="1:17">
      <c r="A7" s="454" t="s">
        <v>111</v>
      </c>
      <c r="B7" s="455">
        <f>landbouw!B8</f>
        <v>304.653045578275</v>
      </c>
      <c r="C7" s="455">
        <f>landbouw!C8</f>
        <v>0</v>
      </c>
      <c r="D7" s="455">
        <f>landbouw!D8</f>
        <v>214.12752492600001</v>
      </c>
      <c r="E7" s="455">
        <f>landbouw!E8</f>
        <v>11.361443936804825</v>
      </c>
      <c r="F7" s="455">
        <f>landbouw!F8</f>
        <v>988.41220242665656</v>
      </c>
      <c r="G7" s="455">
        <f>landbouw!G8</f>
        <v>0</v>
      </c>
      <c r="H7" s="455">
        <f>landbouw!H8</f>
        <v>0</v>
      </c>
      <c r="I7" s="455">
        <f>landbouw!I8</f>
        <v>0</v>
      </c>
      <c r="J7" s="455">
        <f>landbouw!J8</f>
        <v>79.972928508091186</v>
      </c>
      <c r="K7" s="455">
        <f>landbouw!K8</f>
        <v>0</v>
      </c>
      <c r="L7" s="455">
        <f>landbouw!L8</f>
        <v>0</v>
      </c>
      <c r="M7" s="455">
        <f>landbouw!M8</f>
        <v>0</v>
      </c>
      <c r="N7" s="455">
        <f>landbouw!N8</f>
        <v>0</v>
      </c>
      <c r="O7" s="455">
        <f>landbouw!O8</f>
        <v>0</v>
      </c>
      <c r="P7" s="456">
        <f>landbouw!P8</f>
        <v>0</v>
      </c>
      <c r="Q7" s="454">
        <f t="shared" si="0"/>
        <v>1598.5271453758276</v>
      </c>
    </row>
    <row r="8" spans="1:17">
      <c r="A8" s="454" t="s">
        <v>626</v>
      </c>
      <c r="B8" s="455">
        <f>industrie!B18</f>
        <v>4609.9862035868055</v>
      </c>
      <c r="C8" s="455">
        <f>industrie!C18</f>
        <v>1285.7142857142858</v>
      </c>
      <c r="D8" s="455">
        <f>industrie!D18</f>
        <v>31310.03220719142</v>
      </c>
      <c r="E8" s="455">
        <f>industrie!E18</f>
        <v>7.8733762173585102</v>
      </c>
      <c r="F8" s="455">
        <f>industrie!F18</f>
        <v>559.22020099600638</v>
      </c>
      <c r="G8" s="455">
        <f>industrie!G18</f>
        <v>0</v>
      </c>
      <c r="H8" s="455">
        <f>industrie!H18</f>
        <v>0</v>
      </c>
      <c r="I8" s="455">
        <f>industrie!I18</f>
        <v>0</v>
      </c>
      <c r="J8" s="455">
        <f>industrie!J18</f>
        <v>0.16893212344627268</v>
      </c>
      <c r="K8" s="455">
        <f>industrie!K18</f>
        <v>0</v>
      </c>
      <c r="L8" s="455">
        <f>industrie!L18</f>
        <v>0</v>
      </c>
      <c r="M8" s="455">
        <f>industrie!M18</f>
        <v>0</v>
      </c>
      <c r="N8" s="455">
        <f>industrie!N18</f>
        <v>126.70574968352271</v>
      </c>
      <c r="O8" s="455">
        <f>industrie!O18</f>
        <v>0</v>
      </c>
      <c r="P8" s="456">
        <f>industrie!P18</f>
        <v>0</v>
      </c>
      <c r="Q8" s="454">
        <f t="shared" si="0"/>
        <v>37899.700955512846</v>
      </c>
    </row>
    <row r="9" spans="1:17" s="460" customFormat="1">
      <c r="A9" s="458" t="s">
        <v>552</v>
      </c>
      <c r="B9" s="459">
        <f>transport!B14</f>
        <v>79.069700004241582</v>
      </c>
      <c r="C9" s="459">
        <f>transport!C14</f>
        <v>0</v>
      </c>
      <c r="D9" s="459">
        <f>transport!D14</f>
        <v>311.41482491545042</v>
      </c>
      <c r="E9" s="459">
        <f>transport!E14</f>
        <v>190.7164773623104</v>
      </c>
      <c r="F9" s="459">
        <f>transport!F14</f>
        <v>0</v>
      </c>
      <c r="G9" s="459">
        <f>transport!G14</f>
        <v>105993.71528759479</v>
      </c>
      <c r="H9" s="459">
        <f>transport!H14</f>
        <v>20352.941489510278</v>
      </c>
      <c r="I9" s="459">
        <f>transport!I14</f>
        <v>0</v>
      </c>
      <c r="J9" s="459">
        <f>transport!J14</f>
        <v>0</v>
      </c>
      <c r="K9" s="459">
        <f>transport!K14</f>
        <v>0</v>
      </c>
      <c r="L9" s="459">
        <f>transport!L14</f>
        <v>0</v>
      </c>
      <c r="M9" s="459">
        <f>transport!M14</f>
        <v>7382.4449910075364</v>
      </c>
      <c r="N9" s="459">
        <f>transport!N14</f>
        <v>0</v>
      </c>
      <c r="O9" s="459">
        <f>transport!O14</f>
        <v>0</v>
      </c>
      <c r="P9" s="459">
        <f>transport!P14</f>
        <v>0</v>
      </c>
      <c r="Q9" s="458">
        <f>SUM(B9:P9)</f>
        <v>134310.30277039463</v>
      </c>
    </row>
    <row r="10" spans="1:17">
      <c r="A10" s="454" t="s">
        <v>542</v>
      </c>
      <c r="B10" s="455">
        <f>transport!B54</f>
        <v>0</v>
      </c>
      <c r="C10" s="455">
        <f>transport!C54</f>
        <v>0</v>
      </c>
      <c r="D10" s="455">
        <f>transport!D54</f>
        <v>0</v>
      </c>
      <c r="E10" s="455">
        <f>transport!E54</f>
        <v>0</v>
      </c>
      <c r="F10" s="455">
        <f>transport!F54</f>
        <v>0</v>
      </c>
      <c r="G10" s="455">
        <f>transport!G54</f>
        <v>1494.2670627878579</v>
      </c>
      <c r="H10" s="455">
        <f>transport!H54</f>
        <v>0</v>
      </c>
      <c r="I10" s="455">
        <f>transport!I54</f>
        <v>0</v>
      </c>
      <c r="J10" s="455">
        <f>transport!J54</f>
        <v>0</v>
      </c>
      <c r="K10" s="455">
        <f>transport!K54</f>
        <v>0</v>
      </c>
      <c r="L10" s="455">
        <f>transport!L54</f>
        <v>0</v>
      </c>
      <c r="M10" s="455">
        <f>transport!M54</f>
        <v>81.087441556944469</v>
      </c>
      <c r="N10" s="455">
        <f>transport!N54</f>
        <v>0</v>
      </c>
      <c r="O10" s="455">
        <f>transport!O54</f>
        <v>0</v>
      </c>
      <c r="P10" s="456">
        <f>transport!P54</f>
        <v>0</v>
      </c>
      <c r="Q10" s="454">
        <f t="shared" si="0"/>
        <v>1575.3545043448023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481.81986232425101</v>
      </c>
      <c r="C14" s="462"/>
      <c r="D14" s="462">
        <f>'SEAP template'!E25</f>
        <v>1826.0098680000001</v>
      </c>
      <c r="E14" s="462"/>
      <c r="F14" s="462"/>
      <c r="G14" s="462"/>
      <c r="H14" s="462"/>
      <c r="I14" s="462"/>
      <c r="J14" s="462"/>
      <c r="K14" s="462"/>
      <c r="L14" s="462"/>
      <c r="M14" s="462"/>
      <c r="N14" s="462"/>
      <c r="O14" s="462"/>
      <c r="P14" s="463"/>
      <c r="Q14" s="454">
        <f t="shared" si="0"/>
        <v>2307.8297303242512</v>
      </c>
    </row>
    <row r="15" spans="1:17" s="466" customFormat="1">
      <c r="A15" s="464" t="s">
        <v>546</v>
      </c>
      <c r="B15" s="465">
        <f ca="1">SUM(B4:B14)</f>
        <v>47765.064149961741</v>
      </c>
      <c r="C15" s="465">
        <f t="shared" ref="C15:Q15" ca="1" si="1">SUM(C4:C14)</f>
        <v>1285.7142857142858</v>
      </c>
      <c r="D15" s="465">
        <f t="shared" ca="1" si="1"/>
        <v>143014.27385107381</v>
      </c>
      <c r="E15" s="465">
        <f t="shared" si="1"/>
        <v>761.81193819048917</v>
      </c>
      <c r="F15" s="465">
        <f t="shared" ca="1" si="1"/>
        <v>3221.9219984886859</v>
      </c>
      <c r="G15" s="465">
        <f t="shared" si="1"/>
        <v>107487.98235038265</v>
      </c>
      <c r="H15" s="465">
        <f t="shared" si="1"/>
        <v>20352.941489510278</v>
      </c>
      <c r="I15" s="465">
        <f t="shared" si="1"/>
        <v>0</v>
      </c>
      <c r="J15" s="465">
        <f t="shared" si="1"/>
        <v>80.151825193875354</v>
      </c>
      <c r="K15" s="465">
        <f t="shared" si="1"/>
        <v>0</v>
      </c>
      <c r="L15" s="465">
        <f t="shared" ca="1" si="1"/>
        <v>0</v>
      </c>
      <c r="M15" s="465">
        <f t="shared" si="1"/>
        <v>7463.5324325644806</v>
      </c>
      <c r="N15" s="465">
        <f t="shared" ca="1" si="1"/>
        <v>7731.6168038953401</v>
      </c>
      <c r="O15" s="465">
        <f t="shared" si="1"/>
        <v>265.85040139786224</v>
      </c>
      <c r="P15" s="465">
        <f t="shared" si="1"/>
        <v>357.89329999743063</v>
      </c>
      <c r="Q15" s="465">
        <f t="shared" ca="1" si="1"/>
        <v>339788.75482637098</v>
      </c>
    </row>
    <row r="17" spans="1:17">
      <c r="A17" s="467" t="s">
        <v>547</v>
      </c>
      <c r="B17" s="784">
        <f ca="1">huishoudens!B10</f>
        <v>0.19623673097515096</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5757.7895447316951</v>
      </c>
      <c r="C22" s="455">
        <f t="shared" ref="C22:C32" ca="1" si="3">C4*$C$17</f>
        <v>0</v>
      </c>
      <c r="D22" s="455">
        <f t="shared" ref="D22:D32" si="4">D4*$D$17</f>
        <v>18832.804320508942</v>
      </c>
      <c r="E22" s="455">
        <f t="shared" ref="E22:E32" si="5">E4*$E$17</f>
        <v>117.86913790794247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24708.463003148579</v>
      </c>
    </row>
    <row r="23" spans="1:17">
      <c r="A23" s="454" t="s">
        <v>155</v>
      </c>
      <c r="B23" s="455">
        <f t="shared" ca="1" si="2"/>
        <v>2376.6896715544581</v>
      </c>
      <c r="C23" s="455">
        <f t="shared" ca="1" si="3"/>
        <v>0</v>
      </c>
      <c r="D23" s="455">
        <f t="shared" ca="1" si="4"/>
        <v>3256.4389435513322</v>
      </c>
      <c r="E23" s="455">
        <f t="shared" si="5"/>
        <v>7.4032275250590578</v>
      </c>
      <c r="F23" s="455">
        <f t="shared" ca="1" si="6"/>
        <v>447.03532188262812</v>
      </c>
      <c r="G23" s="455">
        <f t="shared" si="7"/>
        <v>0</v>
      </c>
      <c r="H23" s="455">
        <f t="shared" si="8"/>
        <v>0</v>
      </c>
      <c r="I23" s="455">
        <f t="shared" si="9"/>
        <v>0</v>
      </c>
      <c r="J23" s="455">
        <f t="shared" si="10"/>
        <v>3.5274550676141002E-3</v>
      </c>
      <c r="K23" s="455">
        <f t="shared" si="11"/>
        <v>0</v>
      </c>
      <c r="L23" s="455">
        <f t="shared" ca="1" si="12"/>
        <v>0</v>
      </c>
      <c r="M23" s="455">
        <f t="shared" si="13"/>
        <v>0</v>
      </c>
      <c r="N23" s="455">
        <f t="shared" ca="1" si="14"/>
        <v>0</v>
      </c>
      <c r="O23" s="455">
        <f t="shared" si="15"/>
        <v>0</v>
      </c>
      <c r="P23" s="456">
        <f t="shared" si="16"/>
        <v>0</v>
      </c>
      <c r="Q23" s="454">
        <f t="shared" ref="Q23:Q31" ca="1" si="17">SUM(B23:P23)</f>
        <v>6087.5706919685454</v>
      </c>
    </row>
    <row r="24" spans="1:17">
      <c r="A24" s="454" t="s">
        <v>193</v>
      </c>
      <c r="B24" s="455">
        <f t="shared" ca="1" si="2"/>
        <v>164.28095299296444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164.28095299296444</v>
      </c>
    </row>
    <row r="25" spans="1:17">
      <c r="A25" s="454" t="s">
        <v>111</v>
      </c>
      <c r="B25" s="455">
        <f t="shared" ca="1" si="2"/>
        <v>59.784117745904354</v>
      </c>
      <c r="C25" s="455">
        <f t="shared" ca="1" si="3"/>
        <v>0</v>
      </c>
      <c r="D25" s="455">
        <f t="shared" si="4"/>
        <v>43.253760035052004</v>
      </c>
      <c r="E25" s="455">
        <f t="shared" si="5"/>
        <v>2.5790477736546955</v>
      </c>
      <c r="F25" s="455">
        <f t="shared" si="6"/>
        <v>263.90605804791733</v>
      </c>
      <c r="G25" s="455">
        <f t="shared" si="7"/>
        <v>0</v>
      </c>
      <c r="H25" s="455">
        <f t="shared" si="8"/>
        <v>0</v>
      </c>
      <c r="I25" s="455">
        <f t="shared" si="9"/>
        <v>0</v>
      </c>
      <c r="J25" s="455">
        <f t="shared" si="10"/>
        <v>28.31041669186428</v>
      </c>
      <c r="K25" s="455">
        <f t="shared" si="11"/>
        <v>0</v>
      </c>
      <c r="L25" s="455">
        <f t="shared" si="12"/>
        <v>0</v>
      </c>
      <c r="M25" s="455">
        <f t="shared" si="13"/>
        <v>0</v>
      </c>
      <c r="N25" s="455">
        <f t="shared" si="14"/>
        <v>0</v>
      </c>
      <c r="O25" s="455">
        <f t="shared" si="15"/>
        <v>0</v>
      </c>
      <c r="P25" s="456">
        <f t="shared" si="16"/>
        <v>0</v>
      </c>
      <c r="Q25" s="454">
        <f t="shared" ca="1" si="17"/>
        <v>397.83340029439267</v>
      </c>
    </row>
    <row r="26" spans="1:17">
      <c r="A26" s="454" t="s">
        <v>626</v>
      </c>
      <c r="B26" s="455">
        <f t="shared" ca="1" si="2"/>
        <v>904.64862243242146</v>
      </c>
      <c r="C26" s="455">
        <f t="shared" ca="1" si="3"/>
        <v>305.54621848739504</v>
      </c>
      <c r="D26" s="455">
        <f t="shared" si="4"/>
        <v>6324.6265058526669</v>
      </c>
      <c r="E26" s="455">
        <f t="shared" si="5"/>
        <v>1.7872564013403818</v>
      </c>
      <c r="F26" s="455">
        <f t="shared" si="6"/>
        <v>149.31179366593372</v>
      </c>
      <c r="G26" s="455">
        <f t="shared" si="7"/>
        <v>0</v>
      </c>
      <c r="H26" s="455">
        <f t="shared" si="8"/>
        <v>0</v>
      </c>
      <c r="I26" s="455">
        <f t="shared" si="9"/>
        <v>0</v>
      </c>
      <c r="J26" s="455">
        <f t="shared" si="10"/>
        <v>5.980197169998052E-2</v>
      </c>
      <c r="K26" s="455">
        <f t="shared" si="11"/>
        <v>0</v>
      </c>
      <c r="L26" s="455">
        <f t="shared" si="12"/>
        <v>0</v>
      </c>
      <c r="M26" s="455">
        <f t="shared" si="13"/>
        <v>0</v>
      </c>
      <c r="N26" s="455">
        <f t="shared" si="14"/>
        <v>0</v>
      </c>
      <c r="O26" s="455">
        <f t="shared" si="15"/>
        <v>0</v>
      </c>
      <c r="P26" s="456">
        <f t="shared" si="16"/>
        <v>0</v>
      </c>
      <c r="Q26" s="454">
        <f t="shared" ca="1" si="17"/>
        <v>7685.9801988114577</v>
      </c>
    </row>
    <row r="27" spans="1:17" s="460" customFormat="1">
      <c r="A27" s="458" t="s">
        <v>552</v>
      </c>
      <c r="B27" s="778">
        <f t="shared" ca="1" si="2"/>
        <v>15.516379448018247</v>
      </c>
      <c r="C27" s="459">
        <f t="shared" ca="1" si="3"/>
        <v>0</v>
      </c>
      <c r="D27" s="459">
        <f t="shared" si="4"/>
        <v>62.905794632920987</v>
      </c>
      <c r="E27" s="459">
        <f t="shared" si="5"/>
        <v>43.292640361244459</v>
      </c>
      <c r="F27" s="459">
        <f t="shared" si="6"/>
        <v>0</v>
      </c>
      <c r="G27" s="459">
        <f t="shared" si="7"/>
        <v>28300.321981787813</v>
      </c>
      <c r="H27" s="459">
        <f t="shared" si="8"/>
        <v>5067.8824308880594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33489.919227118058</v>
      </c>
    </row>
    <row r="28" spans="1:17" ht="16.5" customHeight="1">
      <c r="A28" s="454" t="s">
        <v>542</v>
      </c>
      <c r="B28" s="455">
        <f t="shared" ca="1" si="2"/>
        <v>0</v>
      </c>
      <c r="C28" s="455">
        <f t="shared" ca="1" si="3"/>
        <v>0</v>
      </c>
      <c r="D28" s="455">
        <f t="shared" si="4"/>
        <v>0</v>
      </c>
      <c r="E28" s="455">
        <f t="shared" si="5"/>
        <v>0</v>
      </c>
      <c r="F28" s="455">
        <f t="shared" si="6"/>
        <v>0</v>
      </c>
      <c r="G28" s="455">
        <f t="shared" si="7"/>
        <v>398.96930576435807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398.96930576435807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94.550754701408323</v>
      </c>
      <c r="C32" s="455">
        <f t="shared" ca="1" si="3"/>
        <v>0</v>
      </c>
      <c r="D32" s="455">
        <f t="shared" si="4"/>
        <v>368.85399333600003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463.40474803740835</v>
      </c>
    </row>
    <row r="33" spans="1:17" s="466" customFormat="1">
      <c r="A33" s="464" t="s">
        <v>546</v>
      </c>
      <c r="B33" s="465">
        <f ca="1">SUM(B22:B32)</f>
        <v>9373.2600436068697</v>
      </c>
      <c r="C33" s="465">
        <f t="shared" ref="C33:Q33" ca="1" si="19">SUM(C22:C32)</f>
        <v>305.54621848739504</v>
      </c>
      <c r="D33" s="465">
        <f t="shared" ca="1" si="19"/>
        <v>28888.883317916912</v>
      </c>
      <c r="E33" s="465">
        <f t="shared" si="19"/>
        <v>172.93130996924106</v>
      </c>
      <c r="F33" s="465">
        <f t="shared" ca="1" si="19"/>
        <v>860.2531735964792</v>
      </c>
      <c r="G33" s="465">
        <f t="shared" si="19"/>
        <v>28699.291287552172</v>
      </c>
      <c r="H33" s="465">
        <f t="shared" si="19"/>
        <v>5067.8824308880594</v>
      </c>
      <c r="I33" s="465">
        <f t="shared" si="19"/>
        <v>0</v>
      </c>
      <c r="J33" s="465">
        <f t="shared" si="19"/>
        <v>28.373746118631875</v>
      </c>
      <c r="K33" s="465">
        <f t="shared" si="19"/>
        <v>0</v>
      </c>
      <c r="L33" s="465">
        <f t="shared" ca="1" si="19"/>
        <v>0</v>
      </c>
      <c r="M33" s="465">
        <f t="shared" si="19"/>
        <v>0</v>
      </c>
      <c r="N33" s="465">
        <f t="shared" ca="1" si="19"/>
        <v>0</v>
      </c>
      <c r="O33" s="465">
        <f t="shared" si="19"/>
        <v>0</v>
      </c>
      <c r="P33" s="465">
        <f t="shared" si="19"/>
        <v>0</v>
      </c>
      <c r="Q33" s="465">
        <f t="shared" ca="1" si="19"/>
        <v>73396.421528135776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5419.9162283975147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900</v>
      </c>
      <c r="D8" s="1026">
        <f>'SEAP template'!D76</f>
        <v>1058.8235294117646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213.88235294117646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5419.9162283975147</v>
      </c>
      <c r="C10" s="1028">
        <f>SUM(C4:C9)</f>
        <v>900</v>
      </c>
      <c r="D10" s="1028">
        <f t="shared" ref="D10:H10" si="0">SUM(D8:D9)</f>
        <v>1058.8235294117646</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213.88235294117646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0.19623673097515096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1285.7142857142858</v>
      </c>
      <c r="D17" s="1027">
        <f>'SEAP template'!D87</f>
        <v>1512.6050420168069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305.54621848739504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1285.7142857142858</v>
      </c>
      <c r="D20" s="1028">
        <f t="shared" ref="D20:H20" si="2">SUM(D17:D19)</f>
        <v>1512.6050420168069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305.54621848739504</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0.19623673097515096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2020-06-20T15:17:40Z</dcterms:modified>
</cp:coreProperties>
</file>