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S32" i="18"/>
  <c r="R32" i="18"/>
  <c r="Q32" i="18"/>
  <c r="P32" i="18"/>
  <c r="D6" i="17" s="1"/>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<sst xmlns="http://schemas.openxmlformats.org/spreadsheetml/2006/main" count="2366" uniqueCount="865">
  <si>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</si>
  <si>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</si>
  <si>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</si>
  <si>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</si>
  <si>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</si>
  <si>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</si>
  <si>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</si>
  <si>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</si>
  <si>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</si>
  <si>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</si>
  <si>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</si>
  <si>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</si>
  <si>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</si>
  <si>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</si>
  <si>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</si>
  <si>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</si>
  <si>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</si>
  <si>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</si>
  <si>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</si>
  <si>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</si>
  <si>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</si>
  <si>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</si>
  <si>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</si>
  <si>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</si>
  <si>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</si>
  <si>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</si>
  <si>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</si>
  <si>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</si>
  <si>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</si>
  <si>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</si>
  <si>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</si>
  <si>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</si>
  <si>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</si>
  <si>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</si>
  <si>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</si>
  <si>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</si>
  <si>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</si>
  <si>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</si>
  <si>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</si>
  <si>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</si>
  <si>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</si>
  <si>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</si>
  <si>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</si>
  <si>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</si>
  <si>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</si>
  <si>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</si>
  <si>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</si>
  <si>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</si>
  <si>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</si>
  <si>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</si>
  <si>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</si>
  <si>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</si>
  <si>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</si>
  <si>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</si>
  <si>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</si>
  <si>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</si>
  <si>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</si>
  <si>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</si>
  <si>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</si>
  <si>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</si>
  <si>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</si>
  <si>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</si>
  <si>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</si>
  <si>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</si>
  <si>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</si>
  <si>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</si>
  <si>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</si>
  <si>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</si>
  <si>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</si>
  <si>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</si>
  <si>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</si>
  <si>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</si>
  <si>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</si>
  <si>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</si>
  <si>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</si>
  <si>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</si>
  <si>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</si>
  <si>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</si>
  <si>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</si>
  <si>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</si>
  <si>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</si>
  <si>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</si>
  <si>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</si>
  <si>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</si>
  <si>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</si>
  <si>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</si>
  <si>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</si>
  <si>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</si>
  <si>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</si>
  <si>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</si>
  <si>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</si>
  <si>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</si>
  <si>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</si>
  <si>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</si>
  <si>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</si>
  <si>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</si>
  <si>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</si>
  <si>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</si>
  <si>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</si>
  <si>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</si>
  <si>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</si>
  <si>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</si>
  <si>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</si>
  <si>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</si>
  <si>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</si>
  <si>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</si>
  <si>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</si>
  <si>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</si>
  <si>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</si>
  <si>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</si>
  <si>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</si>
  <si>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</si>
  <si>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</si>
  <si>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</si>
  <si>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</si>
  <si>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</si>
  <si>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</si>
  <si>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</si>
  <si>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</si>
  <si>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</si>
  <si>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</si>
  <si>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</si>
  <si>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</si>
  <si>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</si>
  <si>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</si>
  <si>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</si>
  <si>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</si>
  <si>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</si>
  <si>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</si>
  <si>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</si>
  <si>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</si>
  <si>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</si>
  <si>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</si>
  <si>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</si>
  <si>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</si>
  <si>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</si>
  <si>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</si>
  <si>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</si>
  <si>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</si>
  <si>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</si>
  <si>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</si>
  <si>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</si>
  <si>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</si>
  <si>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</si>
  <si>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</si>
  <si>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</si>
  <si>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</si>
  <si>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</si>
  <si>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</si>
  <si>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</si>
  <si>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</si>
  <si>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</si>
  <si>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</si>
  <si>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</si>
  <si>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</si>
  <si>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</si>
  <si>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</si>
  <si>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</si>
  <si>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</si>
  <si>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</si>
  <si>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</si>
  <si>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</si>
  <si>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</si>
  <si>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</si>
  <si>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</si>
  <si>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</si>
  <si>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</si>
  <si>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</si>
  <si>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</si>
  <si>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</si>
  <si>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</si>
  <si>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</si>
  <si>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</si>
  <si>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</si>
  <si>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</si>
  <si>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</si>
  <si>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</si>
  <si>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</si>
  <si>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</si>
  <si>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</si>
  <si>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</si>
  <si>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</si>
  <si>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</si>
  <si>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</si>
  <si>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</si>
  <si>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</si>
  <si>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</si>
  <si>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</si>
  <si>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</si>
  <si>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</si>
  <si>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</si>
  <si>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</si>
  <si>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</si>
  <si>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</si>
  <si>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</si>
  <si>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</si>
  <si>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</si>
  <si>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</si>
  <si>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</si>
  <si>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</si>
  <si>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</si>
  <si>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</si>
  <si>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</si>
  <si>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</si>
  <si>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</si>
  <si>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</si>
  <si>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</si>
  <si>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</si>
  <si>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</si>
  <si>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</si>
  <si>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</si>
  <si>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</si>
  <si>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</si>
  <si>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</si>
  <si>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</si>
  <si>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</si>
  <si>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</si>
  <si>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</si>
  <si>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</si>
  <si>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</si>
  <si>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</si>
  <si>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</si>
  <si>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</si>
  <si>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</si>
  <si>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</si>
  <si>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</si>
  <si>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</si>
  <si>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</si>
  <si>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</si>
  <si>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</si>
  <si>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</si>
  <si>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</si>
  <si>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</si>
  <si>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</si>
  <si>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</si>
  <si>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</si>
  <si>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</si>
  <si>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</si>
  <si>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</si>
  <si>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</si>
  <si>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</si>
  <si>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</si>
  <si>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</si>
  <si>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</si>
  <si>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</si>
  <si>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</si>
  <si>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</si>
  <si>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</si>
  <si>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</si>
  <si>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</si>
  <si>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</si>
  <si>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</si>
  <si>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</si>
  <si>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</si>
  <si>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</si>
  <si>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</si>
  <si>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</si>
  <si>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</si>
  <si>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</si>
  <si>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</si>
  <si>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</si>
  <si>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</si>
  <si>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</si>
  <si>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</si>
  <si>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</si>
  <si>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</si>
  <si>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</si>
  <si>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</si>
  <si>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</si>
  <si>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</si>
  <si>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</si>
  <si>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</si>
  <si>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</si>
  <si>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</si>
  <si>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</si>
  <si>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</si>
  <si>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</si>
  <si>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</si>
  <si>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</si>
  <si>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</si>
  <si>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</si>
  <si>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</si>
  <si>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</si>
  <si>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</si>
  <si>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</si>
  <si>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</si>
  <si>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</si>
  <si>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</si>
  <si>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</si>
  <si>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</si>
  <si>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</si>
  <si>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</si>
  <si>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</si>
  <si>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</si>
  <si>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</si>
  <si>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</si>
  <si>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</si>
  <si>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</si>
  <si>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</si>
  <si>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</si>
  <si>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</si>
  <si>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</si>
  <si>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</si>
  <si>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</si>
  <si>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</si>
  <si>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</si>
  <si>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</si>
  <si>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</si>
  <si>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</si>
  <si>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</si>
  <si>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</si>
  <si>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</si>
  <si>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</si>
  <si>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</si>
  <si>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</si>
  <si>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</si>
  <si>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</si>
  <si>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</si>
  <si>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</si>
  <si>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</si>
  <si>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</si>
  <si>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</si>
  <si>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</si>
  <si>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</si>
  <si>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</si>
  <si>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</si>
  <si>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</si>
  <si>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</si>
  <si>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</si>
  <si>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</si>
  <si>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</si>
  <si>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</si>
  <si>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</si>
  <si>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</si>
  <si>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</si>
  <si>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</si>
  <si>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</si>
  <si>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</si>
  <si>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</si>
  <si>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</si>
  <si>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</si>
  <si>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</si>
  <si>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</si>
  <si>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</si>
  <si>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</si>
  <si>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</si>
  <si>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</si>
  <si>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</si>
  <si>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</si>
  <si>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</si>
  <si>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</si>
  <si>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</si>
  <si>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</si>
  <si>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</si>
  <si>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</si>
  <si>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</si>
  <si>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</si>
  <si>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</si>
  <si>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</si>
  <si>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</si>
  <si>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</si>
  <si>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</si>
  <si>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</si>
  <si>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</si>
  <si>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</si>
  <si>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</si>
  <si>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</si>
  <si>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</si>
  <si>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</si>
  <si>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</si>
  <si>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</si>
  <si>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</si>
  <si>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</si>
  <si>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</si>
  <si>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</si>
  <si>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</si>
  <si>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</si>
  <si>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</si>
  <si>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</si>
  <si>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</si>
  <si>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</si>
  <si>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</si>
  <si>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</si>
  <si>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</si>
  <si>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</si>
  <si>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</si>
  <si>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</si>
  <si>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</si>
  <si>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</si>
  <si>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</si>
  <si>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</si>
  <si>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</si>
  <si>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</si>
  <si>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</si>
  <si>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</si>
  <si>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</si>
  <si>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</si>
  <si>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</si>
  <si>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</si>
  <si>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</si>
  <si>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</si>
  <si>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</si>
  <si>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</si>
  <si>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</si>
  <si>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</si>
  <si>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</si>
  <si>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</si>
  <si>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</si>
  <si>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</si>
  <si>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</si>
  <si>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</si>
  <si>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</si>
  <si>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</si>
  <si>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</si>
  <si>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</si>
  <si>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</si>
  <si>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</si>
  <si>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</si>
  <si>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</si>
  <si>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</si>
  <si>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</si>
  <si>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</si>
  <si>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</si>
  <si>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</si>
  <si>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</si>
  <si>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</si>
  <si>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</si>
  <si>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</si>
  <si>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</si>
  <si>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</si>
  <si>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</si>
  <si>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</si>
  <si>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</si>
  <si>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</si>
  <si>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</si>
  <si>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</si>
  <si>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</si>
  <si>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</si>
  <si>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</si>
  <si>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</si>
  <si>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</si>
  <si>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</si>
  <si>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</si>
  <si>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</si>
  <si>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</si>
  <si>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</si>
  <si>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</si>
  <si>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</si>
  <si>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</si>
  <si>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</si>
  <si>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</si>
  <si>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</si>
  <si>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</si>
  <si>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</si>
  <si>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</si>
  <si>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</si>
  <si>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</si>
  <si>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</si>
  <si>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</si>
  <si>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</si>
  <si>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</si>
  <si>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</si>
  <si>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</si>
  <si>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</si>
  <si>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</si>
  <si>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</si>
  <si>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</si>
  <si>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</si>
  <si>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</si>
  <si>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</si>
  <si>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</si>
  <si>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</si>
  <si>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</si>
  <si>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</si>
  <si>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</si>
  <si>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</si>
  <si>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</si>
  <si>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</si>
  <si>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</si>
  <si>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</si>
  <si>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</si>
  <si>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</si>
  <si>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</si>
  <si>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</si>
  <si>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</si>
  <si>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</si>
  <si>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</si>
  <si>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</si>
  <si>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</si>
  <si>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</si>
  <si>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</si>
  <si>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</si>
  <si>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</si>
  <si>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</si>
  <si>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</si>
  <si>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</si>
  <si>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</si>
  <si>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</si>
  <si>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</si>
  <si>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</si>
  <si>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</si>
  <si>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</si>
  <si>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</si>
  <si>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</si>
  <si>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</si>
  <si>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</si>
  <si>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</si>
  <si>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</si>
  <si>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</si>
  <si>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</si>
  <si>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</si>
  <si>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</si>
  <si>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</si>
  <si>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</si>
  <si>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</si>
  <si>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</si>
  <si>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</si>
  <si>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</si>
  <si>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</si>
  <si>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</si>
  <si>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</si>
  <si>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</si>
  <si>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</si>
  <si>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</si>
  <si>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</si>
  <si>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</si>
  <si>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</si>
  <si>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</si>
  <si>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</si>
  <si>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</si>
  <si>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</si>
  <si>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</si>
  <si>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</si>
  <si>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</si>
  <si>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</si>
  <si>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</si>
  <si>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</si>
  <si>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</si>
  <si>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</si>
  <si>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</si>
  <si>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</si>
  <si>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</si>
  <si>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</si>
  <si>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</si>
  <si>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</si>
  <si>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</si>
  <si>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</si>
  <si>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</si>
  <si>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</si>
  <si>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</si>
  <si>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</si>
  <si>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</si>
  <si>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</si>
  <si>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</si>
  <si>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</si>
  <si>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</si>
  <si>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</si>
  <si>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</si>
  <si>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</si>
  <si>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</si>
  <si>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</si>
  <si>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</si>
  <si>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</si>
  <si>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</si>
  <si>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</si>
  <si>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</si>
  <si>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</si>
  <si>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</si>
  <si>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</si>
  <si>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</si>
  <si>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</si>
  <si>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</si>
  <si>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</si>
  <si>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</si>
  <si>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</si>
  <si>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</si>
  <si>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</si>
  <si>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</si>
  <si>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</si>
  <si>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</si>
  <si>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</si>
  <si>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</si>
  <si>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</si>
  <si>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</si>
  <si>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</si>
  <si>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</si>
  <si>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</si>
  <si>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</si>
  <si>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</si>
  <si>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</si>
  <si>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</si>
  <si>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</si>
  <si>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</si>
  <si>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</si>
  <si>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</si>
  <si>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</si>
  <si>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</si>
  <si>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</si>
  <si>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</si>
  <si>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</si>
  <si>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</si>
  <si>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</si>
  <si>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</si>
  <si>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</si>
  <si>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</si>
  <si>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</si>
  <si>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</si>
  <si>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</si>
  <si>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</si>
  <si>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</si>
  <si>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</si>
  <si>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</si>
  <si>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</si>
  <si>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</si>
  <si>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</si>
  <si>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</si>
  <si>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</si>
  <si>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</si>
  <si>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</si>
  <si>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</si>
  <si>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</si>
  <si>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</si>
  <si>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</si>
  <si>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</si>
  <si>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</si>
  <si>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</si>
  <si>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</si>
  <si>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</si>
  <si>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</si>
  <si>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</si>
  <si>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</si>
  <si>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</si>
  <si>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</si>
  <si>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</si>
  <si>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</si>
  <si>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</si>
  <si>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</si>
  <si>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</si>
  <si>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</si>
  <si>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</si>
  <si>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</si>
  <si>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</si>
  <si>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</si>
  <si>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</si>
  <si>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</si>
  <si>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</si>
  <si>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</si>
  <si>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</si>
  <si>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</si>
  <si>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</si>
  <si>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</si>
  <si>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</si>
  <si>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</si>
  <si>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</si>
  <si>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</si>
  <si>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</si>
  <si>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</si>
  <si>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</si>
  <si>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</si>
  <si>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</si>
  <si>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</si>
  <si>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</si>
  <si>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</si>
  <si>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</si>
  <si>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</si>
  <si>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</si>
  <si>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</si>
  <si>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</si>
  <si>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</si>
  <si>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</si>
  <si>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</si>
  <si>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</si>
  <si>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</si>
  <si>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</si>
  <si>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</si>
  <si>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</si>
  <si>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</si>
  <si>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</si>
  <si>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</si>
  <si>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</si>
  <si>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</si>
  <si>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</si>
  <si>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</si>
  <si>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</si>
  <si>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</si>
  <si>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</si>
  <si>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</si>
  <si>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</si>
  <si>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</si>
  <si>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</si>
  <si>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</si>
  <si>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</si>
  <si>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</si>
  <si>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</si>
  <si>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</si>
  <si>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</si>
  <si>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</si>
  <si>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</si>
  <si>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</si>
  <si>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</si>
  <si>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</si>
  <si>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</si>
  <si>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</si>
  <si>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</si>
  <si>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</si>
  <si>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</si>
  <si>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</si>
  <si>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</si>
  <si>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</si>
  <si>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</si>
  <si>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</si>
  <si>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</si>
  <si>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</si>
  <si>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</si>
  <si>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</si>
  <si>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</si>
  <si>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</si>
  <si>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</si>
  <si>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</si>
  <si>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</si>
  <si>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</si>
  <si>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</si>
  <si>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</si>
  <si>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</si>
  <si>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</si>
  <si>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</si>
  <si>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</si>
  <si>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</si>
  <si>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</si>
  <si>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</si>
  <si>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</si>
  <si>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</si>
  <si>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</si>
  <si>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</si>
  <si>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</si>
  <si>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</si>
  <si>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</si>
  <si>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</si>
  <si>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</si>
  <si>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</si>
  <si>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</si>
  <si>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</si>
  <si>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</si>
  <si>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</si>
  <si>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</si>
  <si>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</si>
  <si>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</si>
  <si>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</si>
  <si>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</si>
  <si>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</si>
  <si>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</si>
  <si>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</si>
  <si>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</si>
  <si>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</si>
  <si>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</si>
  <si>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</si>
  <si>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</si>
  <si>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</si>
  <si>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</si>
  <si>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</si>
  <si>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</si>
  <si>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</si>
  <si>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</si>
  <si>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</si>
  <si>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</si>
  <si>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</si>
  <si>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</si>
  <si>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</si>
  <si>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</si>
  <si>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</si>
  <si>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</si>
  <si>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</si>
  <si>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</si>
  <si>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</si>
  <si>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</si>
  <si>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</si>
  <si>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</si>
  <si>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</si>
  <si>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</si>
  <si>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</si>
  <si>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</si>
  <si>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</si>
  <si>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</si>
  <si>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</si>
  <si>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</si>
  <si>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</si>
  <si>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</si>
  <si>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</si>
  <si>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</si>
  <si>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</si>
  <si>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</si>
  <si>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</si>
  <si>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</si>
  <si>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</si>
  <si>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</si>
  <si>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</si>
  <si>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</si>
  <si>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</si>
  <si>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</si>
  <si>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</si>
  <si>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</si>
  <si>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</si>
  <si>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</si>
  <si>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</si>
  <si>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</si>
  <si>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</si>
  <si>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</si>
  <si>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</si>
  <si>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</si>
  <si>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</si>
  <si>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</si>
  <si>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</si>
  <si>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</si>
  <si>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</si>
  <si>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</si>
  <si>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</si>
  <si>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</si>
  <si>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</si>
  <si>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</si>
  <si>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</si>
  <si>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</si>
  <si>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</si>
  <si>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</si>
  <si>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</si>
  <si>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</si>
  <si>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</si>
  <si>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</si>
  <si>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</si>
  <si>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</si>
  <si>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</si>
  <si>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</si>
  <si>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</si>
  <si>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</si>
  <si>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</si>
  <si>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</si>
  <si>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</si>
  <si>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</si>
  <si>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</si>
  <si>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</si>
  <si>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</si>
  <si>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</si>
  <si>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</si>
  <si>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</si>
  <si>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</si>
  <si>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</si>
  <si>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</si>
  <si>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</si>
  <si>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</si>
  <si>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</si>
  <si>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</si>
  <si>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</si>
  <si>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</si>
  <si>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</si>
  <si>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</si>
  <si>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</si>
  <si>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</si>
  <si>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</si>
  <si>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</si>
  <si>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</si>
  <si>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</si>
  <si>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</si>
  <si>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</si>
  <si>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11038</t>
  </si>
  <si>
    <t>SCHELLE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</si>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</sst>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54905.517556274717</c:v>
                </c:pt>
                <c:pt idx="1">
                  <c:v>26614.365643942376</c:v>
                </c:pt>
                <c:pt idx="2">
                  <c:v>354.70400000000001</c:v>
                </c:pt>
                <c:pt idx="3">
                  <c:v>656.62426813477271</c:v>
                </c:pt>
                <c:pt idx="4">
                  <c:v>5104.9130858510289</c:v>
                </c:pt>
                <c:pt idx="5">
                  <c:v>68892.219894863418</c:v>
                </c:pt>
                <c:pt idx="6">
                  <c:v>641.54703969852699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54905.517556274717</c:v>
                </c:pt>
                <c:pt idx="1">
                  <c:v>26614.365643942376</c:v>
                </c:pt>
                <c:pt idx="2">
                  <c:v>354.70400000000001</c:v>
                </c:pt>
                <c:pt idx="3">
                  <c:v>656.62426813477271</c:v>
                </c:pt>
                <c:pt idx="4">
                  <c:v>5104.9130858510289</c:v>
                </c:pt>
                <c:pt idx="5">
                  <c:v>68892.219894863418</c:v>
                </c:pt>
                <c:pt idx="6">
                  <c:v>641.54703969852699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9516.1569994757829</c:v>
                </c:pt>
                <c:pt idx="1">
                  <c:v>4620.5200989659052</c:v>
                </c:pt>
                <c:pt idx="2">
                  <c:v>48.920027845830852</c:v>
                </c:pt>
                <c:pt idx="3">
                  <c:v>158.91545113770971</c:v>
                </c:pt>
                <c:pt idx="4">
                  <c:v>958.27688899821271</c:v>
                </c:pt>
                <c:pt idx="5">
                  <c:v>17189.584238367748</c:v>
                </c:pt>
                <c:pt idx="6">
                  <c:v>162.4761768464009</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9516.1569994757829</c:v>
                </c:pt>
                <c:pt idx="1">
                  <c:v>4620.5200989659052</c:v>
                </c:pt>
                <c:pt idx="2">
                  <c:v>48.920027845830852</c:v>
                </c:pt>
                <c:pt idx="3">
                  <c:v>158.91545113770971</c:v>
                </c:pt>
                <c:pt idx="4">
                  <c:v>958.27688899821271</c:v>
                </c:pt>
                <c:pt idx="5">
                  <c:v>17189.584238367748</c:v>
                </c:pt>
                <c:pt idx="6">
                  <c:v>162.4761768464009</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11038</v>
      </c>
      <c r="B6" s="392"/>
      <c r="C6" s="393"/>
    </row>
    <row r="7" spans="1:7" s="390" customFormat="1" ht="15.75" customHeight="1">
      <c r="A7" s="394" t="str">
        <f>txtMunicipality</f>
        <v>SCHELLE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0.1379178916669416</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0.1379178916669416</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3482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286.01</v>
      </c>
      <c r="C14" s="332"/>
      <c r="D14" s="332"/>
      <c r="E14" s="332"/>
      <c r="F14" s="332"/>
    </row>
    <row r="15" spans="1:6">
      <c r="A15" s="1310" t="s">
        <v>183</v>
      </c>
      <c r="B15" s="1311">
        <v>1</v>
      </c>
      <c r="C15" s="332"/>
      <c r="D15" s="332"/>
      <c r="E15" s="332"/>
      <c r="F15" s="332"/>
    </row>
    <row r="16" spans="1:6">
      <c r="A16" s="1310" t="s">
        <v>6</v>
      </c>
      <c r="B16" s="1311">
        <v>138</v>
      </c>
      <c r="C16" s="332"/>
      <c r="D16" s="332"/>
      <c r="E16" s="332"/>
      <c r="F16" s="332"/>
    </row>
    <row r="17" spans="1:6">
      <c r="A17" s="1310" t="s">
        <v>7</v>
      </c>
      <c r="B17" s="1311">
        <v>12</v>
      </c>
      <c r="C17" s="332"/>
      <c r="D17" s="332"/>
      <c r="E17" s="332"/>
      <c r="F17" s="332"/>
    </row>
    <row r="18" spans="1:6">
      <c r="A18" s="1310" t="s">
        <v>8</v>
      </c>
      <c r="B18" s="1311">
        <v>52</v>
      </c>
      <c r="C18" s="332"/>
      <c r="D18" s="332"/>
      <c r="E18" s="332"/>
      <c r="F18" s="332"/>
    </row>
    <row r="19" spans="1:6">
      <c r="A19" s="1310" t="s">
        <v>9</v>
      </c>
      <c r="B19" s="1311">
        <v>45</v>
      </c>
      <c r="C19" s="332"/>
      <c r="D19" s="332"/>
      <c r="E19" s="332"/>
      <c r="F19" s="332"/>
    </row>
    <row r="20" spans="1:6">
      <c r="A20" s="1310" t="s">
        <v>10</v>
      </c>
      <c r="B20" s="1311">
        <v>57</v>
      </c>
      <c r="C20" s="332"/>
      <c r="D20" s="332"/>
      <c r="E20" s="332"/>
      <c r="F20" s="332"/>
    </row>
    <row r="21" spans="1:6">
      <c r="A21" s="1310" t="s">
        <v>11</v>
      </c>
      <c r="B21" s="1311">
        <v>0</v>
      </c>
      <c r="C21" s="332"/>
      <c r="D21" s="332"/>
      <c r="E21" s="332"/>
      <c r="F21" s="332"/>
    </row>
    <row r="22" spans="1:6">
      <c r="A22" s="1310" t="s">
        <v>12</v>
      </c>
      <c r="B22" s="1311">
        <v>0</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118</v>
      </c>
      <c r="C26" s="332"/>
      <c r="D26" s="332"/>
      <c r="E26" s="332"/>
      <c r="F26" s="332"/>
    </row>
    <row r="27" spans="1:6">
      <c r="A27" s="1310" t="s">
        <v>17</v>
      </c>
      <c r="B27" s="1311">
        <v>0</v>
      </c>
      <c r="C27" s="332"/>
      <c r="D27" s="332"/>
      <c r="E27" s="332"/>
      <c r="F27" s="332"/>
    </row>
    <row r="28" spans="1:6" s="43" customFormat="1">
      <c r="A28" s="1312" t="s">
        <v>18</v>
      </c>
      <c r="B28" s="1313">
        <v>0</v>
      </c>
      <c r="C28" s="338"/>
      <c r="D28" s="338"/>
      <c r="E28" s="338"/>
      <c r="F28" s="338"/>
    </row>
    <row r="29" spans="1:6">
      <c r="A29" s="1312" t="s">
        <v>699</v>
      </c>
      <c r="B29" s="1313">
        <v>9</v>
      </c>
      <c r="C29" s="338"/>
      <c r="D29" s="338"/>
      <c r="E29" s="338"/>
      <c r="F29" s="338"/>
    </row>
    <row r="30" spans="1:6">
      <c r="A30" s="1305" t="s">
        <v>700</v>
      </c>
      <c r="B30" s="1314">
        <v>1</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5</v>
      </c>
      <c r="F36" s="1311">
        <v>101292.717682692</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2882</v>
      </c>
      <c r="D39" s="1311">
        <v>40758919.414819397</v>
      </c>
      <c r="E39" s="1311">
        <v>3476</v>
      </c>
      <c r="F39" s="1311">
        <v>12229600.2946373</v>
      </c>
    </row>
    <row r="40" spans="1:6">
      <c r="A40" s="1310" t="s">
        <v>29</v>
      </c>
      <c r="B40" s="1310" t="s">
        <v>28</v>
      </c>
      <c r="C40" s="1311">
        <v>0</v>
      </c>
      <c r="D40" s="1311">
        <v>0</v>
      </c>
      <c r="E40" s="1311">
        <v>0</v>
      </c>
      <c r="F40" s="1311">
        <v>0</v>
      </c>
    </row>
    <row r="41" spans="1:6">
      <c r="A41" s="1310" t="s">
        <v>31</v>
      </c>
      <c r="B41" s="1310" t="s">
        <v>32</v>
      </c>
      <c r="C41" s="1311">
        <v>31</v>
      </c>
      <c r="D41" s="1311">
        <v>1233841.15625771</v>
      </c>
      <c r="E41" s="1311">
        <v>58</v>
      </c>
      <c r="F41" s="1311">
        <v>841450.97662807</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4</v>
      </c>
      <c r="D44" s="1311">
        <v>126317.88209364501</v>
      </c>
      <c r="E44" s="1311">
        <v>7</v>
      </c>
      <c r="F44" s="1311">
        <v>142146.817119007</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2</v>
      </c>
      <c r="D48" s="1311">
        <v>99831.467505994806</v>
      </c>
      <c r="E48" s="1311">
        <v>4</v>
      </c>
      <c r="F48" s="1311">
        <v>126850.77294701499</v>
      </c>
    </row>
    <row r="49" spans="1:6">
      <c r="A49" s="1310" t="s">
        <v>31</v>
      </c>
      <c r="B49" s="1310" t="s">
        <v>39</v>
      </c>
      <c r="C49" s="1311">
        <v>0</v>
      </c>
      <c r="D49" s="1311">
        <v>0</v>
      </c>
      <c r="E49" s="1311">
        <v>0</v>
      </c>
      <c r="F49" s="1311">
        <v>0</v>
      </c>
    </row>
    <row r="50" spans="1:6">
      <c r="A50" s="1310" t="s">
        <v>31</v>
      </c>
      <c r="B50" s="1310" t="s">
        <v>40</v>
      </c>
      <c r="C50" s="1311">
        <v>10</v>
      </c>
      <c r="D50" s="1311">
        <v>1836902.89874645</v>
      </c>
      <c r="E50" s="1311">
        <v>10</v>
      </c>
      <c r="F50" s="1311">
        <v>415457.39023542998</v>
      </c>
    </row>
    <row r="51" spans="1:6">
      <c r="A51" s="1310" t="s">
        <v>41</v>
      </c>
      <c r="B51" s="1310" t="s">
        <v>42</v>
      </c>
      <c r="C51" s="1311">
        <v>0</v>
      </c>
      <c r="D51" s="1311">
        <v>0</v>
      </c>
      <c r="E51" s="1311">
        <v>5</v>
      </c>
      <c r="F51" s="1311">
        <v>140044.218571042</v>
      </c>
    </row>
    <row r="52" spans="1:6">
      <c r="A52" s="1310" t="s">
        <v>41</v>
      </c>
      <c r="B52" s="1310" t="s">
        <v>28</v>
      </c>
      <c r="C52" s="1311">
        <v>1</v>
      </c>
      <c r="D52" s="1311">
        <v>22411.421115894402</v>
      </c>
      <c r="E52" s="1311">
        <v>0</v>
      </c>
      <c r="F52" s="1311">
        <v>0</v>
      </c>
    </row>
    <row r="53" spans="1:6">
      <c r="A53" s="1310" t="s">
        <v>43</v>
      </c>
      <c r="B53" s="1310" t="s">
        <v>44</v>
      </c>
      <c r="C53" s="1311">
        <v>46</v>
      </c>
      <c r="D53" s="1311">
        <v>885968.77586455899</v>
      </c>
      <c r="E53" s="1311">
        <v>114</v>
      </c>
      <c r="F53" s="1311">
        <v>274131.74378456897</v>
      </c>
    </row>
    <row r="54" spans="1:6">
      <c r="A54" s="1310" t="s">
        <v>45</v>
      </c>
      <c r="B54" s="1310" t="s">
        <v>46</v>
      </c>
      <c r="C54" s="1311">
        <v>0</v>
      </c>
      <c r="D54" s="1311">
        <v>0</v>
      </c>
      <c r="E54" s="1311">
        <v>1</v>
      </c>
      <c r="F54" s="1311">
        <v>354704</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21</v>
      </c>
      <c r="D57" s="1311">
        <v>1074025.0675190799</v>
      </c>
      <c r="E57" s="1311">
        <v>57</v>
      </c>
      <c r="F57" s="1311">
        <v>864175.86256526096</v>
      </c>
    </row>
    <row r="58" spans="1:6">
      <c r="A58" s="1310" t="s">
        <v>48</v>
      </c>
      <c r="B58" s="1310" t="s">
        <v>50</v>
      </c>
      <c r="C58" s="1311">
        <v>14</v>
      </c>
      <c r="D58" s="1311">
        <v>818193.67746909102</v>
      </c>
      <c r="E58" s="1311">
        <v>19</v>
      </c>
      <c r="F58" s="1311">
        <v>246714.813932825</v>
      </c>
    </row>
    <row r="59" spans="1:6">
      <c r="A59" s="1310" t="s">
        <v>48</v>
      </c>
      <c r="B59" s="1310" t="s">
        <v>51</v>
      </c>
      <c r="C59" s="1311">
        <v>73</v>
      </c>
      <c r="D59" s="1311">
        <v>3302539.0305317999</v>
      </c>
      <c r="E59" s="1311">
        <v>112</v>
      </c>
      <c r="F59" s="1311">
        <v>5406169.5836281404</v>
      </c>
    </row>
    <row r="60" spans="1:6">
      <c r="A60" s="1310" t="s">
        <v>48</v>
      </c>
      <c r="B60" s="1310" t="s">
        <v>52</v>
      </c>
      <c r="C60" s="1311">
        <v>16</v>
      </c>
      <c r="D60" s="1311">
        <v>1163341.03639494</v>
      </c>
      <c r="E60" s="1311">
        <v>23</v>
      </c>
      <c r="F60" s="1311">
        <v>1223783.5637038399</v>
      </c>
    </row>
    <row r="61" spans="1:6">
      <c r="A61" s="1310" t="s">
        <v>48</v>
      </c>
      <c r="B61" s="1310" t="s">
        <v>53</v>
      </c>
      <c r="C61" s="1311">
        <v>107</v>
      </c>
      <c r="D61" s="1311">
        <v>6972736.3638189901</v>
      </c>
      <c r="E61" s="1311">
        <v>171</v>
      </c>
      <c r="F61" s="1311">
        <v>4628873.8467241405</v>
      </c>
    </row>
    <row r="62" spans="1:6">
      <c r="A62" s="1310" t="s">
        <v>48</v>
      </c>
      <c r="B62" s="1310" t="s">
        <v>54</v>
      </c>
      <c r="C62" s="1311">
        <v>0</v>
      </c>
      <c r="D62" s="1311">
        <v>0</v>
      </c>
      <c r="E62" s="1311">
        <v>4</v>
      </c>
      <c r="F62" s="1311">
        <v>47578.361449464297</v>
      </c>
    </row>
    <row r="63" spans="1:6">
      <c r="A63" s="1310" t="s">
        <v>48</v>
      </c>
      <c r="B63" s="1310" t="s">
        <v>28</v>
      </c>
      <c r="C63" s="1311">
        <v>2</v>
      </c>
      <c r="D63" s="1311">
        <v>251973.48378457801</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1</v>
      </c>
      <c r="F65" s="1311">
        <v>1190.3468262598999</v>
      </c>
    </row>
    <row r="66" spans="1:6">
      <c r="A66" s="1310" t="s">
        <v>55</v>
      </c>
      <c r="B66" s="1310" t="s">
        <v>57</v>
      </c>
      <c r="C66" s="1311">
        <v>0</v>
      </c>
      <c r="D66" s="1311">
        <v>0</v>
      </c>
      <c r="E66" s="1311">
        <v>0</v>
      </c>
      <c r="F66" s="1311">
        <v>0</v>
      </c>
    </row>
    <row r="67" spans="1:6">
      <c r="A67" s="1312" t="s">
        <v>55</v>
      </c>
      <c r="B67" s="1312" t="s">
        <v>58</v>
      </c>
      <c r="C67" s="1311">
        <v>0</v>
      </c>
      <c r="D67" s="1311">
        <v>0</v>
      </c>
      <c r="E67" s="1311">
        <v>0</v>
      </c>
      <c r="F67" s="1311">
        <v>0</v>
      </c>
    </row>
    <row r="68" spans="1:6">
      <c r="A68" s="1305" t="s">
        <v>55</v>
      </c>
      <c r="B68" s="1305" t="s">
        <v>59</v>
      </c>
      <c r="C68" s="1314">
        <v>4</v>
      </c>
      <c r="D68" s="1314">
        <v>202715.87533132799</v>
      </c>
      <c r="E68" s="1314">
        <v>10</v>
      </c>
      <c r="F68" s="1314">
        <v>306794.30176583998</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56503630</v>
      </c>
      <c r="E73" s="453"/>
      <c r="F73" s="332"/>
    </row>
    <row r="74" spans="1:6">
      <c r="A74" s="1310" t="s">
        <v>63</v>
      </c>
      <c r="B74" s="1310" t="s">
        <v>648</v>
      </c>
      <c r="C74" s="1324" t="s">
        <v>650</v>
      </c>
      <c r="D74" s="1325">
        <v>10885011.216344604</v>
      </c>
      <c r="E74" s="453"/>
      <c r="F74" s="332"/>
    </row>
    <row r="75" spans="1:6">
      <c r="A75" s="1310" t="s">
        <v>64</v>
      </c>
      <c r="B75" s="1310" t="s">
        <v>647</v>
      </c>
      <c r="C75" s="1324" t="s">
        <v>651</v>
      </c>
      <c r="D75" s="1325">
        <v>3533313</v>
      </c>
      <c r="E75" s="453"/>
      <c r="F75" s="332"/>
    </row>
    <row r="76" spans="1:6">
      <c r="A76" s="1310" t="s">
        <v>64</v>
      </c>
      <c r="B76" s="1310" t="s">
        <v>648</v>
      </c>
      <c r="C76" s="1324" t="s">
        <v>652</v>
      </c>
      <c r="D76" s="1325">
        <v>87159.216344603497</v>
      </c>
      <c r="E76" s="453"/>
      <c r="F76" s="332"/>
    </row>
    <row r="77" spans="1:6">
      <c r="A77" s="1310" t="s">
        <v>65</v>
      </c>
      <c r="B77" s="1310" t="s">
        <v>647</v>
      </c>
      <c r="C77" s="1324" t="s">
        <v>653</v>
      </c>
      <c r="D77" s="1325">
        <v>463825</v>
      </c>
      <c r="E77" s="453"/>
      <c r="F77" s="332"/>
    </row>
    <row r="78" spans="1:6">
      <c r="A78" s="1305" t="s">
        <v>65</v>
      </c>
      <c r="B78" s="1305" t="s">
        <v>648</v>
      </c>
      <c r="C78" s="1305" t="s">
        <v>654</v>
      </c>
      <c r="D78" s="1326">
        <v>54498</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177949.56731079301</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8392.8267590853829</v>
      </c>
      <c r="C90" s="332"/>
      <c r="D90" s="332"/>
      <c r="E90" s="332"/>
      <c r="F90" s="332"/>
    </row>
    <row r="91" spans="1:6">
      <c r="A91" s="1310" t="s">
        <v>67</v>
      </c>
      <c r="B91" s="1311">
        <v>1935.9669000970339</v>
      </c>
      <c r="C91" s="332"/>
      <c r="D91" s="332"/>
      <c r="E91" s="332"/>
      <c r="F91" s="332"/>
    </row>
    <row r="92" spans="1:6">
      <c r="A92" s="1305" t="s">
        <v>68</v>
      </c>
      <c r="B92" s="1306">
        <v>542.75142199820903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2045</v>
      </c>
      <c r="C97" s="332"/>
      <c r="D97" s="332"/>
      <c r="E97" s="332"/>
      <c r="F97" s="332"/>
    </row>
    <row r="98" spans="1:6">
      <c r="A98" s="1310" t="s">
        <v>71</v>
      </c>
      <c r="B98" s="1311">
        <v>5</v>
      </c>
      <c r="C98" s="332"/>
      <c r="D98" s="332"/>
      <c r="E98" s="332"/>
      <c r="F98" s="332"/>
    </row>
    <row r="99" spans="1:6">
      <c r="A99" s="1310" t="s">
        <v>72</v>
      </c>
      <c r="B99" s="1311">
        <v>12</v>
      </c>
      <c r="C99" s="332"/>
      <c r="D99" s="332"/>
      <c r="E99" s="332"/>
      <c r="F99" s="332"/>
    </row>
    <row r="100" spans="1:6">
      <c r="A100" s="1310" t="s">
        <v>73</v>
      </c>
      <c r="B100" s="1311">
        <v>386</v>
      </c>
      <c r="C100" s="332"/>
      <c r="D100" s="332"/>
      <c r="E100" s="332"/>
      <c r="F100" s="332"/>
    </row>
    <row r="101" spans="1:6">
      <c r="A101" s="1310" t="s">
        <v>74</v>
      </c>
      <c r="B101" s="1311">
        <v>32</v>
      </c>
      <c r="C101" s="332"/>
      <c r="D101" s="332"/>
      <c r="E101" s="332"/>
      <c r="F101" s="332"/>
    </row>
    <row r="102" spans="1:6">
      <c r="A102" s="1310" t="s">
        <v>75</v>
      </c>
      <c r="B102" s="1311">
        <v>51</v>
      </c>
      <c r="C102" s="332"/>
      <c r="D102" s="332"/>
      <c r="E102" s="332"/>
      <c r="F102" s="332"/>
    </row>
    <row r="103" spans="1:6">
      <c r="A103" s="1310" t="s">
        <v>76</v>
      </c>
      <c r="B103" s="1311">
        <v>72</v>
      </c>
      <c r="C103" s="332"/>
      <c r="D103" s="332"/>
      <c r="E103" s="332"/>
      <c r="F103" s="332"/>
    </row>
    <row r="104" spans="1:6">
      <c r="A104" s="1310" t="s">
        <v>77</v>
      </c>
      <c r="B104" s="1311">
        <v>379</v>
      </c>
      <c r="C104" s="332"/>
      <c r="D104" s="332"/>
      <c r="E104" s="332"/>
      <c r="F104" s="332"/>
    </row>
    <row r="105" spans="1:6">
      <c r="A105" s="1305" t="s">
        <v>78</v>
      </c>
      <c r="B105" s="1314">
        <v>6</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31</v>
      </c>
      <c r="C123" s="1311">
        <v>10</v>
      </c>
      <c r="D123" s="332"/>
      <c r="E123" s="332"/>
      <c r="F123" s="332"/>
    </row>
    <row r="124" spans="1:6" s="43" customFormat="1">
      <c r="A124" s="1312" t="s">
        <v>88</v>
      </c>
      <c r="B124" s="1333">
        <v>0</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64</v>
      </c>
      <c r="C129" s="332"/>
      <c r="D129" s="332"/>
      <c r="E129" s="332"/>
      <c r="F129" s="332"/>
    </row>
    <row r="130" spans="1:6">
      <c r="A130" s="1310" t="s">
        <v>294</v>
      </c>
      <c r="B130" s="1311">
        <v>0</v>
      </c>
      <c r="C130" s="332"/>
      <c r="D130" s="332"/>
      <c r="E130" s="332"/>
      <c r="F130" s="332"/>
    </row>
    <row r="131" spans="1:6">
      <c r="A131" s="1310" t="s">
        <v>295</v>
      </c>
      <c r="B131" s="1311">
        <v>0</v>
      </c>
      <c r="C131" s="332"/>
      <c r="D131" s="332"/>
      <c r="E131" s="332"/>
      <c r="F131" s="332"/>
    </row>
    <row r="132" spans="1:6">
      <c r="A132" s="1305" t="s">
        <v>296</v>
      </c>
      <c r="B132" s="1306">
        <v>8</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28918.51821224087</v>
      </c>
      <c r="C3" s="43" t="s">
        <v>169</v>
      </c>
      <c r="D3" s="43"/>
      <c r="E3" s="154"/>
      <c r="F3" s="43"/>
      <c r="G3" s="43"/>
      <c r="H3" s="43"/>
      <c r="I3" s="43"/>
      <c r="J3" s="43"/>
      <c r="K3" s="96"/>
    </row>
    <row r="4" spans="1:11">
      <c r="A4" s="360" t="s">
        <v>170</v>
      </c>
      <c r="B4" s="49">
        <f>IF(ISERROR('SEAP template'!B78+'SEAP template'!C78),0,'SEAP template'!B78+'SEAP template'!C78)</f>
        <v>10871.545081180626</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0.1379178916669416</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354.70400000000001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354.70400000000001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0.1379178916669416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48.920027845830852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12229.600294637301</v>
      </c>
      <c r="C5" s="17">
        <f>IF(ISERROR('Eigen informatie GS &amp; warmtenet'!B59),0,'Eigen informatie GS &amp; warmtenet'!B59)</f>
        <v>0</v>
      </c>
      <c r="D5" s="30">
        <f>(SUM(HH_hh_gas_kWh,HH_rest_gas_kWh)/1000)*0.903</f>
        <v>36805.304231581918</v>
      </c>
      <c r="E5" s="17">
        <f>B46*B57</f>
        <v>562.9972816391288</v>
      </c>
      <c r="F5" s="17">
        <f>B51*B62</f>
        <v>0</v>
      </c>
      <c r="G5" s="18"/>
      <c r="H5" s="17"/>
      <c r="I5" s="17"/>
      <c r="J5" s="17">
        <f>B50*B61+C50*C61</f>
        <v>0</v>
      </c>
      <c r="K5" s="17"/>
      <c r="L5" s="17"/>
      <c r="M5" s="17"/>
      <c r="N5" s="17">
        <f>B48*B59+C48*C59</f>
        <v>2814.0115270849692</v>
      </c>
      <c r="O5" s="17">
        <f>B69*B70*B71</f>
        <v>146.81290823464036</v>
      </c>
      <c r="P5" s="17">
        <f>B77*B78*B79/1000-B77*B78*B79/1000/B80</f>
        <v>410.82441299971589</v>
      </c>
    </row>
    <row r="6" spans="1:16">
      <c r="A6" s="16" t="s">
        <v>612</v>
      </c>
      <c r="B6" s="786">
        <f>kWh_PV_kleiner_dan_10kW</f>
        <v>1935.9669000970339</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14165.567194734334</v>
      </c>
      <c r="C8" s="21">
        <f>C5</f>
        <v>0</v>
      </c>
      <c r="D8" s="21">
        <f>D5</f>
        <v>36805.304231581918</v>
      </c>
      <c r="E8" s="21">
        <f>E5</f>
        <v>562.9972816391288</v>
      </c>
      <c r="F8" s="21">
        <f>F5</f>
        <v>0</v>
      </c>
      <c r="G8" s="21"/>
      <c r="H8" s="21"/>
      <c r="I8" s="21"/>
      <c r="J8" s="21">
        <f>J5</f>
        <v>0</v>
      </c>
      <c r="K8" s="21"/>
      <c r="L8" s="21">
        <f>L5</f>
        <v>0</v>
      </c>
      <c r="M8" s="21">
        <f>M5</f>
        <v>0</v>
      </c>
      <c r="N8" s="21">
        <f>N5</f>
        <v>2814.0115270849692</v>
      </c>
      <c r="O8" s="21">
        <f>O5</f>
        <v>146.81290823464036</v>
      </c>
      <c r="P8" s="21">
        <f>P5</f>
        <v>410.82441299971589</v>
      </c>
    </row>
    <row r="9" spans="1:16">
      <c r="B9" s="19"/>
      <c r="C9" s="19"/>
      <c r="D9" s="258"/>
      <c r="E9" s="19"/>
      <c r="F9" s="19"/>
      <c r="G9" s="19"/>
      <c r="H9" s="19"/>
      <c r="I9" s="19"/>
      <c r="J9" s="19"/>
      <c r="K9" s="19"/>
      <c r="L9" s="19"/>
      <c r="M9" s="19"/>
      <c r="N9" s="19"/>
      <c r="O9" s="19"/>
      <c r="P9" s="19"/>
    </row>
    <row r="10" spans="1:16">
      <c r="A10" s="24" t="s">
        <v>213</v>
      </c>
      <c r="B10" s="25">
        <f ca="1">'EF ele_warmte'!B12</f>
        <v>0.1379178916669416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1953.6851617641516</v>
      </c>
      <c r="C12" s="23">
        <f ca="1">C10*C8</f>
        <v>0</v>
      </c>
      <c r="D12" s="23">
        <f>D8*D10</f>
        <v>7434.6714547795482</v>
      </c>
      <c r="E12" s="23">
        <f>E10*E8</f>
        <v>127.80038293208224</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2045</v>
      </c>
      <c r="C18" s="166" t="s">
        <v>110</v>
      </c>
      <c r="D18" s="228"/>
      <c r="E18" s="15"/>
    </row>
    <row r="19" spans="1:7">
      <c r="A19" s="171" t="s">
        <v>71</v>
      </c>
      <c r="B19" s="37">
        <f>aantalw2001_ander</f>
        <v>5</v>
      </c>
      <c r="C19" s="166" t="s">
        <v>110</v>
      </c>
      <c r="D19" s="229"/>
      <c r="E19" s="15"/>
    </row>
    <row r="20" spans="1:7">
      <c r="A20" s="171" t="s">
        <v>72</v>
      </c>
      <c r="B20" s="37">
        <f>aantalw2001_propaan</f>
        <v>12</v>
      </c>
      <c r="C20" s="167">
        <f>IF(ISERROR(B20/SUM($B$20,$B$21,$B$22)*100),0,B20/SUM($B$20,$B$21,$B$22)*100)</f>
        <v>2.7906976744186047</v>
      </c>
      <c r="D20" s="229"/>
      <c r="E20" s="15"/>
    </row>
    <row r="21" spans="1:7">
      <c r="A21" s="171" t="s">
        <v>73</v>
      </c>
      <c r="B21" s="37">
        <f>aantalw2001_elektriciteit</f>
        <v>386</v>
      </c>
      <c r="C21" s="167">
        <f>IF(ISERROR(B21/SUM($B$20,$B$21,$B$22)*100),0,B21/SUM($B$20,$B$21,$B$22)*100)</f>
        <v>89.767441860465112</v>
      </c>
      <c r="D21" s="229"/>
      <c r="E21" s="15"/>
    </row>
    <row r="22" spans="1:7">
      <c r="A22" s="171" t="s">
        <v>74</v>
      </c>
      <c r="B22" s="37">
        <f>aantalw2001_hout</f>
        <v>32</v>
      </c>
      <c r="C22" s="167">
        <f>IF(ISERROR(B22/SUM($B$20,$B$21,$B$22)*100),0,B22/SUM($B$20,$B$21,$B$22)*100)</f>
        <v>7.441860465116279</v>
      </c>
      <c r="D22" s="229"/>
      <c r="E22" s="15"/>
    </row>
    <row r="23" spans="1:7">
      <c r="A23" s="171" t="s">
        <v>75</v>
      </c>
      <c r="B23" s="37">
        <f>aantalw2001_niet_gespec</f>
        <v>51</v>
      </c>
      <c r="C23" s="166" t="s">
        <v>110</v>
      </c>
      <c r="D23" s="228"/>
      <c r="E23" s="15"/>
    </row>
    <row r="24" spans="1:7">
      <c r="A24" s="171" t="s">
        <v>76</v>
      </c>
      <c r="B24" s="37">
        <f>aantalw2001_steenkool</f>
        <v>72</v>
      </c>
      <c r="C24" s="166" t="s">
        <v>110</v>
      </c>
      <c r="D24" s="229"/>
      <c r="E24" s="15"/>
    </row>
    <row r="25" spans="1:7">
      <c r="A25" s="171" t="s">
        <v>77</v>
      </c>
      <c r="B25" s="37">
        <f>aantalw2001_stookolie</f>
        <v>379</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838</v>
      </c>
      <c r="B28" s="37">
        <f>aantalHuishoudens</f>
        <v>3482</v>
      </c>
      <c r="C28" s="36"/>
      <c r="D28" s="228"/>
    </row>
    <row r="29" spans="1:7" s="15" customFormat="1">
      <c r="A29" s="230" t="s">
        <v>839</v>
      </c>
      <c r="B29" s="37">
        <f>SUM(HH_hh_gas_aantal,HH_rest_gas_aantal)</f>
        <v>2882</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2882</v>
      </c>
      <c r="C32" s="167">
        <f>IF(ISERROR(B32/SUM($B$32,$B$34,$B$35,$B$36,$B$38,$B$39)*100),0,B32/SUM($B$32,$B$34,$B$35,$B$36,$B$38,$B$39)*100)</f>
        <v>83.706070287539944</v>
      </c>
      <c r="D32" s="233"/>
      <c r="G32" s="15"/>
    </row>
    <row r="33" spans="1:7">
      <c r="A33" s="171" t="s">
        <v>71</v>
      </c>
      <c r="B33" s="34" t="s">
        <v>110</v>
      </c>
      <c r="C33" s="167"/>
      <c r="D33" s="233"/>
      <c r="G33" s="15"/>
    </row>
    <row r="34" spans="1:7">
      <c r="A34" s="171" t="s">
        <v>72</v>
      </c>
      <c r="B34" s="33">
        <f>IF((($B$28-$B$32-$B$39-$B$77-$B$38)*C20/100)&lt;0,0,($B$28-$B$32-$B$39-$B$77-$B$38)*C20/100)</f>
        <v>15.655813953488373</v>
      </c>
      <c r="C34" s="167">
        <f>IF(ISERROR(B34/SUM($B$32,$B$34,$B$35,$B$36,$B$38,$B$39)*100),0,B34/SUM($B$32,$B$34,$B$35,$B$36,$B$38,$B$39)*100)</f>
        <v>0.45471431755702513</v>
      </c>
      <c r="D34" s="233"/>
      <c r="G34" s="15"/>
    </row>
    <row r="35" spans="1:7">
      <c r="A35" s="171" t="s">
        <v>73</v>
      </c>
      <c r="B35" s="33">
        <f>IF((($B$28-$B$32-$B$39-$B$77-$B$38)*C21/100)&lt;0,0,($B$28-$B$32-$B$39-$B$77-$B$38)*C21/100)</f>
        <v>503.59534883720931</v>
      </c>
      <c r="C35" s="167">
        <f>IF(ISERROR(B35/SUM($B$32,$B$34,$B$35,$B$36,$B$38,$B$39)*100),0,B35/SUM($B$32,$B$34,$B$35,$B$36,$B$38,$B$39)*100)</f>
        <v>14.626643881417642</v>
      </c>
      <c r="D35" s="233"/>
      <c r="G35" s="15"/>
    </row>
    <row r="36" spans="1:7">
      <c r="A36" s="171" t="s">
        <v>74</v>
      </c>
      <c r="B36" s="33">
        <f>IF((($B$28-$B$32-$B$39-$B$77-$B$38)*C22/100)&lt;0,0,($B$28-$B$32-$B$39-$B$77-$B$38)*C22/100)</f>
        <v>41.74883720930233</v>
      </c>
      <c r="C36" s="167">
        <f>IF(ISERROR(B36/SUM($B$32,$B$34,$B$35,$B$36,$B$38,$B$39)*100),0,B36/SUM($B$32,$B$34,$B$35,$B$36,$B$38,$B$39)*100)</f>
        <v>1.2125715134854003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2882</v>
      </c>
      <c r="C44" s="34" t="s">
        <v>110</v>
      </c>
      <c r="D44" s="174"/>
    </row>
    <row r="45" spans="1:7">
      <c r="A45" s="171" t="s">
        <v>71</v>
      </c>
      <c r="B45" s="33" t="str">
        <f t="shared" si="0"/>
        <v>-</v>
      </c>
      <c r="C45" s="34" t="s">
        <v>110</v>
      </c>
      <c r="D45" s="174"/>
    </row>
    <row r="46" spans="1:7">
      <c r="A46" s="171" t="s">
        <v>72</v>
      </c>
      <c r="B46" s="33">
        <f t="shared" si="0"/>
        <v>15.655813953488373</v>
      </c>
      <c r="C46" s="34" t="s">
        <v>110</v>
      </c>
      <c r="D46" s="174"/>
    </row>
    <row r="47" spans="1:7">
      <c r="A47" s="171" t="s">
        <v>73</v>
      </c>
      <c r="B47" s="33">
        <f t="shared" si="0"/>
        <v>503.59534883720931</v>
      </c>
      <c r="C47" s="34" t="s">
        <v>110</v>
      </c>
      <c r="D47" s="174"/>
    </row>
    <row r="48" spans="1:7">
      <c r="A48" s="171" t="s">
        <v>74</v>
      </c>
      <c r="B48" s="33">
        <f t="shared" si="0"/>
        <v>41.74883720930233</v>
      </c>
      <c r="C48" s="33">
        <f>B48*10</f>
        <v>417.48837209302332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74</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39</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12417.296032003673</v>
      </c>
      <c r="C5" s="17">
        <f>IF(ISERROR('Eigen informatie GS &amp; warmtenet'!B60),0,'Eigen informatie GS &amp; warmtenet'!B60)</f>
        <v>0</v>
      </c>
      <c r="D5" s="30">
        <f>SUM(D6:D12)</f>
        <v>12265.276219545185</v>
      </c>
      <c r="E5" s="17">
        <f>SUM(E6:E12)</f>
        <v>32.485605307584869</v>
      </c>
      <c r="F5" s="17">
        <f>SUM(F6:F12)</f>
        <v>1584.2313111650622</v>
      </c>
      <c r="G5" s="18"/>
      <c r="H5" s="17"/>
      <c r="I5" s="17"/>
      <c r="J5" s="17">
        <f>SUM(J6:J12)</f>
        <v>8.5344453596005281E-3</v>
      </c>
      <c r="K5" s="17"/>
      <c r="L5" s="17"/>
      <c r="M5" s="17"/>
      <c r="N5" s="17">
        <f>SUM(N6:N12)</f>
        <v>315.06794147551176</v>
      </c>
      <c r="O5" s="17">
        <f>B38*B39*B40</f>
        <v>0</v>
      </c>
      <c r="P5" s="17">
        <f>B46*B47*B48/1000-B46*B47*B48/1000/B49</f>
        <v>0</v>
      </c>
      <c r="R5" s="32"/>
    </row>
    <row r="6" spans="1:18">
      <c r="A6" s="32" t="s">
        <v>53</v>
      </c>
      <c r="B6" s="37">
        <f>B26</f>
        <v>4628.8738467241401</v>
      </c>
      <c r="C6" s="33"/>
      <c r="D6" s="37">
        <f>IF(ISERROR(TER_kantoor_gas_kWh/1000),0,TER_kantoor_gas_kWh/1000)*0.903</f>
        <v>6296.3809365285479</v>
      </c>
      <c r="E6" s="33">
        <f>$C$26*'E Balans VL '!I12/100/3.6*1000000</f>
        <v>1.1089681471071999</v>
      </c>
      <c r="F6" s="33">
        <f>$C$26*('E Balans VL '!L12+'E Balans VL '!N12)/100/3.6*1000000</f>
        <v>438.95067012727844</v>
      </c>
      <c r="G6" s="34"/>
      <c r="H6" s="33"/>
      <c r="I6" s="33"/>
      <c r="J6" s="33">
        <f>$C$26*('E Balans VL '!D12+'E Balans VL '!E12)/100/3.6*1000000</f>
        <v>0</v>
      </c>
      <c r="K6" s="33"/>
      <c r="L6" s="33"/>
      <c r="M6" s="33"/>
      <c r="N6" s="33">
        <f>$C$26*'E Balans VL '!Y12/100/3.6*1000000</f>
        <v>2.3512284916730017</v>
      </c>
      <c r="O6" s="33"/>
      <c r="P6" s="33"/>
      <c r="R6" s="32"/>
    </row>
    <row r="7" spans="1:18">
      <c r="A7" s="32" t="s">
        <v>52</v>
      </c>
      <c r="B7" s="37">
        <f t="shared" ref="B7:B12" si="0">B27</f>
        <v>1223.7835637038399</v>
      </c>
      <c r="C7" s="33"/>
      <c r="D7" s="37">
        <f>IF(ISERROR(TER_horeca_gas_kWh/1000),0,TER_horeca_gas_kWh/1000)*0.903</f>
        <v>1050.4969558646308</v>
      </c>
      <c r="E7" s="33">
        <f>$C$27*'E Balans VL '!I9/100/3.6*1000000</f>
        <v>0</v>
      </c>
      <c r="F7" s="33">
        <f>$C$27*('E Balans VL '!L9+'E Balans VL '!N9)/100/3.6*1000000</f>
        <v>100.34737548878817</v>
      </c>
      <c r="G7" s="34"/>
      <c r="H7" s="33"/>
      <c r="I7" s="33"/>
      <c r="J7" s="33">
        <f>$C$27*('E Balans VL '!D9+'E Balans VL '!E9)/100/3.6*1000000</f>
        <v>0</v>
      </c>
      <c r="K7" s="33"/>
      <c r="L7" s="33"/>
      <c r="M7" s="33"/>
      <c r="N7" s="33">
        <f>$C$27*'E Balans VL '!Y9/100/3.6*1000000</f>
        <v>0.37513883029314488</v>
      </c>
      <c r="O7" s="33"/>
      <c r="P7" s="33"/>
      <c r="R7" s="32"/>
    </row>
    <row r="8" spans="1:18">
      <c r="A8" s="6" t="s">
        <v>51</v>
      </c>
      <c r="B8" s="37">
        <f t="shared" si="0"/>
        <v>5406.1695836281406</v>
      </c>
      <c r="C8" s="33"/>
      <c r="D8" s="37">
        <f>IF(ISERROR(TER_handel_gas_kWh/1000),0,TER_handel_gas_kWh/1000)*0.903</f>
        <v>2982.1927445702154</v>
      </c>
      <c r="E8" s="33">
        <f>$C$28*'E Balans VL '!I13/100/3.6*1000000</f>
        <v>18.999731327695184</v>
      </c>
      <c r="F8" s="33">
        <f>$C$28*('E Balans VL '!L13+'E Balans VL '!N13)/100/3.6*1000000</f>
        <v>494.65480832746863</v>
      </c>
      <c r="G8" s="34"/>
      <c r="H8" s="33"/>
      <c r="I8" s="33"/>
      <c r="J8" s="33">
        <f>$C$28*('E Balans VL '!D13+'E Balans VL '!E13)/100/3.6*1000000</f>
        <v>0</v>
      </c>
      <c r="K8" s="33"/>
      <c r="L8" s="33"/>
      <c r="M8" s="33"/>
      <c r="N8" s="33">
        <f>$C$28*'E Balans VL '!Y13/100/3.6*1000000</f>
        <v>1.9578818788791661</v>
      </c>
      <c r="O8" s="33"/>
      <c r="P8" s="33"/>
      <c r="R8" s="32"/>
    </row>
    <row r="9" spans="1:18">
      <c r="A9" s="32" t="s">
        <v>50</v>
      </c>
      <c r="B9" s="37">
        <f t="shared" si="0"/>
        <v>246.714813932825</v>
      </c>
      <c r="C9" s="33"/>
      <c r="D9" s="37">
        <f>IF(ISERROR(TER_gezond_gas_kWh/1000),0,TER_gezond_gas_kWh/1000)*0.903</f>
        <v>738.82889075458922</v>
      </c>
      <c r="E9" s="33">
        <f>$C$29*'E Balans VL '!I10/100/3.6*1000000</f>
        <v>0</v>
      </c>
      <c r="F9" s="33">
        <f>$C$29*('E Balans VL '!L10+'E Balans VL '!N10)/100/3.6*1000000</f>
        <v>30.242705776796246</v>
      </c>
      <c r="G9" s="34"/>
      <c r="H9" s="33"/>
      <c r="I9" s="33"/>
      <c r="J9" s="33">
        <f>$C$29*('E Balans VL '!D10+'E Balans VL '!E10)/100/3.6*1000000</f>
        <v>0</v>
      </c>
      <c r="K9" s="33"/>
      <c r="L9" s="33"/>
      <c r="M9" s="33"/>
      <c r="N9" s="33">
        <f>$C$29*'E Balans VL '!Y10/100/3.6*1000000</f>
        <v>1.8193498283435485</v>
      </c>
      <c r="O9" s="33"/>
      <c r="P9" s="33"/>
      <c r="R9" s="32"/>
    </row>
    <row r="10" spans="1:18">
      <c r="A10" s="32" t="s">
        <v>49</v>
      </c>
      <c r="B10" s="37">
        <f t="shared" si="0"/>
        <v>864.17586256526101</v>
      </c>
      <c r="C10" s="33"/>
      <c r="D10" s="37">
        <f>IF(ISERROR(TER_ander_gas_kWh/1000),0,TER_ander_gas_kWh/1000)*0.903</f>
        <v>969.8446359697291</v>
      </c>
      <c r="E10" s="33">
        <f>$C$30*'E Balans VL '!I14/100/3.6*1000000</f>
        <v>12.376905832782489</v>
      </c>
      <c r="F10" s="33">
        <f>$C$30*('E Balans VL '!L14+'E Balans VL '!N14)/100/3.6*1000000</f>
        <v>514.4732744085203</v>
      </c>
      <c r="G10" s="34"/>
      <c r="H10" s="33"/>
      <c r="I10" s="33"/>
      <c r="J10" s="33">
        <f>$C$30*('E Balans VL '!D14+'E Balans VL '!E14)/100/3.6*1000000</f>
        <v>8.5344453596005281E-3</v>
      </c>
      <c r="K10" s="33"/>
      <c r="L10" s="33"/>
      <c r="M10" s="33"/>
      <c r="N10" s="33">
        <f>$C$30*'E Balans VL '!Y14/100/3.6*1000000</f>
        <v>308.43036724396234</v>
      </c>
      <c r="O10" s="33"/>
      <c r="P10" s="33"/>
      <c r="R10" s="32"/>
    </row>
    <row r="11" spans="1:18">
      <c r="A11" s="32" t="s">
        <v>54</v>
      </c>
      <c r="B11" s="37">
        <f t="shared" si="0"/>
        <v>47.578361449464296</v>
      </c>
      <c r="C11" s="33"/>
      <c r="D11" s="37">
        <f>IF(ISERROR(TER_onderwijs_gas_kWh/1000),0,TER_onderwijs_gas_kWh/1000)*0.903</f>
        <v>0</v>
      </c>
      <c r="E11" s="33">
        <f>$C$31*'E Balans VL '!I11/100/3.6*1000000</f>
        <v>0</v>
      </c>
      <c r="F11" s="33">
        <f>$C$31*('E Balans VL '!L11+'E Balans VL '!N11)/100/3.6*1000000</f>
        <v>5.5624770362103106</v>
      </c>
      <c r="G11" s="34"/>
      <c r="H11" s="33"/>
      <c r="I11" s="33"/>
      <c r="J11" s="33">
        <f>$C$31*('E Balans VL '!D11+'E Balans VL '!E11)/100/3.6*1000000</f>
        <v>0</v>
      </c>
      <c r="K11" s="33"/>
      <c r="L11" s="33"/>
      <c r="M11" s="33"/>
      <c r="N11" s="33">
        <f>$C$31*'E Balans VL '!Y11/100/3.6*1000000</f>
        <v>0.13397520236052957</v>
      </c>
      <c r="O11" s="33"/>
      <c r="P11" s="33"/>
      <c r="R11" s="32"/>
    </row>
    <row r="12" spans="1:18">
      <c r="A12" s="32" t="s">
        <v>259</v>
      </c>
      <c r="B12" s="37">
        <f t="shared" si="0"/>
        <v>0</v>
      </c>
      <c r="C12" s="33"/>
      <c r="D12" s="37">
        <f>IF(ISERROR(TER_rest_gas_kWh/1000),0,TER_rest_gas_kWh/1000)*0.903</f>
        <v>227.53205585747395</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12417.296032003673</v>
      </c>
      <c r="C16" s="21">
        <f t="shared" ca="1" si="1"/>
        <v>0</v>
      </c>
      <c r="D16" s="21">
        <f t="shared" ca="1" si="1"/>
        <v>12265.276219545185</v>
      </c>
      <c r="E16" s="21">
        <f t="shared" si="1"/>
        <v>32.485605307584869</v>
      </c>
      <c r="F16" s="21">
        <f t="shared" ca="1" si="1"/>
        <v>1584.2313111650622</v>
      </c>
      <c r="G16" s="21">
        <f t="shared" si="1"/>
        <v>0</v>
      </c>
      <c r="H16" s="21">
        <f t="shared" si="1"/>
        <v>0</v>
      </c>
      <c r="I16" s="21">
        <f t="shared" si="1"/>
        <v>0</v>
      </c>
      <c r="J16" s="21">
        <f t="shared" si="1"/>
        <v>8.5344453596005281E-3</v>
      </c>
      <c r="K16" s="21">
        <f t="shared" si="1"/>
        <v>0</v>
      </c>
      <c r="L16" s="21">
        <f t="shared" ca="1" si="1"/>
        <v>0</v>
      </c>
      <c r="M16" s="21">
        <f t="shared" si="1"/>
        <v>0</v>
      </c>
      <c r="N16" s="21">
        <f t="shared" ca="1" si="1"/>
        <v>315.06794147551176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0.1379178916669416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1712.5672889382263</v>
      </c>
      <c r="C20" s="23">
        <f t="shared" ref="C20:P20" ca="1" si="2">C16*C18</f>
        <v>0</v>
      </c>
      <c r="D20" s="23">
        <f t="shared" ca="1" si="2"/>
        <v>2477.5857963481276</v>
      </c>
      <c r="E20" s="23">
        <f t="shared" si="2"/>
        <v>7.3742324048217656</v>
      </c>
      <c r="F20" s="23">
        <f t="shared" ca="1" si="2"/>
        <v>422.98976008107161</v>
      </c>
      <c r="G20" s="23">
        <f t="shared" si="2"/>
        <v>0</v>
      </c>
      <c r="H20" s="23">
        <f t="shared" si="2"/>
        <v>0</v>
      </c>
      <c r="I20" s="23">
        <f t="shared" si="2"/>
        <v>0</v>
      </c>
      <c r="J20" s="23">
        <f t="shared" si="2"/>
        <v>3.0211936572985868E-3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4628.8738467241401</v>
      </c>
      <c r="C26" s="39">
        <f>IF(ISERROR(B26*3.6/1000000/'E Balans VL '!Z12*100),0,B26*3.6/1000000/'E Balans VL '!Z12*100)</f>
        <v>0.13054650035618548</v>
      </c>
      <c r="D26" s="237" t="s">
        <v>702</v>
      </c>
      <c r="F26" s="6"/>
    </row>
    <row r="27" spans="1:18">
      <c r="A27" s="231" t="s">
        <v>52</v>
      </c>
      <c r="B27" s="33">
        <f>IF(ISERROR(TER_horeca_ele_kWh/1000),0,TER_horeca_ele_kWh/1000)</f>
        <v>1223.7835637038399</v>
      </c>
      <c r="C27" s="39">
        <f>IF(ISERROR(B27*3.6/1000000/'E Balans VL '!Z9*100),0,B27*3.6/1000000/'E Balans VL '!Z9*100)</f>
        <v>9.0728517462559874E-2</v>
      </c>
      <c r="D27" s="237" t="s">
        <v>702</v>
      </c>
      <c r="F27" s="6"/>
    </row>
    <row r="28" spans="1:18">
      <c r="A28" s="171" t="s">
        <v>51</v>
      </c>
      <c r="B28" s="33">
        <f>IF(ISERROR(TER_handel_ele_kWh/1000),0,TER_handel_ele_kWh/1000)</f>
        <v>5406.1695836281406</v>
      </c>
      <c r="C28" s="39">
        <f>IF(ISERROR(B28*3.6/1000000/'E Balans VL '!Z13*100),0,B28*3.6/1000000/'E Balans VL '!Z13*100)</f>
        <v>0.16195598707741277</v>
      </c>
      <c r="D28" s="237" t="s">
        <v>702</v>
      </c>
      <c r="F28" s="6"/>
    </row>
    <row r="29" spans="1:18">
      <c r="A29" s="231" t="s">
        <v>50</v>
      </c>
      <c r="B29" s="33">
        <f>IF(ISERROR(TER_gezond_ele_kWh/1000),0,TER_gezond_ele_kWh/1000)</f>
        <v>246.714813932825</v>
      </c>
      <c r="C29" s="39">
        <f>IF(ISERROR(B29*3.6/1000000/'E Balans VL '!Z10*100),0,B29*3.6/1000000/'E Balans VL '!Z10*100)</f>
        <v>2.4395257501083234E-2</v>
      </c>
      <c r="D29" s="237" t="s">
        <v>702</v>
      </c>
      <c r="F29" s="6"/>
    </row>
    <row r="30" spans="1:18">
      <c r="A30" s="231" t="s">
        <v>49</v>
      </c>
      <c r="B30" s="33">
        <f>IF(ISERROR(TER_ander_ele_kWh/1000),0,TER_ander_ele_kWh/1000)</f>
        <v>864.17586256526101</v>
      </c>
      <c r="C30" s="39">
        <f>IF(ISERROR(B30*3.6/1000000/'E Balans VL '!Z14*100),0,B30*3.6/1000000/'E Balans VL '!Z14*100)</f>
        <v>3.4953359834541405E-2</v>
      </c>
      <c r="D30" s="237" t="s">
        <v>702</v>
      </c>
      <c r="F30" s="6"/>
    </row>
    <row r="31" spans="1:18">
      <c r="A31" s="231" t="s">
        <v>54</v>
      </c>
      <c r="B31" s="33">
        <f>IF(ISERROR(TER_onderwijs_ele_kWh/1000),0,TER_onderwijs_ele_kWh/1000)</f>
        <v>47.578361449464296</v>
      </c>
      <c r="C31" s="39">
        <f>IF(ISERROR(B31*3.6/1000000/'E Balans VL '!Z11*100),0,B31*3.6/1000000/'E Balans VL '!Z11*100)</f>
        <v>1.3071856712489142E-2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0</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0</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1525.9059569295218</v>
      </c>
      <c r="C5" s="17">
        <f>IF(ISERROR('Eigen informatie GS &amp; warmtenet'!B61),0,'Eigen informatie GS &amp; warmtenet'!B61)</f>
        <v>0</v>
      </c>
      <c r="D5" s="30">
        <f>SUM(D6:D15)</f>
        <v>2977.0947443572313</v>
      </c>
      <c r="E5" s="17">
        <f>SUM(E6:E15)</f>
        <v>7.2286772335176739</v>
      </c>
      <c r="F5" s="17">
        <f>SUM(F6:F15)</f>
        <v>541.86074500550933</v>
      </c>
      <c r="G5" s="18"/>
      <c r="H5" s="17"/>
      <c r="I5" s="17"/>
      <c r="J5" s="17">
        <f>SUM(J6:J15)</f>
        <v>0.38499866617460904</v>
      </c>
      <c r="K5" s="17"/>
      <c r="L5" s="17"/>
      <c r="M5" s="17"/>
      <c r="N5" s="17">
        <f>SUM(N6:N15)</f>
        <v>52.437963659074171</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142.14681711900701</v>
      </c>
      <c r="C8" s="33"/>
      <c r="D8" s="37">
        <f>IF( ISERROR(IND_metaal_Gas_kWH/1000),0,IND_metaal_Gas_kWH/1000)*0.903</f>
        <v>114.06504753056144</v>
      </c>
      <c r="E8" s="33">
        <f>C30*'E Balans VL '!I18/100/3.6*1000000</f>
        <v>0.71672905359485017</v>
      </c>
      <c r="F8" s="33">
        <f>C30*'E Balans VL '!L18/100/3.6*1000000+C30*'E Balans VL '!N18/100/3.6*1000000</f>
        <v>9.7117610156300209</v>
      </c>
      <c r="G8" s="34"/>
      <c r="H8" s="33"/>
      <c r="I8" s="33"/>
      <c r="J8" s="40">
        <f>C30*'E Balans VL '!D18/100/3.6*1000000+C30*'E Balans VL '!E18/100/3.6*1000000</f>
        <v>0.12602527865570362</v>
      </c>
      <c r="K8" s="33"/>
      <c r="L8" s="33"/>
      <c r="M8" s="33"/>
      <c r="N8" s="33">
        <f>C30*'E Balans VL '!Y18/100/3.6*1000000</f>
        <v>1.8891320430857688</v>
      </c>
      <c r="O8" s="33"/>
      <c r="P8" s="33"/>
      <c r="R8" s="32"/>
    </row>
    <row r="9" spans="1:18">
      <c r="A9" s="6" t="s">
        <v>32</v>
      </c>
      <c r="B9" s="37">
        <f t="shared" si="0"/>
        <v>841.45097662806995</v>
      </c>
      <c r="C9" s="33"/>
      <c r="D9" s="37">
        <f>IF( ISERROR(IND_andere_gas_kWh/1000),0,IND_andere_gas_kWh/1000)*0.903</f>
        <v>1114.1585641007123</v>
      </c>
      <c r="E9" s="33">
        <f>C31*'E Balans VL '!I19/100/3.6*1000000</f>
        <v>2.6524523496369268</v>
      </c>
      <c r="F9" s="33">
        <f>C31*'E Balans VL '!L19/100/3.6*1000000+C31*'E Balans VL '!N19/100/3.6*1000000</f>
        <v>515.10089754791647</v>
      </c>
      <c r="G9" s="34"/>
      <c r="H9" s="33"/>
      <c r="I9" s="33"/>
      <c r="J9" s="40">
        <f>C31*'E Balans VL '!D19/100/3.6*1000000+C31*'E Balans VL '!E19/100/3.6*1000000</f>
        <v>0</v>
      </c>
      <c r="K9" s="33"/>
      <c r="L9" s="33"/>
      <c r="M9" s="33"/>
      <c r="N9" s="33">
        <f>C31*'E Balans VL '!Y19/100/3.6*1000000</f>
        <v>35.283181989706655</v>
      </c>
      <c r="O9" s="33"/>
      <c r="P9" s="33"/>
      <c r="R9" s="32"/>
    </row>
    <row r="10" spans="1:18">
      <c r="A10" s="6" t="s">
        <v>40</v>
      </c>
      <c r="B10" s="37">
        <f t="shared" si="0"/>
        <v>415.45739023542995</v>
      </c>
      <c r="C10" s="33"/>
      <c r="D10" s="37">
        <f>IF( ISERROR(IND_voed_gas_kWh/1000),0,IND_voed_gas_kWh/1000)*0.903</f>
        <v>1658.7233175680442</v>
      </c>
      <c r="E10" s="33">
        <f>C32*'E Balans VL '!I20/100/3.6*1000000</f>
        <v>0.66212240164996039</v>
      </c>
      <c r="F10" s="33">
        <f>C32*'E Balans VL '!L20/100/3.6*1000000+C32*'E Balans VL '!N20/100/3.6*1000000</f>
        <v>6.7501733309210294</v>
      </c>
      <c r="G10" s="34"/>
      <c r="H10" s="33"/>
      <c r="I10" s="33"/>
      <c r="J10" s="40">
        <f>C32*'E Balans VL '!D20/100/3.6*1000000+C32*'E Balans VL '!E20/100/3.6*1000000</f>
        <v>0</v>
      </c>
      <c r="K10" s="33"/>
      <c r="L10" s="33"/>
      <c r="M10" s="33"/>
      <c r="N10" s="33">
        <f>C32*'E Balans VL '!Y20/100/3.6*1000000</f>
        <v>13.122219332359196</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126.85077294701499</v>
      </c>
      <c r="C15" s="33"/>
      <c r="D15" s="37">
        <f>IF( ISERROR(IND_rest_gas_kWh/1000),0,IND_rest_gas_kWh/1000)*0.903</f>
        <v>90.147815157913314</v>
      </c>
      <c r="E15" s="33">
        <f>C37*'E Balans VL '!I15/100/3.6*1000000</f>
        <v>3.1973734286359363</v>
      </c>
      <c r="F15" s="33">
        <f>C37*'E Balans VL '!L15/100/3.6*1000000+C37*'E Balans VL '!N15/100/3.6*1000000</f>
        <v>10.297913111041778</v>
      </c>
      <c r="G15" s="34"/>
      <c r="H15" s="33"/>
      <c r="I15" s="33"/>
      <c r="J15" s="40">
        <f>C37*'E Balans VL '!D15/100/3.6*1000000+C37*'E Balans VL '!E15/100/3.6*1000000</f>
        <v>0.25897338751890542</v>
      </c>
      <c r="K15" s="33"/>
      <c r="L15" s="33"/>
      <c r="M15" s="33"/>
      <c r="N15" s="33">
        <f>C37*'E Balans VL '!Y15/100/3.6*1000000</f>
        <v>2.1434302939225574</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1525.9059569295218</v>
      </c>
      <c r="C18" s="21">
        <f>C5+C16</f>
        <v>0</v>
      </c>
      <c r="D18" s="21">
        <f>MAX((D5+D16),0)</f>
        <v>2977.0947443572313</v>
      </c>
      <c r="E18" s="21">
        <f>MAX((E5+E16),0)</f>
        <v>7.2286772335176739</v>
      </c>
      <c r="F18" s="21">
        <f>MAX((F5+F16),0)</f>
        <v>541.86074500550933</v>
      </c>
      <c r="G18" s="21"/>
      <c r="H18" s="21"/>
      <c r="I18" s="21"/>
      <c r="J18" s="21">
        <f>MAX((J5+J16),0)</f>
        <v>0.38499866617460904</v>
      </c>
      <c r="K18" s="21"/>
      <c r="L18" s="21">
        <f>MAX((L5+L16),0)</f>
        <v>0</v>
      </c>
      <c r="M18" s="21"/>
      <c r="N18" s="21">
        <f>MAX((N5+N16),0)</f>
        <v>52.437963659074171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0.1379178916669416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210.44973246174663</v>
      </c>
      <c r="C22" s="23">
        <f ca="1">C18*C20</f>
        <v>0</v>
      </c>
      <c r="D22" s="23">
        <f>D18*D20</f>
        <v>601.37313836016074</v>
      </c>
      <c r="E22" s="23">
        <f>E18*E20</f>
        <v>1.640909732008512</v>
      </c>
      <c r="F22" s="23">
        <f>F18*F20</f>
        <v>144.67681891647101</v>
      </c>
      <c r="G22" s="23"/>
      <c r="H22" s="23"/>
      <c r="I22" s="23"/>
      <c r="J22" s="23">
        <f>J18*J20</f>
        <v>0.13628952782581158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142.14681711900701</v>
      </c>
      <c r="C30" s="39">
        <f>IF(ISERROR(B30*3.6/1000000/'E Balans VL '!Z18*100),0,B30*3.6/1000000/'E Balans VL '!Z18*100)</f>
        <v>7.0558476385774761E-3</v>
      </c>
      <c r="D30" s="237" t="s">
        <v>702</v>
      </c>
    </row>
    <row r="31" spans="1:18">
      <c r="A31" s="6" t="s">
        <v>32</v>
      </c>
      <c r="B31" s="37">
        <f>IF( ISERROR(IND_ander_ele_kWh/1000),0,IND_ander_ele_kWh/1000)</f>
        <v>841.45097662806995</v>
      </c>
      <c r="C31" s="39">
        <f>IF(ISERROR(B31*3.6/1000000/'E Balans VL '!Z19*100),0,B31*3.6/1000000/'E Balans VL '!Z19*100)</f>
        <v>2.8394658599596591E-2</v>
      </c>
      <c r="D31" s="237" t="s">
        <v>702</v>
      </c>
    </row>
    <row r="32" spans="1:18">
      <c r="A32" s="171" t="s">
        <v>40</v>
      </c>
      <c r="B32" s="37">
        <f>IF( ISERROR(IND_voed_ele_kWh/1000),0,IND_voed_ele_kWh/1000)</f>
        <v>415.45739023542995</v>
      </c>
      <c r="C32" s="39">
        <f>IF(ISERROR(B32*3.6/1000000/'E Balans VL '!Z20*100),0,B32*3.6/1000000/'E Balans VL '!Z20*100)</f>
        <v>9.7567314238074677E-3</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126.85077294701499</v>
      </c>
      <c r="C37" s="39">
        <f>IF(ISERROR(B37*3.6/1000000/'E Balans VL '!Z15*100),0,B37*3.6/1000000/'E Balans VL '!Z15*100)</f>
        <v>4.7537697600264373E-4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140.04421857104199</v>
      </c>
      <c r="C5" s="17">
        <f>'Eigen informatie GS &amp; warmtenet'!B62</f>
        <v>0</v>
      </c>
      <c r="D5" s="30">
        <f>IF(ISERROR(SUM(LB_lb_gas_kWh,LB_rest_gas_kWh)/1000),0,SUM(LB_lb_gas_kWh,LB_rest_gas_kWh)/1000)*0.903</f>
        <v>20.237513267652645</v>
      </c>
      <c r="E5" s="17">
        <f>B17*'E Balans VL '!I25/3.6*1000000/100</f>
        <v>5.2226772752210353</v>
      </c>
      <c r="F5" s="17">
        <f>B17*('E Balans VL '!L25/3.6*1000000+'E Balans VL '!N25/3.6*1000000)/100</f>
        <v>454.35756026065678</v>
      </c>
      <c r="G5" s="18"/>
      <c r="H5" s="17"/>
      <c r="I5" s="17"/>
      <c r="J5" s="17">
        <f>('E Balans VL '!D25+'E Balans VL '!E25)/3.6*1000000*landbouw!B17/100</f>
        <v>36.76229876020021</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140.04421857104199</v>
      </c>
      <c r="C8" s="21">
        <f>C5+C6</f>
        <v>0</v>
      </c>
      <c r="D8" s="21">
        <f>MAX((D5+D6),0)</f>
        <v>20.237513267652645</v>
      </c>
      <c r="E8" s="21">
        <f>MAX((E5+E6),0)</f>
        <v>5.2226772752210353</v>
      </c>
      <c r="F8" s="21">
        <f>MAX((F5+F6),0)</f>
        <v>454.35756026065678</v>
      </c>
      <c r="G8" s="21"/>
      <c r="H8" s="21"/>
      <c r="I8" s="21"/>
      <c r="J8" s="21">
        <f>MAX((J5+J6),0)</f>
        <v>36.76229876020021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0.1379178916669416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19.31460336546246</v>
      </c>
      <c r="C12" s="23">
        <f ca="1">C8*C10</f>
        <v>0</v>
      </c>
      <c r="D12" s="23">
        <f>D8*D10</f>
        <v>4.0879776800658343</v>
      </c>
      <c r="E12" s="23">
        <f>E8*E10</f>
        <v>1.1855477414751749</v>
      </c>
      <c r="F12" s="23">
        <f>F8*F10</f>
        <v>121.31346858959537</v>
      </c>
      <c r="G12" s="23"/>
      <c r="H12" s="23"/>
      <c r="I12" s="23"/>
      <c r="J12" s="23">
        <f>J8*J10</f>
        <v>13.013853761110873</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1.9234707972773876E-2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30.37986079657226</v>
      </c>
      <c r="C26" s="247">
        <f>B26*'GWP N2O_CH4'!B5</f>
        <v>637.97707672801744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5.9460569121144617</v>
      </c>
      <c r="C27" s="247">
        <f>B27*'GWP N2O_CH4'!B5</f>
        <v>124.8671951544037</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0.28135781766962564</v>
      </c>
      <c r="C28" s="247">
        <f>B28*'GWP N2O_CH4'!B4</f>
        <v>87.220923477583952</v>
      </c>
      <c r="D28" s="50"/>
    </row>
    <row r="29" spans="1:4">
      <c r="A29" s="41" t="s">
        <v>276</v>
      </c>
      <c r="B29" s="247">
        <f>B34*'ha_N2O bodem landbouw'!B4</f>
        <v>1.8566882145547914</v>
      </c>
      <c r="C29" s="247">
        <f>B29*'GWP N2O_CH4'!B4</f>
        <v>575.57334651198528</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4.2314454644929041E-4</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1.4712863838384159E-4</v>
      </c>
      <c r="C5" s="440" t="s">
        <v>210</v>
      </c>
      <c r="D5" s="425">
        <f>SUM(D6:D11)</f>
        <v>5.5297080372898643E-4</v>
      </c>
      <c r="E5" s="425">
        <f>SUM(E6:E11)</f>
        <v>2.9965077336387434E-4</v>
      </c>
      <c r="F5" s="438" t="s">
        <v>210</v>
      </c>
      <c r="G5" s="425">
        <f>SUM(G6:G11)</f>
        <v>0.19804868616256885</v>
      </c>
      <c r="H5" s="425">
        <f>SUM(H6:H11)</f>
        <v>3.5355387763861171E-2</v>
      </c>
      <c r="I5" s="440" t="s">
        <v>210</v>
      </c>
      <c r="J5" s="440" t="s">
        <v>210</v>
      </c>
      <c r="K5" s="440" t="s">
        <v>210</v>
      </c>
      <c r="L5" s="440" t="s">
        <v>210</v>
      </c>
      <c r="M5" s="425">
        <f>SUM(M6:M11)</f>
        <v>1.3608167479601564E-2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1.3740820853124348E-4</v>
      </c>
      <c r="C6" s="426"/>
      <c r="D6" s="893">
        <f>vkm_GW_PW*SUMIFS(TableVerdeelsleutelVkm[CNG],TableVerdeelsleutelVkm[Voertuigtype],"Lichte voertuigen")*SUMIFS(TableECFTransport[EnergieConsumptieFactor (PJ per km)],TableECFTransport[Index],CONCATENATE($A6,"_CNG_CNG"))</f>
        <v>4.9627651636916209E-4</v>
      </c>
      <c r="E6" s="893">
        <f>vkm_GW_PW*SUMIFS(TableVerdeelsleutelVkm[LPG],TableVerdeelsleutelVkm[Voertuigtype],"Lichte voertuigen")*SUMIFS(TableECFTransport[EnergieConsumptieFactor (PJ per km)],TableECFTransport[Index],CONCATENATE($A6,"_LPG_LPG"))</f>
        <v>2.6971354788445898E-4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8.3933194304149458E-2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3.1765343961009468E-2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6.9337948235126227E-3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0.10398238281582625</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1.0946790117455189E-6</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5.854371024186393E-3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8.592478209101851E-6</v>
      </c>
      <c r="C8" s="426"/>
      <c r="D8" s="428">
        <f>vkm_NGW_PW*SUMIFS(TableVerdeelsleutelVkm[CNG],TableVerdeelsleutelVkm[Voertuigtype],"Lichte voertuigen")*SUMIFS(TableECFTransport[EnergieConsumptieFactor (PJ per km)],TableECFTransport[Index],CONCATENATE($A8,"_CNG_CNG"))</f>
        <v>5.2603651529807201E-5</v>
      </c>
      <c r="E8" s="428">
        <f>vkm_NGW_PW*SUMIFS(TableVerdeelsleutelVkm[LPG],TableVerdeelsleutelVkm[Voertuigtype],"Lichte voertuigen")*SUMIFS(TableECFTransport[EnergieConsumptieFactor (PJ per km)],TableECFTransport[Index],CONCATENATE($A8,"_LPG_LPG"))</f>
        <v>2.7166936327169174E-5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7.8675514654162806E-3</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3.3157594535394423E-3</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6.7345705448877517E-4</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1.00362990098517E-3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1.5346294520452167E-8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5.650626778689487E-5</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1.12795164349625E-6</v>
      </c>
      <c r="C10" s="426"/>
      <c r="D10" s="428">
        <f>vkm_SW_PW*SUMIFS(TableVerdeelsleutelVkm[CNG],TableVerdeelsleutelVkm[Voertuigtype],"Lichte voertuigen")*SUMIFS(TableECFTransport[EnergieConsumptieFactor (PJ per km)],TableECFTransport[Index],CONCATENATE($A10,"_CNG_CNG"))</f>
        <v>4.0906358300170643E-6</v>
      </c>
      <c r="E10" s="428">
        <f>vkm_SW_PW*SUMIFS(TableVerdeelsleutelVkm[LPG],TableVerdeelsleutelVkm[Voertuigtype],"Lichte voertuigen")*SUMIFS(TableECFTransport[EnergieConsumptieFactor (PJ per km)],TableECFTransport[Index],CONCATENATE($A10,"_LPG_LPG"))</f>
        <v>2.7702891522461723E-6</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7.6609826373965316E-4</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2.7316879607645141E-4</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6.2122315652695021E-5</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4.9582941245202743E-4</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5.5279295434120323E-9</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2.791599397418382E-5</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40.869066217733774</v>
      </c>
      <c r="C14" s="21"/>
      <c r="D14" s="21">
        <f t="shared" ref="D14:M14" si="0">((D5)*10^9/3600)+D12</f>
        <v>153.60300103582955</v>
      </c>
      <c r="E14" s="21">
        <f t="shared" si="0"/>
        <v>83.236325934409535</v>
      </c>
      <c r="F14" s="21"/>
      <c r="G14" s="21">
        <f t="shared" si="0"/>
        <v>55013.523934046898</v>
      </c>
      <c r="H14" s="21">
        <f t="shared" si="0"/>
        <v>9820.9410455169927</v>
      </c>
      <c r="I14" s="21"/>
      <c r="J14" s="21"/>
      <c r="K14" s="21"/>
      <c r="L14" s="21"/>
      <c r="M14" s="21">
        <f t="shared" si="0"/>
        <v>3780.0465221115455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0.1379178916669416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5.6365754471464697</v>
      </c>
      <c r="C18" s="23"/>
      <c r="D18" s="23">
        <f t="shared" ref="D18:M18" si="1">D14*D16</f>
        <v>31.027806209237571</v>
      </c>
      <c r="E18" s="23">
        <f t="shared" si="1"/>
        <v>18.894645987110966</v>
      </c>
      <c r="F18" s="23"/>
      <c r="G18" s="23">
        <f t="shared" si="1"/>
        <v>14688.610890390522</v>
      </c>
      <c r="H18" s="23">
        <f t="shared" si="1"/>
        <v>2445.4143203337312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2.1906900248952932E-3</v>
      </c>
      <c r="H50" s="321">
        <f t="shared" si="2"/>
        <v>0</v>
      </c>
      <c r="I50" s="321">
        <f t="shared" si="2"/>
        <v>0</v>
      </c>
      <c r="J50" s="321">
        <f t="shared" si="2"/>
        <v>0</v>
      </c>
      <c r="K50" s="321">
        <f t="shared" si="2"/>
        <v>0</v>
      </c>
      <c r="L50" s="321">
        <f t="shared" si="2"/>
        <v>0</v>
      </c>
      <c r="M50" s="321">
        <f t="shared" si="2"/>
        <v>1.1887931801940391E-4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2.1906900248952932E-3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1.1887931801940391E-4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608.5250069153592</v>
      </c>
      <c r="H54" s="21">
        <f t="shared" si="3"/>
        <v>0</v>
      </c>
      <c r="I54" s="21">
        <f t="shared" si="3"/>
        <v>0</v>
      </c>
      <c r="J54" s="21">
        <f t="shared" si="3"/>
        <v>0</v>
      </c>
      <c r="K54" s="21">
        <f t="shared" si="3"/>
        <v>0</v>
      </c>
      <c r="L54" s="21">
        <f t="shared" si="3"/>
        <v>0</v>
      </c>
      <c r="M54" s="21">
        <f t="shared" si="3"/>
        <v>33.022032783167752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0.1379178916669416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162.4761768464009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12772.000032003672</v>
      </c>
      <c r="D10" s="689">
        <f ca="1">tertiair!C16</f>
        <v>0</v>
      </c>
      <c r="E10" s="689">
        <f ca="1">tertiair!D16</f>
        <v>12265.276219545185</v>
      </c>
      <c r="F10" s="689">
        <f>tertiair!E16</f>
        <v>32.485605307584869</v>
      </c>
      <c r="G10" s="689">
        <f ca="1">tertiair!F16</f>
        <v>1584.2313111650622</v>
      </c>
      <c r="H10" s="689">
        <f>tertiair!G16</f>
        <v>0</v>
      </c>
      <c r="I10" s="689">
        <f>tertiair!H16</f>
        <v>0</v>
      </c>
      <c r="J10" s="689">
        <f>tertiair!I16</f>
        <v>0</v>
      </c>
      <c r="K10" s="689">
        <f>tertiair!J16</f>
        <v>8.5344453596005281E-3</v>
      </c>
      <c r="L10" s="689">
        <f>tertiair!K16</f>
        <v>0</v>
      </c>
      <c r="M10" s="689">
        <f ca="1">tertiair!L16</f>
        <v>0</v>
      </c>
      <c r="N10" s="689">
        <f>tertiair!M16</f>
        <v>0</v>
      </c>
      <c r="O10" s="689">
        <f ca="1">tertiair!N16</f>
        <v>315.06794147551176</v>
      </c>
      <c r="P10" s="689">
        <f>tertiair!O16</f>
        <v>0</v>
      </c>
      <c r="Q10" s="690">
        <f>tertiair!P16</f>
        <v>0</v>
      </c>
      <c r="R10" s="692">
        <f ca="1">SUM(C10:Q10)</f>
        <v>26969.069643942374</v>
      </c>
      <c r="S10" s="67"/>
    </row>
    <row r="11" spans="1:19" s="451" customFormat="1">
      <c r="A11" s="811" t="s">
        <v>224</v>
      </c>
      <c r="B11" s="816"/>
      <c r="C11" s="689">
        <f>huishoudens!B8</f>
        <v>14165.567194734334</v>
      </c>
      <c r="D11" s="689">
        <f>huishoudens!C8</f>
        <v>0</v>
      </c>
      <c r="E11" s="689">
        <f>huishoudens!D8</f>
        <v>36805.304231581918</v>
      </c>
      <c r="F11" s="689">
        <f>huishoudens!E8</f>
        <v>562.9972816391288</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2814.0115270849692</v>
      </c>
      <c r="P11" s="689">
        <f>huishoudens!O8</f>
        <v>146.81290823464036</v>
      </c>
      <c r="Q11" s="690">
        <f>huishoudens!P8</f>
        <v>410.82441299971589</v>
      </c>
      <c r="R11" s="692">
        <f>SUM(C11:Q11)</f>
        <v>54905.517556274717</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1525.9059569295218</v>
      </c>
      <c r="D13" s="689">
        <f>industrie!C18</f>
        <v>0</v>
      </c>
      <c r="E13" s="689">
        <f>industrie!D18</f>
        <v>2977.0947443572313</v>
      </c>
      <c r="F13" s="689">
        <f>industrie!E18</f>
        <v>7.2286772335176739</v>
      </c>
      <c r="G13" s="689">
        <f>industrie!F18</f>
        <v>541.86074500550933</v>
      </c>
      <c r="H13" s="689">
        <f>industrie!G18</f>
        <v>0</v>
      </c>
      <c r="I13" s="689">
        <f>industrie!H18</f>
        <v>0</v>
      </c>
      <c r="J13" s="689">
        <f>industrie!I18</f>
        <v>0</v>
      </c>
      <c r="K13" s="689">
        <f>industrie!J18</f>
        <v>0.38499866617460904</v>
      </c>
      <c r="L13" s="689">
        <f>industrie!K18</f>
        <v>0</v>
      </c>
      <c r="M13" s="689">
        <f>industrie!L18</f>
        <v>0</v>
      </c>
      <c r="N13" s="689">
        <f>industrie!M18</f>
        <v>0</v>
      </c>
      <c r="O13" s="689">
        <f>industrie!N18</f>
        <v>52.437963659074171</v>
      </c>
      <c r="P13" s="689">
        <f>industrie!O18</f>
        <v>0</v>
      </c>
      <c r="Q13" s="690">
        <f>industrie!P18</f>
        <v>0</v>
      </c>
      <c r="R13" s="692">
        <f>SUM(C13:Q13)</f>
        <v>5104.9130858510289</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28463.473183667527</v>
      </c>
      <c r="D16" s="725">
        <f t="shared" ref="D16:R16" ca="1" si="0">SUM(D9:D15)</f>
        <v>0</v>
      </c>
      <c r="E16" s="725">
        <f t="shared" ca="1" si="0"/>
        <v>52047.675195484335</v>
      </c>
      <c r="F16" s="725">
        <f t="shared" si="0"/>
        <v>602.71156418023133</v>
      </c>
      <c r="G16" s="725">
        <f t="shared" ca="1" si="0"/>
        <v>2126.0920561705716</v>
      </c>
      <c r="H16" s="725">
        <f t="shared" si="0"/>
        <v>0</v>
      </c>
      <c r="I16" s="725">
        <f t="shared" si="0"/>
        <v>0</v>
      </c>
      <c r="J16" s="725">
        <f t="shared" si="0"/>
        <v>0</v>
      </c>
      <c r="K16" s="725">
        <f t="shared" si="0"/>
        <v>0.39353311153420956</v>
      </c>
      <c r="L16" s="725">
        <f t="shared" si="0"/>
        <v>0</v>
      </c>
      <c r="M16" s="725">
        <f t="shared" ca="1" si="0"/>
        <v>0</v>
      </c>
      <c r="N16" s="725">
        <f t="shared" si="0"/>
        <v>0</v>
      </c>
      <c r="O16" s="725">
        <f t="shared" ca="1" si="0"/>
        <v>3181.5174322195553</v>
      </c>
      <c r="P16" s="725">
        <f t="shared" si="0"/>
        <v>146.81290823464036</v>
      </c>
      <c r="Q16" s="725">
        <f t="shared" si="0"/>
        <v>410.82441299971589</v>
      </c>
      <c r="R16" s="725">
        <f t="shared" ca="1" si="0"/>
        <v>86979.500286068127</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608.5250069153592</v>
      </c>
      <c r="I19" s="689">
        <f>transport!H54</f>
        <v>0</v>
      </c>
      <c r="J19" s="689">
        <f>transport!I54</f>
        <v>0</v>
      </c>
      <c r="K19" s="689">
        <f>transport!J54</f>
        <v>0</v>
      </c>
      <c r="L19" s="689">
        <f>transport!K54</f>
        <v>0</v>
      </c>
      <c r="M19" s="689">
        <f>transport!L54</f>
        <v>0</v>
      </c>
      <c r="N19" s="689">
        <f>transport!M54</f>
        <v>33.022032783167752</v>
      </c>
      <c r="O19" s="689">
        <f>transport!N54</f>
        <v>0</v>
      </c>
      <c r="P19" s="689">
        <f>transport!O54</f>
        <v>0</v>
      </c>
      <c r="Q19" s="690">
        <f>transport!P54</f>
        <v>0</v>
      </c>
      <c r="R19" s="692">
        <f>SUM(C19:Q19)</f>
        <v>641.54703969852699</v>
      </c>
      <c r="S19" s="67"/>
    </row>
    <row r="20" spans="1:19" s="451" customFormat="1">
      <c r="A20" s="811" t="s">
        <v>306</v>
      </c>
      <c r="B20" s="816"/>
      <c r="C20" s="689">
        <f>transport!B14</f>
        <v>40.869066217733774</v>
      </c>
      <c r="D20" s="689">
        <f>transport!C14</f>
        <v>0</v>
      </c>
      <c r="E20" s="689">
        <f>transport!D14</f>
        <v>153.60300103582955</v>
      </c>
      <c r="F20" s="689">
        <f>transport!E14</f>
        <v>83.236325934409535</v>
      </c>
      <c r="G20" s="689">
        <f>transport!F14</f>
        <v>0</v>
      </c>
      <c r="H20" s="689">
        <f>transport!G14</f>
        <v>55013.523934046898</v>
      </c>
      <c r="I20" s="689">
        <f>transport!H14</f>
        <v>9820.9410455169927</v>
      </c>
      <c r="J20" s="689">
        <f>transport!I14</f>
        <v>0</v>
      </c>
      <c r="K20" s="689">
        <f>transport!J14</f>
        <v>0</v>
      </c>
      <c r="L20" s="689">
        <f>transport!K14</f>
        <v>0</v>
      </c>
      <c r="M20" s="689">
        <f>transport!L14</f>
        <v>0</v>
      </c>
      <c r="N20" s="689">
        <f>transport!M14</f>
        <v>3780.0465221115455</v>
      </c>
      <c r="O20" s="689">
        <f>transport!N14</f>
        <v>0</v>
      </c>
      <c r="P20" s="689">
        <f>transport!O14</f>
        <v>0</v>
      </c>
      <c r="Q20" s="690">
        <f>transport!P14</f>
        <v>0</v>
      </c>
      <c r="R20" s="692">
        <f>SUM(C20:Q20)</f>
        <v>68892.219894863418</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40.869066217733774</v>
      </c>
      <c r="D22" s="814">
        <f t="shared" ref="D22:R22" si="1">SUM(D18:D21)</f>
        <v>0</v>
      </c>
      <c r="E22" s="814">
        <f t="shared" si="1"/>
        <v>153.60300103582955</v>
      </c>
      <c r="F22" s="814">
        <f t="shared" si="1"/>
        <v>83.236325934409535</v>
      </c>
      <c r="G22" s="814">
        <f t="shared" si="1"/>
        <v>0</v>
      </c>
      <c r="H22" s="814">
        <f t="shared" si="1"/>
        <v>55622.048940962261</v>
      </c>
      <c r="I22" s="814">
        <f t="shared" si="1"/>
        <v>9820.9410455169927</v>
      </c>
      <c r="J22" s="814">
        <f t="shared" si="1"/>
        <v>0</v>
      </c>
      <c r="K22" s="814">
        <f t="shared" si="1"/>
        <v>0</v>
      </c>
      <c r="L22" s="814">
        <f t="shared" si="1"/>
        <v>0</v>
      </c>
      <c r="M22" s="814">
        <f t="shared" si="1"/>
        <v>0</v>
      </c>
      <c r="N22" s="814">
        <f t="shared" si="1"/>
        <v>3813.0685548947131</v>
      </c>
      <c r="O22" s="814">
        <f t="shared" si="1"/>
        <v>0</v>
      </c>
      <c r="P22" s="814">
        <f t="shared" si="1"/>
        <v>0</v>
      </c>
      <c r="Q22" s="814">
        <f t="shared" si="1"/>
        <v>0</v>
      </c>
      <c r="R22" s="814">
        <f t="shared" si="1"/>
        <v>69533.766934561951</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140.04421857104199</v>
      </c>
      <c r="D24" s="689">
        <f>+landbouw!C8</f>
        <v>0</v>
      </c>
      <c r="E24" s="689">
        <f>+landbouw!D8</f>
        <v>20.237513267652645</v>
      </c>
      <c r="F24" s="689">
        <f>+landbouw!E8</f>
        <v>5.2226772752210353</v>
      </c>
      <c r="G24" s="689">
        <f>+landbouw!F8</f>
        <v>454.35756026065678</v>
      </c>
      <c r="H24" s="689">
        <f>+landbouw!G8</f>
        <v>0</v>
      </c>
      <c r="I24" s="689">
        <f>+landbouw!H8</f>
        <v>0</v>
      </c>
      <c r="J24" s="689">
        <f>+landbouw!I8</f>
        <v>0</v>
      </c>
      <c r="K24" s="689">
        <f>+landbouw!J8</f>
        <v>36.76229876020021</v>
      </c>
      <c r="L24" s="689">
        <f>+landbouw!K8</f>
        <v>0</v>
      </c>
      <c r="M24" s="689">
        <f>+landbouw!L8</f>
        <v>0</v>
      </c>
      <c r="N24" s="689">
        <f>+landbouw!M8</f>
        <v>0</v>
      </c>
      <c r="O24" s="689">
        <f>+landbouw!N8</f>
        <v>0</v>
      </c>
      <c r="P24" s="689">
        <f>+landbouw!O8</f>
        <v>0</v>
      </c>
      <c r="Q24" s="690">
        <f>+landbouw!P8</f>
        <v>0</v>
      </c>
      <c r="R24" s="692">
        <f>SUM(C24:Q24)</f>
        <v>656.62426813477271</v>
      </c>
      <c r="S24" s="67"/>
    </row>
    <row r="25" spans="1:19" s="451" customFormat="1" ht="15" thickBot="1">
      <c r="A25" s="833" t="s">
        <v>714</v>
      </c>
      <c r="B25" s="947"/>
      <c r="C25" s="948">
        <f>IF(Onbekend_ele_kWh="---",0,Onbekend_ele_kWh)/1000+IF(REST_rest_ele_kWh="---",0,REST_rest_ele_kWh)/1000</f>
        <v>274.13174378456898</v>
      </c>
      <c r="D25" s="948"/>
      <c r="E25" s="948">
        <f>IF(onbekend_gas_kWh="---",0,onbekend_gas_kWh)/1000+IF(REST_rest_gas_kWh="---",0,REST_rest_gas_kWh)/1000</f>
        <v>885.96877586455901</v>
      </c>
      <c r="F25" s="948"/>
      <c r="G25" s="948"/>
      <c r="H25" s="948"/>
      <c r="I25" s="948"/>
      <c r="J25" s="948"/>
      <c r="K25" s="948"/>
      <c r="L25" s="948"/>
      <c r="M25" s="948"/>
      <c r="N25" s="948"/>
      <c r="O25" s="948"/>
      <c r="P25" s="948"/>
      <c r="Q25" s="949"/>
      <c r="R25" s="692">
        <f>SUM(C25:Q25)</f>
        <v>1160.100519649128</v>
      </c>
      <c r="S25" s="67"/>
    </row>
    <row r="26" spans="1:19" s="451" customFormat="1" ht="15.75" thickBot="1">
      <c r="A26" s="697" t="s">
        <v>715</v>
      </c>
      <c r="B26" s="819"/>
      <c r="C26" s="814">
        <f>SUM(C24:C25)</f>
        <v>414.17596235561098</v>
      </c>
      <c r="D26" s="814">
        <f t="shared" ref="D26:R26" si="2">SUM(D24:D25)</f>
        <v>0</v>
      </c>
      <c r="E26" s="814">
        <f t="shared" si="2"/>
        <v>906.20628913221162</v>
      </c>
      <c r="F26" s="814">
        <f t="shared" si="2"/>
        <v>5.2226772752210353</v>
      </c>
      <c r="G26" s="814">
        <f t="shared" si="2"/>
        <v>454.35756026065678</v>
      </c>
      <c r="H26" s="814">
        <f t="shared" si="2"/>
        <v>0</v>
      </c>
      <c r="I26" s="814">
        <f t="shared" si="2"/>
        <v>0</v>
      </c>
      <c r="J26" s="814">
        <f t="shared" si="2"/>
        <v>0</v>
      </c>
      <c r="K26" s="814">
        <f t="shared" si="2"/>
        <v>36.76229876020021</v>
      </c>
      <c r="L26" s="814">
        <f t="shared" si="2"/>
        <v>0</v>
      </c>
      <c r="M26" s="814">
        <f t="shared" si="2"/>
        <v>0</v>
      </c>
      <c r="N26" s="814">
        <f t="shared" si="2"/>
        <v>0</v>
      </c>
      <c r="O26" s="814">
        <f t="shared" si="2"/>
        <v>0</v>
      </c>
      <c r="P26" s="814">
        <f t="shared" si="2"/>
        <v>0</v>
      </c>
      <c r="Q26" s="814">
        <f t="shared" si="2"/>
        <v>0</v>
      </c>
      <c r="R26" s="814">
        <f t="shared" si="2"/>
        <v>1816.7247877839009</v>
      </c>
      <c r="S26" s="67"/>
    </row>
    <row r="27" spans="1:19" s="451" customFormat="1" ht="17.25" thickTop="1" thickBot="1">
      <c r="A27" s="698" t="s">
        <v>115</v>
      </c>
      <c r="B27" s="806"/>
      <c r="C27" s="699">
        <f ca="1">C22+C16+C26</f>
        <v>28918.51821224087</v>
      </c>
      <c r="D27" s="699">
        <f t="shared" ref="D27:R27" ca="1" si="3">D22+D16+D26</f>
        <v>0</v>
      </c>
      <c r="E27" s="699">
        <f t="shared" ca="1" si="3"/>
        <v>53107.484485652378</v>
      </c>
      <c r="F27" s="699">
        <f t="shared" si="3"/>
        <v>691.17056738986184</v>
      </c>
      <c r="G27" s="699">
        <f t="shared" ca="1" si="3"/>
        <v>2580.4496164312286</v>
      </c>
      <c r="H27" s="699">
        <f t="shared" si="3"/>
        <v>55622.048940962261</v>
      </c>
      <c r="I27" s="699">
        <f t="shared" si="3"/>
        <v>9820.9410455169927</v>
      </c>
      <c r="J27" s="699">
        <f t="shared" si="3"/>
        <v>0</v>
      </c>
      <c r="K27" s="699">
        <f t="shared" si="3"/>
        <v>37.155831871734421</v>
      </c>
      <c r="L27" s="699">
        <f t="shared" si="3"/>
        <v>0</v>
      </c>
      <c r="M27" s="699">
        <f t="shared" ca="1" si="3"/>
        <v>0</v>
      </c>
      <c r="N27" s="699">
        <f t="shared" si="3"/>
        <v>3813.0685548947131</v>
      </c>
      <c r="O27" s="699">
        <f t="shared" ca="1" si="3"/>
        <v>3181.5174322195553</v>
      </c>
      <c r="P27" s="699">
        <f t="shared" si="3"/>
        <v>146.81290823464036</v>
      </c>
      <c r="Q27" s="699">
        <f t="shared" si="3"/>
        <v>410.82441299971589</v>
      </c>
      <c r="R27" s="699">
        <f t="shared" ca="1" si="3"/>
        <v>158329.99200841397</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1761.4873167840572</v>
      </c>
      <c r="D40" s="689">
        <f ca="1">tertiair!C20</f>
        <v>0</v>
      </c>
      <c r="E40" s="689">
        <f ca="1">tertiair!D20</f>
        <v>2477.5857963481276</v>
      </c>
      <c r="F40" s="689">
        <f>tertiair!E20</f>
        <v>7.3742324048217656</v>
      </c>
      <c r="G40" s="689">
        <f ca="1">tertiair!F20</f>
        <v>422.98976008107161</v>
      </c>
      <c r="H40" s="689">
        <f>tertiair!G20</f>
        <v>0</v>
      </c>
      <c r="I40" s="689">
        <f>tertiair!H20</f>
        <v>0</v>
      </c>
      <c r="J40" s="689">
        <f>tertiair!I20</f>
        <v>0</v>
      </c>
      <c r="K40" s="689">
        <f>tertiair!J20</f>
        <v>3.0211936572985868E-3</v>
      </c>
      <c r="L40" s="689">
        <f>tertiair!K20</f>
        <v>0</v>
      </c>
      <c r="M40" s="689">
        <f ca="1">tertiair!L20</f>
        <v>0</v>
      </c>
      <c r="N40" s="689">
        <f>tertiair!M20</f>
        <v>0</v>
      </c>
      <c r="O40" s="689">
        <f ca="1">tertiair!N20</f>
        <v>0</v>
      </c>
      <c r="P40" s="689">
        <f>tertiair!O20</f>
        <v>0</v>
      </c>
      <c r="Q40" s="772">
        <f>tertiair!P20</f>
        <v>0</v>
      </c>
      <c r="R40" s="852">
        <f t="shared" ca="1" si="4"/>
        <v>4669.4401268117354</v>
      </c>
    </row>
    <row r="41" spans="1:18">
      <c r="A41" s="824" t="s">
        <v>224</v>
      </c>
      <c r="B41" s="831"/>
      <c r="C41" s="689">
        <f ca="1">huishoudens!B12</f>
        <v>1953.6851617641516</v>
      </c>
      <c r="D41" s="689">
        <f ca="1">huishoudens!C12</f>
        <v>0</v>
      </c>
      <c r="E41" s="689">
        <f>huishoudens!D12</f>
        <v>7434.6714547795482</v>
      </c>
      <c r="F41" s="689">
        <f>huishoudens!E12</f>
        <v>127.80038293208224</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9516.1569994757829</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210.44973246174663</v>
      </c>
      <c r="D43" s="689">
        <f ca="1">industrie!C22</f>
        <v>0</v>
      </c>
      <c r="E43" s="689">
        <f>industrie!D22</f>
        <v>601.37313836016074</v>
      </c>
      <c r="F43" s="689">
        <f>industrie!E22</f>
        <v>1.640909732008512</v>
      </c>
      <c r="G43" s="689">
        <f>industrie!F22</f>
        <v>144.67681891647101</v>
      </c>
      <c r="H43" s="689">
        <f>industrie!G22</f>
        <v>0</v>
      </c>
      <c r="I43" s="689">
        <f>industrie!H22</f>
        <v>0</v>
      </c>
      <c r="J43" s="689">
        <f>industrie!I22</f>
        <v>0</v>
      </c>
      <c r="K43" s="689">
        <f>industrie!J22</f>
        <v>0.13628952782581158</v>
      </c>
      <c r="L43" s="689">
        <f>industrie!K22</f>
        <v>0</v>
      </c>
      <c r="M43" s="689">
        <f>industrie!L22</f>
        <v>0</v>
      </c>
      <c r="N43" s="689">
        <f>industrie!M22</f>
        <v>0</v>
      </c>
      <c r="O43" s="689">
        <f>industrie!N22</f>
        <v>0</v>
      </c>
      <c r="P43" s="689">
        <f>industrie!O22</f>
        <v>0</v>
      </c>
      <c r="Q43" s="772">
        <f>industrie!P22</f>
        <v>0</v>
      </c>
      <c r="R43" s="851">
        <f t="shared" ca="1" si="4"/>
        <v>958.27688899821271</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3925.6222110099552</v>
      </c>
      <c r="D46" s="725">
        <f t="shared" ref="D46:Q46" ca="1" si="5">SUM(D39:D45)</f>
        <v>0</v>
      </c>
      <c r="E46" s="725">
        <f t="shared" ca="1" si="5"/>
        <v>10513.630389487837</v>
      </c>
      <c r="F46" s="725">
        <f t="shared" si="5"/>
        <v>136.81552506891251</v>
      </c>
      <c r="G46" s="725">
        <f t="shared" ca="1" si="5"/>
        <v>567.66657899754262</v>
      </c>
      <c r="H46" s="725">
        <f t="shared" si="5"/>
        <v>0</v>
      </c>
      <c r="I46" s="725">
        <f t="shared" si="5"/>
        <v>0</v>
      </c>
      <c r="J46" s="725">
        <f t="shared" si="5"/>
        <v>0</v>
      </c>
      <c r="K46" s="725">
        <f t="shared" si="5"/>
        <v>0.13931072148311016</v>
      </c>
      <c r="L46" s="725">
        <f t="shared" si="5"/>
        <v>0</v>
      </c>
      <c r="M46" s="725">
        <f t="shared" ca="1" si="5"/>
        <v>0</v>
      </c>
      <c r="N46" s="725">
        <f t="shared" si="5"/>
        <v>0</v>
      </c>
      <c r="O46" s="725">
        <f t="shared" ca="1" si="5"/>
        <v>0</v>
      </c>
      <c r="P46" s="725">
        <f t="shared" si="5"/>
        <v>0</v>
      </c>
      <c r="Q46" s="725">
        <f t="shared" si="5"/>
        <v>0</v>
      </c>
      <c r="R46" s="725">
        <f ca="1">SUM(R39:R45)</f>
        <v>15143.87401528573</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162.4761768464009</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162.4761768464009</v>
      </c>
    </row>
    <row r="50" spans="1:18">
      <c r="A50" s="827" t="s">
        <v>306</v>
      </c>
      <c r="B50" s="837"/>
      <c r="C50" s="695">
        <f ca="1">transport!B18</f>
        <v>5.6365754471464697</v>
      </c>
      <c r="D50" s="695">
        <f>transport!C18</f>
        <v>0</v>
      </c>
      <c r="E50" s="695">
        <f>transport!D18</f>
        <v>31.027806209237571</v>
      </c>
      <c r="F50" s="695">
        <f>transport!E18</f>
        <v>18.894645987110966</v>
      </c>
      <c r="G50" s="695">
        <f>transport!F18</f>
        <v>0</v>
      </c>
      <c r="H50" s="695">
        <f>transport!G18</f>
        <v>14688.610890390522</v>
      </c>
      <c r="I50" s="695">
        <f>transport!H18</f>
        <v>2445.4143203337312</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17189.584238367748</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5.6365754471464697</v>
      </c>
      <c r="D52" s="725">
        <f t="shared" ref="D52:Q52" ca="1" si="6">SUM(D48:D51)</f>
        <v>0</v>
      </c>
      <c r="E52" s="725">
        <f t="shared" si="6"/>
        <v>31.027806209237571</v>
      </c>
      <c r="F52" s="725">
        <f t="shared" si="6"/>
        <v>18.894645987110966</v>
      </c>
      <c r="G52" s="725">
        <f t="shared" si="6"/>
        <v>0</v>
      </c>
      <c r="H52" s="725">
        <f t="shared" si="6"/>
        <v>14851.087067236924</v>
      </c>
      <c r="I52" s="725">
        <f t="shared" si="6"/>
        <v>2445.4143203337312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17352.06041521415</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19.31460336546246</v>
      </c>
      <c r="D54" s="695">
        <f ca="1">+landbouw!C12</f>
        <v>0</v>
      </c>
      <c r="E54" s="695">
        <f>+landbouw!D12</f>
        <v>4.0879776800658343</v>
      </c>
      <c r="F54" s="695">
        <f>+landbouw!E12</f>
        <v>1.1855477414751749</v>
      </c>
      <c r="G54" s="695">
        <f>+landbouw!F12</f>
        <v>121.31346858959537</v>
      </c>
      <c r="H54" s="695">
        <f>+landbouw!G12</f>
        <v>0</v>
      </c>
      <c r="I54" s="695">
        <f>+landbouw!H12</f>
        <v>0</v>
      </c>
      <c r="J54" s="695">
        <f>+landbouw!I12</f>
        <v>0</v>
      </c>
      <c r="K54" s="695">
        <f>+landbouw!J12</f>
        <v>13.013853761110873</v>
      </c>
      <c r="L54" s="695">
        <f>+landbouw!K12</f>
        <v>0</v>
      </c>
      <c r="M54" s="695">
        <f>+landbouw!L12</f>
        <v>0</v>
      </c>
      <c r="N54" s="695">
        <f>+landbouw!M12</f>
        <v>0</v>
      </c>
      <c r="O54" s="695">
        <f>+landbouw!N12</f>
        <v>0</v>
      </c>
      <c r="P54" s="695">
        <f>+landbouw!O12</f>
        <v>0</v>
      </c>
      <c r="Q54" s="696">
        <f>+landbouw!P12</f>
        <v>0</v>
      </c>
      <c r="R54" s="724">
        <f ca="1">SUM(C54:Q54)</f>
        <v>158.91545113770971</v>
      </c>
    </row>
    <row r="55" spans="1:18" ht="15" thickBot="1">
      <c r="A55" s="827" t="s">
        <v>714</v>
      </c>
      <c r="B55" s="837"/>
      <c r="C55" s="695">
        <f ca="1">C25*'EF ele_warmte'!B12</f>
        <v>37.807672141749975</v>
      </c>
      <c r="D55" s="695"/>
      <c r="E55" s="695">
        <f>E25*EF_CO2_aardgas</f>
        <v>178.96569272464092</v>
      </c>
      <c r="F55" s="695"/>
      <c r="G55" s="695"/>
      <c r="H55" s="695"/>
      <c r="I55" s="695"/>
      <c r="J55" s="695"/>
      <c r="K55" s="695"/>
      <c r="L55" s="695"/>
      <c r="M55" s="695"/>
      <c r="N55" s="695"/>
      <c r="O55" s="695"/>
      <c r="P55" s="695"/>
      <c r="Q55" s="696"/>
      <c r="R55" s="724">
        <f ca="1">SUM(C55:Q55)</f>
        <v>216.77336486639089</v>
      </c>
    </row>
    <row r="56" spans="1:18" ht="15.75" thickBot="1">
      <c r="A56" s="825" t="s">
        <v>715</v>
      </c>
      <c r="B56" s="838"/>
      <c r="C56" s="725">
        <f ca="1">SUM(C54:C55)</f>
        <v>57.122275507212436</v>
      </c>
      <c r="D56" s="725">
        <f t="shared" ref="D56:Q56" ca="1" si="7">SUM(D54:D55)</f>
        <v>0</v>
      </c>
      <c r="E56" s="725">
        <f t="shared" si="7"/>
        <v>183.05367040470676</v>
      </c>
      <c r="F56" s="725">
        <f t="shared" si="7"/>
        <v>1.1855477414751749</v>
      </c>
      <c r="G56" s="725">
        <f t="shared" si="7"/>
        <v>121.31346858959537</v>
      </c>
      <c r="H56" s="725">
        <f t="shared" si="7"/>
        <v>0</v>
      </c>
      <c r="I56" s="725">
        <f t="shared" si="7"/>
        <v>0</v>
      </c>
      <c r="J56" s="725">
        <f t="shared" si="7"/>
        <v>0</v>
      </c>
      <c r="K56" s="725">
        <f t="shared" si="7"/>
        <v>13.013853761110873</v>
      </c>
      <c r="L56" s="725">
        <f t="shared" si="7"/>
        <v>0</v>
      </c>
      <c r="M56" s="725">
        <f t="shared" si="7"/>
        <v>0</v>
      </c>
      <c r="N56" s="725">
        <f t="shared" si="7"/>
        <v>0</v>
      </c>
      <c r="O56" s="725">
        <f t="shared" si="7"/>
        <v>0</v>
      </c>
      <c r="P56" s="725">
        <f t="shared" si="7"/>
        <v>0</v>
      </c>
      <c r="Q56" s="726">
        <f t="shared" si="7"/>
        <v>0</v>
      </c>
      <c r="R56" s="727">
        <f ca="1">SUM(R54:R55)</f>
        <v>375.6888160041006</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3988.3810619643141</v>
      </c>
      <c r="D61" s="733">
        <f t="shared" ref="D61:Q61" ca="1" si="8">D46+D52+D56</f>
        <v>0</v>
      </c>
      <c r="E61" s="733">
        <f t="shared" ca="1" si="8"/>
        <v>10727.711866101781</v>
      </c>
      <c r="F61" s="733">
        <f t="shared" si="8"/>
        <v>156.89571879749866</v>
      </c>
      <c r="G61" s="733">
        <f t="shared" ca="1" si="8"/>
        <v>688.98004758713796</v>
      </c>
      <c r="H61" s="733">
        <f t="shared" si="8"/>
        <v>14851.087067236924</v>
      </c>
      <c r="I61" s="733">
        <f t="shared" si="8"/>
        <v>2445.4143203337312</v>
      </c>
      <c r="J61" s="733">
        <f t="shared" si="8"/>
        <v>0</v>
      </c>
      <c r="K61" s="733">
        <f t="shared" si="8"/>
        <v>13.153164482593983</v>
      </c>
      <c r="L61" s="733">
        <f t="shared" si="8"/>
        <v>0</v>
      </c>
      <c r="M61" s="733">
        <f t="shared" ca="1" si="8"/>
        <v>0</v>
      </c>
      <c r="N61" s="733">
        <f t="shared" si="8"/>
        <v>0</v>
      </c>
      <c r="O61" s="733">
        <f t="shared" ca="1" si="8"/>
        <v>0</v>
      </c>
      <c r="P61" s="733">
        <f t="shared" si="8"/>
        <v>0</v>
      </c>
      <c r="Q61" s="733">
        <f t="shared" si="8"/>
        <v>0</v>
      </c>
      <c r="R61" s="733">
        <f ca="1">R46+R52+R56</f>
        <v>32871.623246503979</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0.1379178916669416</v>
      </c>
      <c r="D63" s="779">
        <f t="shared" ca="1" si="9"/>
        <v>0</v>
      </c>
      <c r="E63" s="973">
        <f t="shared" ca="1" si="9"/>
        <v>0.20200000000000001</v>
      </c>
      <c r="F63" s="779">
        <f t="shared" si="9"/>
        <v>0.22700000000000004</v>
      </c>
      <c r="G63" s="779">
        <f t="shared" ca="1" si="9"/>
        <v>0.26699999999999996</v>
      </c>
      <c r="H63" s="779">
        <f t="shared" si="9"/>
        <v>0.26700000000000002</v>
      </c>
      <c r="I63" s="779">
        <f t="shared" si="9"/>
        <v>0.249</v>
      </c>
      <c r="J63" s="779">
        <f t="shared" si="9"/>
        <v>0</v>
      </c>
      <c r="K63" s="779">
        <f t="shared" si="9"/>
        <v>0.35399999999999993</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8392.8267590853829</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2478.7183220952429</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10871.545081180626</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8392.8267590853829</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2478.7183220952429</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10871.545081180626</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14165.567194734334</v>
      </c>
      <c r="C4" s="455">
        <f>huishoudens!C8</f>
        <v>0</v>
      </c>
      <c r="D4" s="455">
        <f>huishoudens!D8</f>
        <v>36805.304231581918</v>
      </c>
      <c r="E4" s="455">
        <f>huishoudens!E8</f>
        <v>562.9972816391288</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2814.0115270849692</v>
      </c>
      <c r="O4" s="455">
        <f>huishoudens!O8</f>
        <v>146.81290823464036</v>
      </c>
      <c r="P4" s="456">
        <f>huishoudens!P8</f>
        <v>410.82441299971589</v>
      </c>
      <c r="Q4" s="457">
        <f>SUM(B4:P4)</f>
        <v>54905.517556274717</v>
      </c>
    </row>
    <row r="5" spans="1:17">
      <c r="A5" s="454" t="s">
        <v>155</v>
      </c>
      <c r="B5" s="455">
        <f ca="1">tertiair!B16</f>
        <v>12417.296032003673</v>
      </c>
      <c r="C5" s="455">
        <f ca="1">tertiair!C16</f>
        <v>0</v>
      </c>
      <c r="D5" s="455">
        <f ca="1">tertiair!D16</f>
        <v>12265.276219545185</v>
      </c>
      <c r="E5" s="455">
        <f>tertiair!E16</f>
        <v>32.485605307584869</v>
      </c>
      <c r="F5" s="455">
        <f ca="1">tertiair!F16</f>
        <v>1584.2313111650622</v>
      </c>
      <c r="G5" s="455">
        <f>tertiair!G16</f>
        <v>0</v>
      </c>
      <c r="H5" s="455">
        <f>tertiair!H16</f>
        <v>0</v>
      </c>
      <c r="I5" s="455">
        <f>tertiair!I16</f>
        <v>0</v>
      </c>
      <c r="J5" s="455">
        <f>tertiair!J16</f>
        <v>8.5344453596005281E-3</v>
      </c>
      <c r="K5" s="455">
        <f>tertiair!K16</f>
        <v>0</v>
      </c>
      <c r="L5" s="455">
        <f ca="1">tertiair!L16</f>
        <v>0</v>
      </c>
      <c r="M5" s="455">
        <f>tertiair!M16</f>
        <v>0</v>
      </c>
      <c r="N5" s="455">
        <f ca="1">tertiair!N16</f>
        <v>315.06794147551176</v>
      </c>
      <c r="O5" s="455">
        <f>tertiair!O16</f>
        <v>0</v>
      </c>
      <c r="P5" s="456">
        <f>tertiair!P16</f>
        <v>0</v>
      </c>
      <c r="Q5" s="454">
        <f t="shared" ref="Q5:Q14" ca="1" si="0">SUM(B5:P5)</f>
        <v>26614.365643942376</v>
      </c>
    </row>
    <row r="6" spans="1:17">
      <c r="A6" s="454" t="s">
        <v>193</v>
      </c>
      <c r="B6" s="455">
        <f>'openbare verlichting'!B8</f>
        <v>354.70400000000001</v>
      </c>
      <c r="C6" s="455"/>
      <c r="D6" s="455"/>
      <c r="E6" s="455"/>
      <c r="F6" s="455"/>
      <c r="G6" s="455"/>
      <c r="H6" s="455"/>
      <c r="I6" s="455"/>
      <c r="J6" s="455"/>
      <c r="K6" s="455"/>
      <c r="L6" s="455"/>
      <c r="M6" s="455"/>
      <c r="N6" s="455"/>
      <c r="O6" s="455"/>
      <c r="P6" s="456"/>
      <c r="Q6" s="454">
        <f t="shared" si="0"/>
        <v>354.70400000000001</v>
      </c>
    </row>
    <row r="7" spans="1:17">
      <c r="A7" s="454" t="s">
        <v>111</v>
      </c>
      <c r="B7" s="455">
        <f>landbouw!B8</f>
        <v>140.04421857104199</v>
      </c>
      <c r="C7" s="455">
        <f>landbouw!C8</f>
        <v>0</v>
      </c>
      <c r="D7" s="455">
        <f>landbouw!D8</f>
        <v>20.237513267652645</v>
      </c>
      <c r="E7" s="455">
        <f>landbouw!E8</f>
        <v>5.2226772752210353</v>
      </c>
      <c r="F7" s="455">
        <f>landbouw!F8</f>
        <v>454.35756026065678</v>
      </c>
      <c r="G7" s="455">
        <f>landbouw!G8</f>
        <v>0</v>
      </c>
      <c r="H7" s="455">
        <f>landbouw!H8</f>
        <v>0</v>
      </c>
      <c r="I7" s="455">
        <f>landbouw!I8</f>
        <v>0</v>
      </c>
      <c r="J7" s="455">
        <f>landbouw!J8</f>
        <v>36.76229876020021</v>
      </c>
      <c r="K7" s="455">
        <f>landbouw!K8</f>
        <v>0</v>
      </c>
      <c r="L7" s="455">
        <f>landbouw!L8</f>
        <v>0</v>
      </c>
      <c r="M7" s="455">
        <f>landbouw!M8</f>
        <v>0</v>
      </c>
      <c r="N7" s="455">
        <f>landbouw!N8</f>
        <v>0</v>
      </c>
      <c r="O7" s="455">
        <f>landbouw!O8</f>
        <v>0</v>
      </c>
      <c r="P7" s="456">
        <f>landbouw!P8</f>
        <v>0</v>
      </c>
      <c r="Q7" s="454">
        <f t="shared" si="0"/>
        <v>656.62426813477271</v>
      </c>
    </row>
    <row r="8" spans="1:17">
      <c r="A8" s="454" t="s">
        <v>626</v>
      </c>
      <c r="B8" s="455">
        <f>industrie!B18</f>
        <v>1525.9059569295218</v>
      </c>
      <c r="C8" s="455">
        <f>industrie!C18</f>
        <v>0</v>
      </c>
      <c r="D8" s="455">
        <f>industrie!D18</f>
        <v>2977.0947443572313</v>
      </c>
      <c r="E8" s="455">
        <f>industrie!E18</f>
        <v>7.2286772335176739</v>
      </c>
      <c r="F8" s="455">
        <f>industrie!F18</f>
        <v>541.86074500550933</v>
      </c>
      <c r="G8" s="455">
        <f>industrie!G18</f>
        <v>0</v>
      </c>
      <c r="H8" s="455">
        <f>industrie!H18</f>
        <v>0</v>
      </c>
      <c r="I8" s="455">
        <f>industrie!I18</f>
        <v>0</v>
      </c>
      <c r="J8" s="455">
        <f>industrie!J18</f>
        <v>0.38499866617460904</v>
      </c>
      <c r="K8" s="455">
        <f>industrie!K18</f>
        <v>0</v>
      </c>
      <c r="L8" s="455">
        <f>industrie!L18</f>
        <v>0</v>
      </c>
      <c r="M8" s="455">
        <f>industrie!M18</f>
        <v>0</v>
      </c>
      <c r="N8" s="455">
        <f>industrie!N18</f>
        <v>52.437963659074171</v>
      </c>
      <c r="O8" s="455">
        <f>industrie!O18</f>
        <v>0</v>
      </c>
      <c r="P8" s="456">
        <f>industrie!P18</f>
        <v>0</v>
      </c>
      <c r="Q8" s="454">
        <f t="shared" si="0"/>
        <v>5104.9130858510289</v>
      </c>
    </row>
    <row r="9" spans="1:17" s="460" customFormat="1">
      <c r="A9" s="458" t="s">
        <v>552</v>
      </c>
      <c r="B9" s="459">
        <f>transport!B14</f>
        <v>40.869066217733774</v>
      </c>
      <c r="C9" s="459">
        <f>transport!C14</f>
        <v>0</v>
      </c>
      <c r="D9" s="459">
        <f>transport!D14</f>
        <v>153.60300103582955</v>
      </c>
      <c r="E9" s="459">
        <f>transport!E14</f>
        <v>83.236325934409535</v>
      </c>
      <c r="F9" s="459">
        <f>transport!F14</f>
        <v>0</v>
      </c>
      <c r="G9" s="459">
        <f>transport!G14</f>
        <v>55013.523934046898</v>
      </c>
      <c r="H9" s="459">
        <f>transport!H14</f>
        <v>9820.9410455169927</v>
      </c>
      <c r="I9" s="459">
        <f>transport!I14</f>
        <v>0</v>
      </c>
      <c r="J9" s="459">
        <f>transport!J14</f>
        <v>0</v>
      </c>
      <c r="K9" s="459">
        <f>transport!K14</f>
        <v>0</v>
      </c>
      <c r="L9" s="459">
        <f>transport!L14</f>
        <v>0</v>
      </c>
      <c r="M9" s="459">
        <f>transport!M14</f>
        <v>3780.0465221115455</v>
      </c>
      <c r="N9" s="459">
        <f>transport!N14</f>
        <v>0</v>
      </c>
      <c r="O9" s="459">
        <f>transport!O14</f>
        <v>0</v>
      </c>
      <c r="P9" s="459">
        <f>transport!P14</f>
        <v>0</v>
      </c>
      <c r="Q9" s="458">
        <f>SUM(B9:P9)</f>
        <v>68892.219894863418</v>
      </c>
    </row>
    <row r="10" spans="1:17">
      <c r="A10" s="454" t="s">
        <v>542</v>
      </c>
      <c r="B10" s="455">
        <f>transport!B54</f>
        <v>0</v>
      </c>
      <c r="C10" s="455">
        <f>transport!C54</f>
        <v>0</v>
      </c>
      <c r="D10" s="455">
        <f>transport!D54</f>
        <v>0</v>
      </c>
      <c r="E10" s="455">
        <f>transport!E54</f>
        <v>0</v>
      </c>
      <c r="F10" s="455">
        <f>transport!F54</f>
        <v>0</v>
      </c>
      <c r="G10" s="455">
        <f>transport!G54</f>
        <v>608.5250069153592</v>
      </c>
      <c r="H10" s="455">
        <f>transport!H54</f>
        <v>0</v>
      </c>
      <c r="I10" s="455">
        <f>transport!I54</f>
        <v>0</v>
      </c>
      <c r="J10" s="455">
        <f>transport!J54</f>
        <v>0</v>
      </c>
      <c r="K10" s="455">
        <f>transport!K54</f>
        <v>0</v>
      </c>
      <c r="L10" s="455">
        <f>transport!L54</f>
        <v>0</v>
      </c>
      <c r="M10" s="455">
        <f>transport!M54</f>
        <v>33.022032783167752</v>
      </c>
      <c r="N10" s="455">
        <f>transport!N54</f>
        <v>0</v>
      </c>
      <c r="O10" s="455">
        <f>transport!O54</f>
        <v>0</v>
      </c>
      <c r="P10" s="456">
        <f>transport!P54</f>
        <v>0</v>
      </c>
      <c r="Q10" s="454">
        <f t="shared" si="0"/>
        <v>641.54703969852699</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274.13174378456898</v>
      </c>
      <c r="C14" s="462"/>
      <c r="D14" s="462">
        <f>'SEAP template'!E25</f>
        <v>885.96877586455901</v>
      </c>
      <c r="E14" s="462"/>
      <c r="F14" s="462"/>
      <c r="G14" s="462"/>
      <c r="H14" s="462"/>
      <c r="I14" s="462"/>
      <c r="J14" s="462"/>
      <c r="K14" s="462"/>
      <c r="L14" s="462"/>
      <c r="M14" s="462"/>
      <c r="N14" s="462"/>
      <c r="O14" s="462"/>
      <c r="P14" s="463"/>
      <c r="Q14" s="454">
        <f t="shared" si="0"/>
        <v>1160.100519649128</v>
      </c>
    </row>
    <row r="15" spans="1:17" s="466" customFormat="1">
      <c r="A15" s="464" t="s">
        <v>546</v>
      </c>
      <c r="B15" s="465">
        <f ca="1">SUM(B4:B14)</f>
        <v>28918.518212240873</v>
      </c>
      <c r="C15" s="465">
        <f t="shared" ref="C15:Q15" ca="1" si="1">SUM(C4:C14)</f>
        <v>0</v>
      </c>
      <c r="D15" s="465">
        <f t="shared" ca="1" si="1"/>
        <v>53107.484485652378</v>
      </c>
      <c r="E15" s="465">
        <f t="shared" si="1"/>
        <v>691.17056738986184</v>
      </c>
      <c r="F15" s="465">
        <f t="shared" ca="1" si="1"/>
        <v>2580.4496164312282</v>
      </c>
      <c r="G15" s="465">
        <f t="shared" si="1"/>
        <v>55622.048940962261</v>
      </c>
      <c r="H15" s="465">
        <f t="shared" si="1"/>
        <v>9820.9410455169927</v>
      </c>
      <c r="I15" s="465">
        <f t="shared" si="1"/>
        <v>0</v>
      </c>
      <c r="J15" s="465">
        <f t="shared" si="1"/>
        <v>37.155831871734421</v>
      </c>
      <c r="K15" s="465">
        <f t="shared" si="1"/>
        <v>0</v>
      </c>
      <c r="L15" s="465">
        <f t="shared" ca="1" si="1"/>
        <v>0</v>
      </c>
      <c r="M15" s="465">
        <f t="shared" si="1"/>
        <v>3813.0685548947131</v>
      </c>
      <c r="N15" s="465">
        <f t="shared" ca="1" si="1"/>
        <v>3181.5174322195553</v>
      </c>
      <c r="O15" s="465">
        <f t="shared" si="1"/>
        <v>146.81290823464036</v>
      </c>
      <c r="P15" s="465">
        <f t="shared" si="1"/>
        <v>410.82441299971589</v>
      </c>
      <c r="Q15" s="465">
        <f t="shared" ca="1" si="1"/>
        <v>158329.99200841397</v>
      </c>
    </row>
    <row r="17" spans="1:17">
      <c r="A17" s="467" t="s">
        <v>547</v>
      </c>
      <c r="B17" s="784">
        <f ca="1">huishoudens!B10</f>
        <v>0.1379178916669416</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1953.6851617641516</v>
      </c>
      <c r="C22" s="455">
        <f t="shared" ref="C22:C32" ca="1" si="3">C4*$C$17</f>
        <v>0</v>
      </c>
      <c r="D22" s="455">
        <f t="shared" ref="D22:D32" si="4">D4*$D$17</f>
        <v>7434.6714547795482</v>
      </c>
      <c r="E22" s="455">
        <f t="shared" ref="E22:E32" si="5">E4*$E$17</f>
        <v>127.80038293208224</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9516.1569994757829</v>
      </c>
    </row>
    <row r="23" spans="1:17">
      <c r="A23" s="454" t="s">
        <v>155</v>
      </c>
      <c r="B23" s="455">
        <f t="shared" ca="1" si="2"/>
        <v>1712.5672889382263</v>
      </c>
      <c r="C23" s="455">
        <f t="shared" ca="1" si="3"/>
        <v>0</v>
      </c>
      <c r="D23" s="455">
        <f t="shared" ca="1" si="4"/>
        <v>2477.5857963481276</v>
      </c>
      <c r="E23" s="455">
        <f t="shared" si="5"/>
        <v>7.3742324048217656</v>
      </c>
      <c r="F23" s="455">
        <f t="shared" ca="1" si="6"/>
        <v>422.98976008107161</v>
      </c>
      <c r="G23" s="455">
        <f t="shared" si="7"/>
        <v>0</v>
      </c>
      <c r="H23" s="455">
        <f t="shared" si="8"/>
        <v>0</v>
      </c>
      <c r="I23" s="455">
        <f t="shared" si="9"/>
        <v>0</v>
      </c>
      <c r="J23" s="455">
        <f t="shared" si="10"/>
        <v>3.0211936572985868E-3</v>
      </c>
      <c r="K23" s="455">
        <f t="shared" si="11"/>
        <v>0</v>
      </c>
      <c r="L23" s="455">
        <f t="shared" ca="1" si="12"/>
        <v>0</v>
      </c>
      <c r="M23" s="455">
        <f t="shared" si="13"/>
        <v>0</v>
      </c>
      <c r="N23" s="455">
        <f t="shared" ca="1" si="14"/>
        <v>0</v>
      </c>
      <c r="O23" s="455">
        <f t="shared" si="15"/>
        <v>0</v>
      </c>
      <c r="P23" s="456">
        <f t="shared" si="16"/>
        <v>0</v>
      </c>
      <c r="Q23" s="454">
        <f t="shared" ref="Q23:Q31" ca="1" si="17">SUM(B23:P23)</f>
        <v>4620.5200989659052</v>
      </c>
    </row>
    <row r="24" spans="1:17">
      <c r="A24" s="454" t="s">
        <v>193</v>
      </c>
      <c r="B24" s="455">
        <f t="shared" ca="1" si="2"/>
        <v>48.920027845830852</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48.920027845830852</v>
      </c>
    </row>
    <row r="25" spans="1:17">
      <c r="A25" s="454" t="s">
        <v>111</v>
      </c>
      <c r="B25" s="455">
        <f t="shared" ca="1" si="2"/>
        <v>19.31460336546246</v>
      </c>
      <c r="C25" s="455">
        <f t="shared" ca="1" si="3"/>
        <v>0</v>
      </c>
      <c r="D25" s="455">
        <f t="shared" si="4"/>
        <v>4.0879776800658343</v>
      </c>
      <c r="E25" s="455">
        <f t="shared" si="5"/>
        <v>1.1855477414751749</v>
      </c>
      <c r="F25" s="455">
        <f t="shared" si="6"/>
        <v>121.31346858959537</v>
      </c>
      <c r="G25" s="455">
        <f t="shared" si="7"/>
        <v>0</v>
      </c>
      <c r="H25" s="455">
        <f t="shared" si="8"/>
        <v>0</v>
      </c>
      <c r="I25" s="455">
        <f t="shared" si="9"/>
        <v>0</v>
      </c>
      <c r="J25" s="455">
        <f t="shared" si="10"/>
        <v>13.013853761110873</v>
      </c>
      <c r="K25" s="455">
        <f t="shared" si="11"/>
        <v>0</v>
      </c>
      <c r="L25" s="455">
        <f t="shared" si="12"/>
        <v>0</v>
      </c>
      <c r="M25" s="455">
        <f t="shared" si="13"/>
        <v>0</v>
      </c>
      <c r="N25" s="455">
        <f t="shared" si="14"/>
        <v>0</v>
      </c>
      <c r="O25" s="455">
        <f t="shared" si="15"/>
        <v>0</v>
      </c>
      <c r="P25" s="456">
        <f t="shared" si="16"/>
        <v>0</v>
      </c>
      <c r="Q25" s="454">
        <f t="shared" ca="1" si="17"/>
        <v>158.91545113770971</v>
      </c>
    </row>
    <row r="26" spans="1:17">
      <c r="A26" s="454" t="s">
        <v>626</v>
      </c>
      <c r="B26" s="455">
        <f t="shared" ca="1" si="2"/>
        <v>210.44973246174663</v>
      </c>
      <c r="C26" s="455">
        <f t="shared" ca="1" si="3"/>
        <v>0</v>
      </c>
      <c r="D26" s="455">
        <f t="shared" si="4"/>
        <v>601.37313836016074</v>
      </c>
      <c r="E26" s="455">
        <f t="shared" si="5"/>
        <v>1.640909732008512</v>
      </c>
      <c r="F26" s="455">
        <f t="shared" si="6"/>
        <v>144.67681891647101</v>
      </c>
      <c r="G26" s="455">
        <f t="shared" si="7"/>
        <v>0</v>
      </c>
      <c r="H26" s="455">
        <f t="shared" si="8"/>
        <v>0</v>
      </c>
      <c r="I26" s="455">
        <f t="shared" si="9"/>
        <v>0</v>
      </c>
      <c r="J26" s="455">
        <f t="shared" si="10"/>
        <v>0.13628952782581158</v>
      </c>
      <c r="K26" s="455">
        <f t="shared" si="11"/>
        <v>0</v>
      </c>
      <c r="L26" s="455">
        <f t="shared" si="12"/>
        <v>0</v>
      </c>
      <c r="M26" s="455">
        <f t="shared" si="13"/>
        <v>0</v>
      </c>
      <c r="N26" s="455">
        <f t="shared" si="14"/>
        <v>0</v>
      </c>
      <c r="O26" s="455">
        <f t="shared" si="15"/>
        <v>0</v>
      </c>
      <c r="P26" s="456">
        <f t="shared" si="16"/>
        <v>0</v>
      </c>
      <c r="Q26" s="454">
        <f t="shared" ca="1" si="17"/>
        <v>958.27688899821271</v>
      </c>
    </row>
    <row r="27" spans="1:17" s="460" customFormat="1">
      <c r="A27" s="458" t="s">
        <v>552</v>
      </c>
      <c r="B27" s="778">
        <f t="shared" ca="1" si="2"/>
        <v>5.6365754471464697</v>
      </c>
      <c r="C27" s="459">
        <f t="shared" ca="1" si="3"/>
        <v>0</v>
      </c>
      <c r="D27" s="459">
        <f t="shared" si="4"/>
        <v>31.027806209237571</v>
      </c>
      <c r="E27" s="459">
        <f t="shared" si="5"/>
        <v>18.894645987110966</v>
      </c>
      <c r="F27" s="459">
        <f t="shared" si="6"/>
        <v>0</v>
      </c>
      <c r="G27" s="459">
        <f t="shared" si="7"/>
        <v>14688.610890390522</v>
      </c>
      <c r="H27" s="459">
        <f t="shared" si="8"/>
        <v>2445.4143203337312</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17189.584238367748</v>
      </c>
    </row>
    <row r="28" spans="1:17" ht="16.5" customHeight="1">
      <c r="A28" s="454" t="s">
        <v>542</v>
      </c>
      <c r="B28" s="455">
        <f t="shared" ca="1" si="2"/>
        <v>0</v>
      </c>
      <c r="C28" s="455">
        <f t="shared" ca="1" si="3"/>
        <v>0</v>
      </c>
      <c r="D28" s="455">
        <f t="shared" si="4"/>
        <v>0</v>
      </c>
      <c r="E28" s="455">
        <f t="shared" si="5"/>
        <v>0</v>
      </c>
      <c r="F28" s="455">
        <f t="shared" si="6"/>
        <v>0</v>
      </c>
      <c r="G28" s="455">
        <f t="shared" si="7"/>
        <v>162.4761768464009</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162.4761768464009</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37.807672141749975</v>
      </c>
      <c r="C32" s="455">
        <f t="shared" ca="1" si="3"/>
        <v>0</v>
      </c>
      <c r="D32" s="455">
        <f t="shared" si="4"/>
        <v>178.96569272464092</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216.77336486639089</v>
      </c>
    </row>
    <row r="33" spans="1:17" s="466" customFormat="1">
      <c r="A33" s="464" t="s">
        <v>546</v>
      </c>
      <c r="B33" s="465">
        <f ca="1">SUM(B22:B32)</f>
        <v>3988.3810619643145</v>
      </c>
      <c r="C33" s="465">
        <f t="shared" ref="C33:Q33" ca="1" si="19">SUM(C22:C32)</f>
        <v>0</v>
      </c>
      <c r="D33" s="465">
        <f t="shared" ca="1" si="19"/>
        <v>10727.711866101783</v>
      </c>
      <c r="E33" s="465">
        <f t="shared" si="19"/>
        <v>156.89571879749866</v>
      </c>
      <c r="F33" s="465">
        <f t="shared" ca="1" si="19"/>
        <v>688.98004758713796</v>
      </c>
      <c r="G33" s="465">
        <f t="shared" si="19"/>
        <v>14851.087067236924</v>
      </c>
      <c r="H33" s="465">
        <f t="shared" si="19"/>
        <v>2445.4143203337312</v>
      </c>
      <c r="I33" s="465">
        <f t="shared" si="19"/>
        <v>0</v>
      </c>
      <c r="J33" s="465">
        <f t="shared" si="19"/>
        <v>13.153164482593983</v>
      </c>
      <c r="K33" s="465">
        <f t="shared" si="19"/>
        <v>0</v>
      </c>
      <c r="L33" s="465">
        <f t="shared" ca="1" si="19"/>
        <v>0</v>
      </c>
      <c r="M33" s="465">
        <f t="shared" si="19"/>
        <v>0</v>
      </c>
      <c r="N33" s="465">
        <f t="shared" ca="1" si="19"/>
        <v>0</v>
      </c>
      <c r="O33" s="465">
        <f t="shared" si="19"/>
        <v>0</v>
      </c>
      <c r="P33" s="465">
        <f t="shared" si="19"/>
        <v>0</v>
      </c>
      <c r="Q33" s="465">
        <f t="shared" ca="1" si="19"/>
        <v>32871.623246503979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8392.8267590853829</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2478.7183220952429</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10871.545081180626</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0.1379178916669416</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0.1379178916669416</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2020-06-20T15:17:34Z</dcterms:modified>
</cp:coreProperties>
</file>