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29" i="20"/>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<sst xmlns="http://schemas.openxmlformats.org/spreadsheetml/2006/main" count="2384" uniqueCount="874">
  <si>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</si>
  <si>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</si>
  <si>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</si>
  <si>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</si>
  <si>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</si>
  <si>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</si>
  <si>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</si>
  <si>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</si>
  <si>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</si>
  <si>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</si>
  <si>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</si>
  <si>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</si>
  <si>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</si>
  <si>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</si>
  <si>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</si>
  <si>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</si>
  <si>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</si>
  <si>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</si>
  <si>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</si>
  <si>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</si>
  <si>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</si>
  <si>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</si>
  <si>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</si>
  <si>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</si>
  <si>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</si>
  <si>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</si>
  <si>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</si>
  <si>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</si>
  <si>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</si>
  <si>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</si>
  <si>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</si>
  <si>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</si>
  <si>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</si>
  <si>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</si>
  <si>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</si>
  <si>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</si>
  <si>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</si>
  <si>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</si>
  <si>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</si>
  <si>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</si>
  <si>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</si>
  <si>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</si>
  <si>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</si>
  <si>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</si>
  <si>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</si>
  <si>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</si>
  <si>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</si>
  <si>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</si>
  <si>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</si>
  <si>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</si>
  <si>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</si>
  <si>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</si>
  <si>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</si>
  <si>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</si>
  <si>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</si>
  <si>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</si>
  <si>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</si>
  <si>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</si>
  <si>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</si>
  <si>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</si>
  <si>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</si>
  <si>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</si>
  <si>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</si>
  <si>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</si>
  <si>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</si>
  <si>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</si>
  <si>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</si>
  <si>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</si>
  <si>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</si>
  <si>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</si>
  <si>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</si>
  <si>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</si>
  <si>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</si>
  <si>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</si>
  <si>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</si>
  <si>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</si>
  <si>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</si>
  <si>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</si>
  <si>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</si>
  <si>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</si>
  <si>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</si>
  <si>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</si>
  <si>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</si>
  <si>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</si>
  <si>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</si>
  <si>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</si>
  <si>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</si>
  <si>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</si>
  <si>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</si>
  <si>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</si>
  <si>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</si>
  <si>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</si>
  <si>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</si>
  <si>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</si>
  <si>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</si>
  <si>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</si>
  <si>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</si>
  <si>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</si>
  <si>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</si>
  <si>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</si>
  <si>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</si>
  <si>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</si>
  <si>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</si>
  <si>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</si>
  <si>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</si>
  <si>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</si>
  <si>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</si>
  <si>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</si>
  <si>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</si>
  <si>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</si>
  <si>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</si>
  <si>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</si>
  <si>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</si>
  <si>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</si>
  <si>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</si>
  <si>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</si>
  <si>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</si>
  <si>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</si>
  <si>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</si>
  <si>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</si>
  <si>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</si>
  <si>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</si>
  <si>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</si>
  <si>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</si>
  <si>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</si>
  <si>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</si>
  <si>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</si>
  <si>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</si>
  <si>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</si>
  <si>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</si>
  <si>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</si>
  <si>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</si>
  <si>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</si>
  <si>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</si>
  <si>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</si>
  <si>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</si>
  <si>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</si>
  <si>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</si>
  <si>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</si>
  <si>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</si>
  <si>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</si>
  <si>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</si>
  <si>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</si>
  <si>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</si>
  <si>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</si>
  <si>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</si>
  <si>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</si>
  <si>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</si>
  <si>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</si>
  <si>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</si>
  <si>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</si>
  <si>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</si>
  <si>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</si>
  <si>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</si>
  <si>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</si>
  <si>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</si>
  <si>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</si>
  <si>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</si>
  <si>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</si>
  <si>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</si>
  <si>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</si>
  <si>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</si>
  <si>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</si>
  <si>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</si>
  <si>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</si>
  <si>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</si>
  <si>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</si>
  <si>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</si>
  <si>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</si>
  <si>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</si>
  <si>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</si>
  <si>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</si>
  <si>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</si>
  <si>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</si>
  <si>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</si>
  <si>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</si>
  <si>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</si>
  <si>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</si>
  <si>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</si>
  <si>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</si>
  <si>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</si>
  <si>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</si>
  <si>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</si>
  <si>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</si>
  <si>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</si>
  <si>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</si>
  <si>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</si>
  <si>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</si>
  <si>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</si>
  <si>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</si>
  <si>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</si>
  <si>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</si>
  <si>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</si>
  <si>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</si>
  <si>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</si>
  <si>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</si>
  <si>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</si>
  <si>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</si>
  <si>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</si>
  <si>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</si>
  <si>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</si>
  <si>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</si>
  <si>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</si>
  <si>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</si>
  <si>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</si>
  <si>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</si>
  <si>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</si>
  <si>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</si>
  <si>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</si>
  <si>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</si>
  <si>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</si>
  <si>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</si>
  <si>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</si>
  <si>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</si>
  <si>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</si>
  <si>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</si>
  <si>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</si>
  <si>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</si>
  <si>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</si>
  <si>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</si>
  <si>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</si>
  <si>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</si>
  <si>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</si>
  <si>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</si>
  <si>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</si>
  <si>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</si>
  <si>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</si>
  <si>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</si>
  <si>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</si>
  <si>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</si>
  <si>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</si>
  <si>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</si>
  <si>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</si>
  <si>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</si>
  <si>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</si>
  <si>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</si>
  <si>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</si>
  <si>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</si>
  <si>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</si>
  <si>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</si>
  <si>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</si>
  <si>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</si>
  <si>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</si>
  <si>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</si>
  <si>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</si>
  <si>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</si>
  <si>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</si>
  <si>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</si>
  <si>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</si>
  <si>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</si>
  <si>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</si>
  <si>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</si>
  <si>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</si>
  <si>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</si>
  <si>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</si>
  <si>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</si>
  <si>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</si>
  <si>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</si>
  <si>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</si>
  <si>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</si>
  <si>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</si>
  <si>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</si>
  <si>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</si>
  <si>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</si>
  <si>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</si>
  <si>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</si>
  <si>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</si>
  <si>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</si>
  <si>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</si>
  <si>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</si>
  <si>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</si>
  <si>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</si>
  <si>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</si>
  <si>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</si>
  <si>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</si>
  <si>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</si>
  <si>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</si>
  <si>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</si>
  <si>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</si>
  <si>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</si>
  <si>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</si>
  <si>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</si>
  <si>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</si>
  <si>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</si>
  <si>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</si>
  <si>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</si>
  <si>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</si>
  <si>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</si>
  <si>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</si>
  <si>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</si>
  <si>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</si>
  <si>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</si>
  <si>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</si>
  <si>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</si>
  <si>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</si>
  <si>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</si>
  <si>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</si>
  <si>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</si>
  <si>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</si>
  <si>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</si>
  <si>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</si>
  <si>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</si>
  <si>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</si>
  <si>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</si>
  <si>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</si>
  <si>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</si>
  <si>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</si>
  <si>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</si>
  <si>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</si>
  <si>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</si>
  <si>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</si>
  <si>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</si>
  <si>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</si>
  <si>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</si>
  <si>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</si>
  <si>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</si>
  <si>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</si>
  <si>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</si>
  <si>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</si>
  <si>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</si>
  <si>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</si>
  <si>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</si>
  <si>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</si>
  <si>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</si>
  <si>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</si>
  <si>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</si>
  <si>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</si>
  <si>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</si>
  <si>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</si>
  <si>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</si>
  <si>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</si>
  <si>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</si>
  <si>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</si>
  <si>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</si>
  <si>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</si>
  <si>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</si>
  <si>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</si>
  <si>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</si>
  <si>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</si>
  <si>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</si>
  <si>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</si>
  <si>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</si>
  <si>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</si>
  <si>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</si>
  <si>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</si>
  <si>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</si>
  <si>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</si>
  <si>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</si>
  <si>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</si>
  <si>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</si>
  <si>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</si>
  <si>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</si>
  <si>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</si>
  <si>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</si>
  <si>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</si>
  <si>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</si>
  <si>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</si>
  <si>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</si>
  <si>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</si>
  <si>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</si>
  <si>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</si>
  <si>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</si>
  <si>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</si>
  <si>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</si>
  <si>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</si>
  <si>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</si>
  <si>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</si>
  <si>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</si>
  <si>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</si>
  <si>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</si>
  <si>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</si>
  <si>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</si>
  <si>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</si>
  <si>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</si>
  <si>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</si>
  <si>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</si>
  <si>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</si>
  <si>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</si>
  <si>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</si>
  <si>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</si>
  <si>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</si>
  <si>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</si>
  <si>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</si>
  <si>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</si>
  <si>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</si>
  <si>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</si>
  <si>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</si>
  <si>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</si>
  <si>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</si>
  <si>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</si>
  <si>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</si>
  <si>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</si>
  <si>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</si>
  <si>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</si>
  <si>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</si>
  <si>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</si>
  <si>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</si>
  <si>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</si>
  <si>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</si>
  <si>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</si>
  <si>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</si>
  <si>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</si>
  <si>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</si>
  <si>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</si>
  <si>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</si>
  <si>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</si>
  <si>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</si>
  <si>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</si>
  <si>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</si>
  <si>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</si>
  <si>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</si>
  <si>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</si>
  <si>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</si>
  <si>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</si>
  <si>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</si>
  <si>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</si>
  <si>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</si>
  <si>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</si>
  <si>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</si>
  <si>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</si>
  <si>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</si>
  <si>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</si>
  <si>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</si>
  <si>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</si>
  <si>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</si>
  <si>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</si>
  <si>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</si>
  <si>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</si>
  <si>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</si>
  <si>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</si>
  <si>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</si>
  <si>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</si>
  <si>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</si>
  <si>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</si>
  <si>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</si>
  <si>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</si>
  <si>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</si>
  <si>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</si>
  <si>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</si>
  <si>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</si>
  <si>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</si>
  <si>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</si>
  <si>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</si>
  <si>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</si>
  <si>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</si>
  <si>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</si>
  <si>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</si>
  <si>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</si>
  <si>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</si>
  <si>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</si>
  <si>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</si>
  <si>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</si>
  <si>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</si>
  <si>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</si>
  <si>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</si>
  <si>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</si>
  <si>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</si>
  <si>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</si>
  <si>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</si>
  <si>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</si>
  <si>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</si>
  <si>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</si>
  <si>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</si>
  <si>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</si>
  <si>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</si>
  <si>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</si>
  <si>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</si>
  <si>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</si>
  <si>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</si>
  <si>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</si>
  <si>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</si>
  <si>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</si>
  <si>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</si>
  <si>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</si>
  <si>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</si>
  <si>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</si>
  <si>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</si>
  <si>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</si>
  <si>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</si>
  <si>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</si>
  <si>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</si>
  <si>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</si>
  <si>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</si>
  <si>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</si>
  <si>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</si>
  <si>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</si>
  <si>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</si>
  <si>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</si>
  <si>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</si>
  <si>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</si>
  <si>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</si>
  <si>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</si>
  <si>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</si>
  <si>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</si>
  <si>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</si>
  <si>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</si>
  <si>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</si>
  <si>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</si>
  <si>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</si>
  <si>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</si>
  <si>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</si>
  <si>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</si>
  <si>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</si>
  <si>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</si>
  <si>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</si>
  <si>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</si>
  <si>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</si>
  <si>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</si>
  <si>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</si>
  <si>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</si>
  <si>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</si>
  <si>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</si>
  <si>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</si>
  <si>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</si>
  <si>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</si>
  <si>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</si>
  <si>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</si>
  <si>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</si>
  <si>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</si>
  <si>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</si>
  <si>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</si>
  <si>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</si>
  <si>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</si>
  <si>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</si>
  <si>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</si>
  <si>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</si>
  <si>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</si>
  <si>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</si>
  <si>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</si>
  <si>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</si>
  <si>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</si>
  <si>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</si>
  <si>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</si>
  <si>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</si>
  <si>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</si>
  <si>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</si>
  <si>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</si>
  <si>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</si>
  <si>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</si>
  <si>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</si>
  <si>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</si>
  <si>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</si>
  <si>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</si>
  <si>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</si>
  <si>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</si>
  <si>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</si>
  <si>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</si>
  <si>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</si>
  <si>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</si>
  <si>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</si>
  <si>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</si>
  <si>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</si>
  <si>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</si>
  <si>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</si>
  <si>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</si>
  <si>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</si>
  <si>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</si>
  <si>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</si>
  <si>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</si>
  <si>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</si>
  <si>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</si>
  <si>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</si>
  <si>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</si>
  <si>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</si>
  <si>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</si>
  <si>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</si>
  <si>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</si>
  <si>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</si>
  <si>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</si>
  <si>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</si>
  <si>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</si>
  <si>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</si>
  <si>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</si>
  <si>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</si>
  <si>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</si>
  <si>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</si>
  <si>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</si>
  <si>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</si>
  <si>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</si>
  <si>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</si>
  <si>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</si>
  <si>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</si>
  <si>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</si>
  <si>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</si>
  <si>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</si>
  <si>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</si>
  <si>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</si>
  <si>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</si>
  <si>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</si>
  <si>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</si>
  <si>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</si>
  <si>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</si>
  <si>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</si>
  <si>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</si>
  <si>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</si>
  <si>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</si>
  <si>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</si>
  <si>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</si>
  <si>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</si>
  <si>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</si>
  <si>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</si>
  <si>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</si>
  <si>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</si>
  <si>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</si>
  <si>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</si>
  <si>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</si>
  <si>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</si>
  <si>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</si>
  <si>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</si>
  <si>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</si>
  <si>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</si>
  <si>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</si>
  <si>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</si>
  <si>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</si>
  <si>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</si>
  <si>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</si>
  <si>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</si>
  <si>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</si>
  <si>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</si>
  <si>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</si>
  <si>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</si>
  <si>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</si>
  <si>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</si>
  <si>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</si>
  <si>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</si>
  <si>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</si>
  <si>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</si>
  <si>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</si>
  <si>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</si>
  <si>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</si>
  <si>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</si>
  <si>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</si>
  <si>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</si>
  <si>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</si>
  <si>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</si>
  <si>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</si>
  <si>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</si>
  <si>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</si>
  <si>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</si>
  <si>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</si>
  <si>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</si>
  <si>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</si>
  <si>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</si>
  <si>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</si>
  <si>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</si>
  <si>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</si>
  <si>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</si>
  <si>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</si>
  <si>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</si>
  <si>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</si>
  <si>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</si>
  <si>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</si>
  <si>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</si>
  <si>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</si>
  <si>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</si>
  <si>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</si>
  <si>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</si>
  <si>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</si>
  <si>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</si>
  <si>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</si>
  <si>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</si>
  <si>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</si>
  <si>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</si>
  <si>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</si>
  <si>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</si>
  <si>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</si>
  <si>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</si>
  <si>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</si>
  <si>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</si>
  <si>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</si>
  <si>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</si>
  <si>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</si>
  <si>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</si>
  <si>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</si>
  <si>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</si>
  <si>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</si>
  <si>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</si>
  <si>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</si>
  <si>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</si>
  <si>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</si>
  <si>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</si>
  <si>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</si>
  <si>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</si>
  <si>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</si>
  <si>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</si>
  <si>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</si>
  <si>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</si>
  <si>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</si>
  <si>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</si>
  <si>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</si>
  <si>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</si>
  <si>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</si>
  <si>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</si>
  <si>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</si>
  <si>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</si>
  <si>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</si>
  <si>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</si>
  <si>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</si>
  <si>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</si>
  <si>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</si>
  <si>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</si>
  <si>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</si>
  <si>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</si>
  <si>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</si>
  <si>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</si>
  <si>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</si>
  <si>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</si>
  <si>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</si>
  <si>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</si>
  <si>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</si>
  <si>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</si>
  <si>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</si>
  <si>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</si>
  <si>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</si>
  <si>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</si>
  <si>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</si>
  <si>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</si>
  <si>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</si>
  <si>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</si>
  <si>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</si>
  <si>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</si>
  <si>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</si>
  <si>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</si>
  <si>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</si>
  <si>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</si>
  <si>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</si>
  <si>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</si>
  <si>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</si>
  <si>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</si>
  <si>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</si>
  <si>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</si>
  <si>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</si>
  <si>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</si>
  <si>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</si>
  <si>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</si>
  <si>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</si>
  <si>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</si>
  <si>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</si>
  <si>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</si>
  <si>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</si>
  <si>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</si>
  <si>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</si>
  <si>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</si>
  <si>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</si>
  <si>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</si>
  <si>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</si>
  <si>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</si>
  <si>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</si>
  <si>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</si>
  <si>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</si>
  <si>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</si>
  <si>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</si>
  <si>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</si>
  <si>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</si>
  <si>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</si>
  <si>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</si>
  <si>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</si>
  <si>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</si>
  <si>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</si>
  <si>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</si>
  <si>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</si>
  <si>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</si>
  <si>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</si>
  <si>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</si>
  <si>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</si>
  <si>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</si>
  <si>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</si>
  <si>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</si>
  <si>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</si>
  <si>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</si>
  <si>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</si>
  <si>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</si>
  <si>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</si>
  <si>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</si>
  <si>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</si>
  <si>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</si>
  <si>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</si>
  <si>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</si>
  <si>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</si>
  <si>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</si>
  <si>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</si>
  <si>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</si>
  <si>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</si>
  <si>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</si>
  <si>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</si>
  <si>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</si>
  <si>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</si>
  <si>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</si>
  <si>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</si>
  <si>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</si>
  <si>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</si>
  <si>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</si>
  <si>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</si>
  <si>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</si>
  <si>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</si>
  <si>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</si>
  <si>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</si>
  <si>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</si>
  <si>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</si>
  <si>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</si>
  <si>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</si>
  <si>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</si>
  <si>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</si>
  <si>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</si>
  <si>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</si>
  <si>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</si>
  <si>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</si>
  <si>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</si>
  <si>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</si>
  <si>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</si>
  <si>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</si>
  <si>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</si>
  <si>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</si>
  <si>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</si>
  <si>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</si>
  <si>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</si>
  <si>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</si>
  <si>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</si>
  <si>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</si>
  <si>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</si>
  <si>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</si>
  <si>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</si>
  <si>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</si>
  <si>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</si>
  <si>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</si>
  <si>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</si>
  <si>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</si>
  <si>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</si>
  <si>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</si>
  <si>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</si>
  <si>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</si>
  <si>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</si>
  <si>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</si>
  <si>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</si>
  <si>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</si>
  <si>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</si>
  <si>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</si>
  <si>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</si>
  <si>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</si>
  <si>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</si>
  <si>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</si>
  <si>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</si>
  <si>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</si>
  <si>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</si>
  <si>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</si>
  <si>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</si>
  <si>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</si>
  <si>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</si>
  <si>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</si>
  <si>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</si>
  <si>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</si>
  <si>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</si>
  <si>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</si>
  <si>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</si>
  <si>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</si>
  <si>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</si>
  <si>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</si>
  <si>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</si>
  <si>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</si>
  <si>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</si>
  <si>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</si>
  <si>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</si>
  <si>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11021</t>
  </si>
  <si>
    <t>HOVE</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</si>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</sst>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60961.448782884865</c:v>
                </c:pt>
                <c:pt idx="1">
                  <c:v>20178.776069110612</c:v>
                </c:pt>
                <c:pt idx="2">
                  <c:v>604.13599999999997</c:v>
                </c:pt>
                <c:pt idx="3">
                  <c:v>1889.5411862594678</c:v>
                </c:pt>
                <c:pt idx="4">
                  <c:v>2302.2914914276935</c:v>
                </c:pt>
                <c:pt idx="5">
                  <c:v>13004.838124643527</c:v>
                </c:pt>
                <c:pt idx="6">
                  <c:v>872.71606586031385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60961.448782884865</c:v>
                </c:pt>
                <c:pt idx="1">
                  <c:v>20178.776069110612</c:v>
                </c:pt>
                <c:pt idx="2">
                  <c:v>604.13599999999997</c:v>
                </c:pt>
                <c:pt idx="3">
                  <c:v>1889.5411862594678</c:v>
                </c:pt>
                <c:pt idx="4">
                  <c:v>2302.2914914276935</c:v>
                </c:pt>
                <c:pt idx="5">
                  <c:v>13004.838124643527</c:v>
                </c:pt>
                <c:pt idx="6">
                  <c:v>872.71606586031385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11800.171363834079</c:v>
                </c:pt>
                <c:pt idx="1">
                  <c:v>4095.8391324766053</c:v>
                </c:pt>
                <c:pt idx="2">
                  <c:v>123.0802360212063</c:v>
                </c:pt>
                <c:pt idx="3">
                  <c:v>468.34682703319015</c:v>
                </c:pt>
                <c:pt idx="4">
                  <c:v>470.09290790323831</c:v>
                </c:pt>
                <c:pt idx="5">
                  <c:v>3217.3860314423996</c:v>
                </c:pt>
                <c:pt idx="6">
                  <c:v>221.0213142282561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11800.171363834079</c:v>
                </c:pt>
                <c:pt idx="1">
                  <c:v>4095.8391324766053</c:v>
                </c:pt>
                <c:pt idx="2">
                  <c:v>123.0802360212063</c:v>
                </c:pt>
                <c:pt idx="3">
                  <c:v>468.34682703319015</c:v>
                </c:pt>
                <c:pt idx="4">
                  <c:v>470.09290790323831</c:v>
                </c:pt>
                <c:pt idx="5">
                  <c:v>3217.3860314423996</c:v>
                </c:pt>
                <c:pt idx="6">
                  <c:v>221.0213142282561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11021</v>
      </c>
      <c r="B6" s="392"/>
      <c r="C6" s="393"/>
    </row>
    <row r="7" spans="1:7" s="390" customFormat="1" ht="15.75" customHeight="1">
      <c r="A7" s="394" t="str">
        <f>txtMunicipality</f>
        <v>HOVE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7875.9311258559301</v>
      </c>
      <c r="D10" s="689">
        <f ca="1">tertiair!C16</f>
        <v>62.357142857142847</v>
      </c>
      <c r="E10" s="689">
        <f ca="1">tertiair!D16</f>
        <v>11170.022304871498</v>
      </c>
      <c r="F10" s="689">
        <f>tertiair!E16</f>
        <v>23.537480030269336</v>
      </c>
      <c r="G10" s="689">
        <f ca="1">tertiair!F16</f>
        <v>1320.8583967524082</v>
      </c>
      <c r="H10" s="689">
        <f>tertiair!G16</f>
        <v>0</v>
      </c>
      <c r="I10" s="689">
        <f>tertiair!H16</f>
        <v>0</v>
      </c>
      <c r="J10" s="689">
        <f>tertiair!I16</f>
        <v>0</v>
      </c>
      <c r="K10" s="689">
        <f>tertiair!J16</f>
        <v>1.2190568588746762E-2</v>
      </c>
      <c r="L10" s="689">
        <f>tertiair!K16</f>
        <v>0</v>
      </c>
      <c r="M10" s="689">
        <f ca="1">tertiair!L16</f>
        <v>0</v>
      </c>
      <c r="N10" s="689">
        <f>tertiair!M16</f>
        <v>0</v>
      </c>
      <c r="O10" s="689">
        <f ca="1">tertiair!N16</f>
        <v>325.29616740893016</v>
      </c>
      <c r="P10" s="689">
        <f>tertiair!O16</f>
        <v>4.8972607658411542</v>
      </c>
      <c r="Q10" s="690">
        <f>tertiair!P16</f>
        <v>0</v>
      </c>
      <c r="R10" s="692">
        <f ca="1">SUM(C10:Q10)</f>
        <v>20782.912069110611</v>
      </c>
      <c r="S10" s="67"/>
    </row>
    <row r="11" spans="1:19" s="451" customFormat="1">
      <c r="A11" s="811" t="s">
        <v>224</v>
      </c>
      <c r="B11" s="816"/>
      <c r="C11" s="689">
        <f>huishoudens!B8</f>
        <v>13768.170880668935</v>
      </c>
      <c r="D11" s="689">
        <f>huishoudens!C8</f>
        <v>0</v>
      </c>
      <c r="E11" s="689">
        <f>huishoudens!D8</f>
        <v>44193.996358741315</v>
      </c>
      <c r="F11" s="689">
        <f>huishoudens!E8</f>
        <v>299.57516555155826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1684.5267218087201</v>
      </c>
      <c r="P11" s="689">
        <f>huishoudens!O8</f>
        <v>140.86103357647926</v>
      </c>
      <c r="Q11" s="690">
        <f>huishoudens!P8</f>
        <v>874.31862253785675</v>
      </c>
      <c r="R11" s="692">
        <f>SUM(C11:Q11)</f>
        <v>60961.448782884865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833.63984159421273</v>
      </c>
      <c r="D13" s="689">
        <f>industrie!C18</f>
        <v>0</v>
      </c>
      <c r="E13" s="689">
        <f>industrie!D18</f>
        <v>1299.4379160733624</v>
      </c>
      <c r="F13" s="689">
        <f>industrie!E18</f>
        <v>2.6305572473979115</v>
      </c>
      <c r="G13" s="689">
        <f>industrie!F18</f>
        <v>139.08858460931054</v>
      </c>
      <c r="H13" s="689">
        <f>industrie!G18</f>
        <v>0</v>
      </c>
      <c r="I13" s="689">
        <f>industrie!H18</f>
        <v>0</v>
      </c>
      <c r="J13" s="689">
        <f>industrie!I18</f>
        <v>0</v>
      </c>
      <c r="K13" s="689">
        <f>industrie!J18</f>
        <v>0.10100349092021538</v>
      </c>
      <c r="L13" s="689">
        <f>industrie!K18</f>
        <v>0</v>
      </c>
      <c r="M13" s="689">
        <f>industrie!L18</f>
        <v>0</v>
      </c>
      <c r="N13" s="689">
        <f>industrie!M18</f>
        <v>0</v>
      </c>
      <c r="O13" s="689">
        <f>industrie!N18</f>
        <v>27.393588412490079</v>
      </c>
      <c r="P13" s="689">
        <f>industrie!O18</f>
        <v>0</v>
      </c>
      <c r="Q13" s="690">
        <f>industrie!P18</f>
        <v>0</v>
      </c>
      <c r="R13" s="692">
        <f>SUM(C13:Q13)</f>
        <v>2302.2914914276935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22477.74184811908</v>
      </c>
      <c r="D16" s="725">
        <f t="shared" ref="D16:R16" ca="1" si="0">SUM(D9:D15)</f>
        <v>62.357142857142847</v>
      </c>
      <c r="E16" s="725">
        <f t="shared" ca="1" si="0"/>
        <v>56663.456579686172</v>
      </c>
      <c r="F16" s="725">
        <f t="shared" si="0"/>
        <v>325.74320282922548</v>
      </c>
      <c r="G16" s="725">
        <f t="shared" ca="1" si="0"/>
        <v>1459.9469813617188</v>
      </c>
      <c r="H16" s="725">
        <f t="shared" si="0"/>
        <v>0</v>
      </c>
      <c r="I16" s="725">
        <f t="shared" si="0"/>
        <v>0</v>
      </c>
      <c r="J16" s="725">
        <f t="shared" si="0"/>
        <v>0</v>
      </c>
      <c r="K16" s="725">
        <f t="shared" si="0"/>
        <v>0.11319405950896214</v>
      </c>
      <c r="L16" s="725">
        <f t="shared" si="0"/>
        <v>0</v>
      </c>
      <c r="M16" s="725">
        <f t="shared" ca="1" si="0"/>
        <v>0</v>
      </c>
      <c r="N16" s="725">
        <f t="shared" si="0"/>
        <v>0</v>
      </c>
      <c r="O16" s="725">
        <f t="shared" ca="1" si="0"/>
        <v>2037.2164776301404</v>
      </c>
      <c r="P16" s="725">
        <f t="shared" si="0"/>
        <v>145.75829434232043</v>
      </c>
      <c r="Q16" s="725">
        <f t="shared" si="0"/>
        <v>874.31862253785675</v>
      </c>
      <c r="R16" s="725">
        <f t="shared" ca="1" si="0"/>
        <v>84046.652343423164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827.79518437549098</v>
      </c>
      <c r="I19" s="689">
        <f>transport!H54</f>
        <v>0</v>
      </c>
      <c r="J19" s="689">
        <f>transport!I54</f>
        <v>0</v>
      </c>
      <c r="K19" s="689">
        <f>transport!J54</f>
        <v>0</v>
      </c>
      <c r="L19" s="689">
        <f>transport!K54</f>
        <v>0</v>
      </c>
      <c r="M19" s="689">
        <f>transport!L54</f>
        <v>0</v>
      </c>
      <c r="N19" s="689">
        <f>transport!M54</f>
        <v>44.920881484822857</v>
      </c>
      <c r="O19" s="689">
        <f>transport!N54</f>
        <v>0</v>
      </c>
      <c r="P19" s="689">
        <f>transport!O54</f>
        <v>0</v>
      </c>
      <c r="Q19" s="690">
        <f>transport!P54</f>
        <v>0</v>
      </c>
      <c r="R19" s="692">
        <f>SUM(C19:Q19)</f>
        <v>872.71606586031385</v>
      </c>
      <c r="S19" s="67"/>
    </row>
    <row r="20" spans="1:19" s="451" customFormat="1">
      <c r="A20" s="811" t="s">
        <v>306</v>
      </c>
      <c r="B20" s="816"/>
      <c r="C20" s="689">
        <f>transport!B14</f>
        <v>11.808823569258152</v>
      </c>
      <c r="D20" s="689">
        <f>transport!C14</f>
        <v>0</v>
      </c>
      <c r="E20" s="689">
        <f>transport!D14</f>
        <v>48.621929947098252</v>
      </c>
      <c r="F20" s="689">
        <f>transport!E14</f>
        <v>26.031123588766722</v>
      </c>
      <c r="G20" s="689">
        <f>transport!F14</f>
        <v>0</v>
      </c>
      <c r="H20" s="689">
        <f>transport!G14</f>
        <v>9093.079926024564</v>
      </c>
      <c r="I20" s="689">
        <f>transport!H14</f>
        <v>3097.9806920156761</v>
      </c>
      <c r="J20" s="689">
        <f>transport!I14</f>
        <v>0</v>
      </c>
      <c r="K20" s="689">
        <f>transport!J14</f>
        <v>0</v>
      </c>
      <c r="L20" s="689">
        <f>transport!K14</f>
        <v>0</v>
      </c>
      <c r="M20" s="689">
        <f>transport!L14</f>
        <v>0</v>
      </c>
      <c r="N20" s="689">
        <f>transport!M14</f>
        <v>727.3156294981643</v>
      </c>
      <c r="O20" s="689">
        <f>transport!N14</f>
        <v>0</v>
      </c>
      <c r="P20" s="689">
        <f>transport!O14</f>
        <v>0</v>
      </c>
      <c r="Q20" s="690">
        <f>transport!P14</f>
        <v>0</v>
      </c>
      <c r="R20" s="692">
        <f>SUM(C20:Q20)</f>
        <v>13004.838124643527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11.808823569258152</v>
      </c>
      <c r="D22" s="814">
        <f t="shared" ref="D22:R22" si="1">SUM(D18:D21)</f>
        <v>0</v>
      </c>
      <c r="E22" s="814">
        <f t="shared" si="1"/>
        <v>48.621929947098252</v>
      </c>
      <c r="F22" s="814">
        <f t="shared" si="1"/>
        <v>26.031123588766722</v>
      </c>
      <c r="G22" s="814">
        <f t="shared" si="1"/>
        <v>0</v>
      </c>
      <c r="H22" s="814">
        <f t="shared" si="1"/>
        <v>9920.8751104000548</v>
      </c>
      <c r="I22" s="814">
        <f t="shared" si="1"/>
        <v>3097.9806920156761</v>
      </c>
      <c r="J22" s="814">
        <f t="shared" si="1"/>
        <v>0</v>
      </c>
      <c r="K22" s="814">
        <f t="shared" si="1"/>
        <v>0</v>
      </c>
      <c r="L22" s="814">
        <f t="shared" si="1"/>
        <v>0</v>
      </c>
      <c r="M22" s="814">
        <f t="shared" si="1"/>
        <v>0</v>
      </c>
      <c r="N22" s="814">
        <f t="shared" si="1"/>
        <v>772.23651098298717</v>
      </c>
      <c r="O22" s="814">
        <f t="shared" si="1"/>
        <v>0</v>
      </c>
      <c r="P22" s="814">
        <f t="shared" si="1"/>
        <v>0</v>
      </c>
      <c r="Q22" s="814">
        <f t="shared" si="1"/>
        <v>0</v>
      </c>
      <c r="R22" s="814">
        <f t="shared" si="1"/>
        <v>13877.554190503841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391.622060424663</v>
      </c>
      <c r="D24" s="689">
        <f>+landbouw!C8</f>
        <v>62.357142857142847</v>
      </c>
      <c r="E24" s="689">
        <f>+landbouw!D8</f>
        <v>47.581181456261355</v>
      </c>
      <c r="F24" s="689">
        <f>+landbouw!E8</f>
        <v>14.60478451966636</v>
      </c>
      <c r="G24" s="689">
        <f>+landbouw!F8</f>
        <v>1270.5732927385166</v>
      </c>
      <c r="H24" s="689">
        <f>+landbouw!G8</f>
        <v>0</v>
      </c>
      <c r="I24" s="689">
        <f>+landbouw!H8</f>
        <v>0</v>
      </c>
      <c r="J24" s="689">
        <f>+landbouw!I8</f>
        <v>0</v>
      </c>
      <c r="K24" s="689">
        <f>+landbouw!J8</f>
        <v>102.80272426321781</v>
      </c>
      <c r="L24" s="689">
        <f>+landbouw!K8</f>
        <v>0</v>
      </c>
      <c r="M24" s="689">
        <f>+landbouw!L8</f>
        <v>0</v>
      </c>
      <c r="N24" s="689">
        <f>+landbouw!M8</f>
        <v>0</v>
      </c>
      <c r="O24" s="689">
        <f>+landbouw!N8</f>
        <v>0</v>
      </c>
      <c r="P24" s="689">
        <f>+landbouw!O8</f>
        <v>0</v>
      </c>
      <c r="Q24" s="690">
        <f>+landbouw!P8</f>
        <v>0</v>
      </c>
      <c r="R24" s="692">
        <f>SUM(C24:Q24)</f>
        <v>1889.5411862594678</v>
      </c>
      <c r="S24" s="67"/>
    </row>
    <row r="25" spans="1:19" s="451" customFormat="1" ht="15" thickBot="1">
      <c r="A25" s="833" t="s">
        <v>714</v>
      </c>
      <c r="B25" s="947"/>
      <c r="C25" s="948">
        <f>IF(Onbekend_ele_kWh="---",0,Onbekend_ele_kWh)/1000+IF(REST_rest_ele_kWh="---",0,REST_rest_ele_kWh)/1000</f>
        <v>413.469219410466</v>
      </c>
      <c r="D25" s="948"/>
      <c r="E25" s="948">
        <f>IF(onbekend_gas_kWh="---",0,onbekend_gas_kWh)/1000+IF(REST_rest_gas_kWh="---",0,REST_rest_gas_kWh)/1000</f>
        <v>1205.9566883483301</v>
      </c>
      <c r="F25" s="948"/>
      <c r="G25" s="948"/>
      <c r="H25" s="948"/>
      <c r="I25" s="948"/>
      <c r="J25" s="948"/>
      <c r="K25" s="948"/>
      <c r="L25" s="948"/>
      <c r="M25" s="948"/>
      <c r="N25" s="948"/>
      <c r="O25" s="948"/>
      <c r="P25" s="948"/>
      <c r="Q25" s="949"/>
      <c r="R25" s="692">
        <f>SUM(C25:Q25)</f>
        <v>1619.425907758796</v>
      </c>
      <c r="S25" s="67"/>
    </row>
    <row r="26" spans="1:19" s="451" customFormat="1" ht="15.75" thickBot="1">
      <c r="A26" s="697" t="s">
        <v>715</v>
      </c>
      <c r="B26" s="819"/>
      <c r="C26" s="814">
        <f>SUM(C24:C25)</f>
        <v>805.09127983512894</v>
      </c>
      <c r="D26" s="814">
        <f t="shared" ref="D26:R26" si="2">SUM(D24:D25)</f>
        <v>62.357142857142847</v>
      </c>
      <c r="E26" s="814">
        <f t="shared" si="2"/>
        <v>1253.5378698045915</v>
      </c>
      <c r="F26" s="814">
        <f t="shared" si="2"/>
        <v>14.60478451966636</v>
      </c>
      <c r="G26" s="814">
        <f t="shared" si="2"/>
        <v>1270.5732927385166</v>
      </c>
      <c r="H26" s="814">
        <f t="shared" si="2"/>
        <v>0</v>
      </c>
      <c r="I26" s="814">
        <f t="shared" si="2"/>
        <v>0</v>
      </c>
      <c r="J26" s="814">
        <f t="shared" si="2"/>
        <v>0</v>
      </c>
      <c r="K26" s="814">
        <f t="shared" si="2"/>
        <v>102.80272426321781</v>
      </c>
      <c r="L26" s="814">
        <f t="shared" si="2"/>
        <v>0</v>
      </c>
      <c r="M26" s="814">
        <f t="shared" si="2"/>
        <v>0</v>
      </c>
      <c r="N26" s="814">
        <f t="shared" si="2"/>
        <v>0</v>
      </c>
      <c r="O26" s="814">
        <f t="shared" si="2"/>
        <v>0</v>
      </c>
      <c r="P26" s="814">
        <f t="shared" si="2"/>
        <v>0</v>
      </c>
      <c r="Q26" s="814">
        <f t="shared" si="2"/>
        <v>0</v>
      </c>
      <c r="R26" s="814">
        <f t="shared" si="2"/>
        <v>3508.9670940182641</v>
      </c>
      <c r="S26" s="67"/>
    </row>
    <row r="27" spans="1:19" s="451" customFormat="1" ht="17.25" thickTop="1" thickBot="1">
      <c r="A27" s="698" t="s">
        <v>115</v>
      </c>
      <c r="B27" s="806"/>
      <c r="C27" s="699">
        <f ca="1">C22+C16+C26</f>
        <v>23294.641951523467</v>
      </c>
      <c r="D27" s="699">
        <f t="shared" ref="D27:R27" ca="1" si="3">D22+D16+D26</f>
        <v>124.71428571428569</v>
      </c>
      <c r="E27" s="699">
        <f t="shared" ca="1" si="3"/>
        <v>57965.616379437859</v>
      </c>
      <c r="F27" s="699">
        <f t="shared" si="3"/>
        <v>366.37911093765854</v>
      </c>
      <c r="G27" s="699">
        <f t="shared" ca="1" si="3"/>
        <v>2730.5202741002354</v>
      </c>
      <c r="H27" s="699">
        <f t="shared" si="3"/>
        <v>9920.8751104000548</v>
      </c>
      <c r="I27" s="699">
        <f t="shared" si="3"/>
        <v>3097.9806920156761</v>
      </c>
      <c r="J27" s="699">
        <f t="shared" si="3"/>
        <v>0</v>
      </c>
      <c r="K27" s="699">
        <f t="shared" si="3"/>
        <v>102.91591832272677</v>
      </c>
      <c r="L27" s="699">
        <f t="shared" si="3"/>
        <v>0</v>
      </c>
      <c r="M27" s="699">
        <f t="shared" ca="1" si="3"/>
        <v>0</v>
      </c>
      <c r="N27" s="699">
        <f t="shared" si="3"/>
        <v>772.23651098298717</v>
      </c>
      <c r="O27" s="699">
        <f t="shared" ca="1" si="3"/>
        <v>2037.2164776301404</v>
      </c>
      <c r="P27" s="699">
        <f t="shared" si="3"/>
        <v>145.75829434232043</v>
      </c>
      <c r="Q27" s="699">
        <f t="shared" si="3"/>
        <v>874.31862253785675</v>
      </c>
      <c r="R27" s="699">
        <f t="shared" ca="1" si="3"/>
        <v>101433.17362794527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1604.5583475527251</v>
      </c>
      <c r="D40" s="689">
        <f ca="1">tertiair!C20</f>
        <v>0</v>
      </c>
      <c r="E40" s="689">
        <f ca="1">tertiair!D20</f>
        <v>2256.3445055840425</v>
      </c>
      <c r="F40" s="689">
        <f>tertiair!E20</f>
        <v>5.3430079668711397</v>
      </c>
      <c r="G40" s="689">
        <f ca="1">tertiair!F20</f>
        <v>352.669191932893</v>
      </c>
      <c r="H40" s="689">
        <f>tertiair!G20</f>
        <v>0</v>
      </c>
      <c r="I40" s="689">
        <f>tertiair!H20</f>
        <v>0</v>
      </c>
      <c r="J40" s="689">
        <f>tertiair!I20</f>
        <v>0</v>
      </c>
      <c r="K40" s="689">
        <f>tertiair!J20</f>
        <v>4.3154612804163538E-3</v>
      </c>
      <c r="L40" s="689">
        <f>tertiair!K20</f>
        <v>0</v>
      </c>
      <c r="M40" s="689">
        <f ca="1">tertiair!L20</f>
        <v>0</v>
      </c>
      <c r="N40" s="689">
        <f>tertiair!M20</f>
        <v>0</v>
      </c>
      <c r="O40" s="689">
        <f ca="1">tertiair!N20</f>
        <v>0</v>
      </c>
      <c r="P40" s="689">
        <f>tertiair!O20</f>
        <v>0</v>
      </c>
      <c r="Q40" s="772">
        <f>tertiair!P20</f>
        <v>0</v>
      </c>
      <c r="R40" s="852">
        <f t="shared" ca="1" si="4"/>
        <v>4218.9193684978118</v>
      </c>
    </row>
    <row r="41" spans="1:18">
      <c r="A41" s="824" t="s">
        <v>224</v>
      </c>
      <c r="B41" s="831"/>
      <c r="C41" s="689">
        <f ca="1">huishoudens!B12</f>
        <v>2804.9805367881281</v>
      </c>
      <c r="D41" s="689">
        <f ca="1">huishoudens!C12</f>
        <v>0</v>
      </c>
      <c r="E41" s="689">
        <f>huishoudens!D12</f>
        <v>8927.1872644657469</v>
      </c>
      <c r="F41" s="689">
        <f>huishoudens!E12</f>
        <v>68.00356258020372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11800.171363834079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169.83690503478812</v>
      </c>
      <c r="D43" s="689">
        <f ca="1">industrie!C22</f>
        <v>0</v>
      </c>
      <c r="E43" s="689">
        <f>industrie!D22</f>
        <v>262.48645904681922</v>
      </c>
      <c r="F43" s="689">
        <f>industrie!E22</f>
        <v>0.59713649515932599</v>
      </c>
      <c r="G43" s="689">
        <f>industrie!F22</f>
        <v>37.136652090685921</v>
      </c>
      <c r="H43" s="689">
        <f>industrie!G22</f>
        <v>0</v>
      </c>
      <c r="I43" s="689">
        <f>industrie!H22</f>
        <v>0</v>
      </c>
      <c r="J43" s="689">
        <f>industrie!I22</f>
        <v>0</v>
      </c>
      <c r="K43" s="689">
        <f>industrie!J22</f>
        <v>3.5755235785756241E-2</v>
      </c>
      <c r="L43" s="689">
        <f>industrie!K22</f>
        <v>0</v>
      </c>
      <c r="M43" s="689">
        <f>industrie!L22</f>
        <v>0</v>
      </c>
      <c r="N43" s="689">
        <f>industrie!M22</f>
        <v>0</v>
      </c>
      <c r="O43" s="689">
        <f>industrie!N22</f>
        <v>0</v>
      </c>
      <c r="P43" s="689">
        <f>industrie!O22</f>
        <v>0</v>
      </c>
      <c r="Q43" s="772">
        <f>industrie!P22</f>
        <v>0</v>
      </c>
      <c r="R43" s="851">
        <f t="shared" ca="1" si="4"/>
        <v>470.09290790323831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4579.375789375641</v>
      </c>
      <c r="D46" s="725">
        <f t="shared" ref="D46:Q46" ca="1" si="5">SUM(D39:D45)</f>
        <v>0</v>
      </c>
      <c r="E46" s="725">
        <f t="shared" ca="1" si="5"/>
        <v>11446.018229096608</v>
      </c>
      <c r="F46" s="725">
        <f t="shared" si="5"/>
        <v>73.943707042234195</v>
      </c>
      <c r="G46" s="725">
        <f t="shared" ca="1" si="5"/>
        <v>389.80584402357891</v>
      </c>
      <c r="H46" s="725">
        <f t="shared" si="5"/>
        <v>0</v>
      </c>
      <c r="I46" s="725">
        <f t="shared" si="5"/>
        <v>0</v>
      </c>
      <c r="J46" s="725">
        <f t="shared" si="5"/>
        <v>0</v>
      </c>
      <c r="K46" s="725">
        <f t="shared" si="5"/>
        <v>4.0070697066172598E-2</v>
      </c>
      <c r="L46" s="725">
        <f t="shared" si="5"/>
        <v>0</v>
      </c>
      <c r="M46" s="725">
        <f t="shared" ca="1" si="5"/>
        <v>0</v>
      </c>
      <c r="N46" s="725">
        <f t="shared" si="5"/>
        <v>0</v>
      </c>
      <c r="O46" s="725">
        <f t="shared" ca="1" si="5"/>
        <v>0</v>
      </c>
      <c r="P46" s="725">
        <f t="shared" si="5"/>
        <v>0</v>
      </c>
      <c r="Q46" s="725">
        <f t="shared" si="5"/>
        <v>0</v>
      </c>
      <c r="R46" s="725">
        <f ca="1">SUM(R39:R45)</f>
        <v>16489.183640235129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221.0213142282561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221.0213142282561</v>
      </c>
    </row>
    <row r="50" spans="1:18">
      <c r="A50" s="827" t="s">
        <v>306</v>
      </c>
      <c r="B50" s="837"/>
      <c r="C50" s="695">
        <f ca="1">transport!B18</f>
        <v>2.4058039779736307</v>
      </c>
      <c r="D50" s="695">
        <f>transport!C18</f>
        <v>0</v>
      </c>
      <c r="E50" s="695">
        <f>transport!D18</f>
        <v>9.8216298493138474</v>
      </c>
      <c r="F50" s="695">
        <f>transport!E18</f>
        <v>5.9090650546500463</v>
      </c>
      <c r="G50" s="695">
        <f>transport!F18</f>
        <v>0</v>
      </c>
      <c r="H50" s="695">
        <f>transport!G18</f>
        <v>2427.8523402485589</v>
      </c>
      <c r="I50" s="695">
        <f>transport!H18</f>
        <v>771.39719231190338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3217.3860314423996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2.4058039779736307</v>
      </c>
      <c r="D52" s="725">
        <f t="shared" ref="D52:Q52" ca="1" si="6">SUM(D48:D51)</f>
        <v>0</v>
      </c>
      <c r="E52" s="725">
        <f t="shared" si="6"/>
        <v>9.8216298493138474</v>
      </c>
      <c r="F52" s="725">
        <f t="shared" si="6"/>
        <v>5.9090650546500463</v>
      </c>
      <c r="G52" s="725">
        <f t="shared" si="6"/>
        <v>0</v>
      </c>
      <c r="H52" s="725">
        <f t="shared" si="6"/>
        <v>2648.8736544768149</v>
      </c>
      <c r="I52" s="725">
        <f t="shared" si="6"/>
        <v>771.39719231190338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3438.4073456706556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79.784908742698079</v>
      </c>
      <c r="D54" s="695">
        <f ca="1">+landbouw!C12</f>
        <v>0</v>
      </c>
      <c r="E54" s="695">
        <f>+landbouw!D12</f>
        <v>9.6113986541647947</v>
      </c>
      <c r="F54" s="695">
        <f>+landbouw!E12</f>
        <v>3.3152860859642637</v>
      </c>
      <c r="G54" s="695">
        <f>+landbouw!F12</f>
        <v>339.24306916118394</v>
      </c>
      <c r="H54" s="695">
        <f>+landbouw!G12</f>
        <v>0</v>
      </c>
      <c r="I54" s="695">
        <f>+landbouw!H12</f>
        <v>0</v>
      </c>
      <c r="J54" s="695">
        <f>+landbouw!I12</f>
        <v>0</v>
      </c>
      <c r="K54" s="695">
        <f>+landbouw!J12</f>
        <v>36.392164389179101</v>
      </c>
      <c r="L54" s="695">
        <f>+landbouw!K12</f>
        <v>0</v>
      </c>
      <c r="M54" s="695">
        <f>+landbouw!L12</f>
        <v>0</v>
      </c>
      <c r="N54" s="695">
        <f>+landbouw!M12</f>
        <v>0</v>
      </c>
      <c r="O54" s="695">
        <f>+landbouw!N12</f>
        <v>0</v>
      </c>
      <c r="P54" s="695">
        <f>+landbouw!O12</f>
        <v>0</v>
      </c>
      <c r="Q54" s="696">
        <f>+landbouw!P12</f>
        <v>0</v>
      </c>
      <c r="R54" s="724">
        <f ca="1">SUM(C54:Q54)</f>
        <v>468.34682703319015</v>
      </c>
    </row>
    <row r="55" spans="1:18" ht="15" thickBot="1">
      <c r="A55" s="827" t="s">
        <v>714</v>
      </c>
      <c r="B55" s="837"/>
      <c r="C55" s="695">
        <f ca="1">C25*'EF ele_warmte'!B12</f>
        <v>84.235816293920735</v>
      </c>
      <c r="D55" s="695"/>
      <c r="E55" s="695">
        <f>E25*EF_CO2_aardgas</f>
        <v>243.60325104636269</v>
      </c>
      <c r="F55" s="695"/>
      <c r="G55" s="695"/>
      <c r="H55" s="695"/>
      <c r="I55" s="695"/>
      <c r="J55" s="695"/>
      <c r="K55" s="695"/>
      <c r="L55" s="695"/>
      <c r="M55" s="695"/>
      <c r="N55" s="695"/>
      <c r="O55" s="695"/>
      <c r="P55" s="695"/>
      <c r="Q55" s="696"/>
      <c r="R55" s="724">
        <f ca="1">SUM(C55:Q55)</f>
        <v>327.83906734028341</v>
      </c>
    </row>
    <row r="56" spans="1:18" ht="15.75" thickBot="1">
      <c r="A56" s="825" t="s">
        <v>715</v>
      </c>
      <c r="B56" s="838"/>
      <c r="C56" s="725">
        <f ca="1">SUM(C54:C55)</f>
        <v>164.02072503661881</v>
      </c>
      <c r="D56" s="725">
        <f t="shared" ref="D56:Q56" ca="1" si="7">SUM(D54:D55)</f>
        <v>0</v>
      </c>
      <c r="E56" s="725">
        <f t="shared" si="7"/>
        <v>253.21464970052747</v>
      </c>
      <c r="F56" s="725">
        <f t="shared" si="7"/>
        <v>3.3152860859642637</v>
      </c>
      <c r="G56" s="725">
        <f t="shared" si="7"/>
        <v>339.24306916118394</v>
      </c>
      <c r="H56" s="725">
        <f t="shared" si="7"/>
        <v>0</v>
      </c>
      <c r="I56" s="725">
        <f t="shared" si="7"/>
        <v>0</v>
      </c>
      <c r="J56" s="725">
        <f t="shared" si="7"/>
        <v>0</v>
      </c>
      <c r="K56" s="725">
        <f t="shared" si="7"/>
        <v>36.392164389179101</v>
      </c>
      <c r="L56" s="725">
        <f t="shared" si="7"/>
        <v>0</v>
      </c>
      <c r="M56" s="725">
        <f t="shared" si="7"/>
        <v>0</v>
      </c>
      <c r="N56" s="725">
        <f t="shared" si="7"/>
        <v>0</v>
      </c>
      <c r="O56" s="725">
        <f t="shared" si="7"/>
        <v>0</v>
      </c>
      <c r="P56" s="725">
        <f t="shared" si="7"/>
        <v>0</v>
      </c>
      <c r="Q56" s="726">
        <f t="shared" si="7"/>
        <v>0</v>
      </c>
      <c r="R56" s="727">
        <f ca="1">SUM(R54:R55)</f>
        <v>796.1858943734735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4745.8023183902333</v>
      </c>
      <c r="D61" s="733">
        <f t="shared" ref="D61:Q61" ca="1" si="8">D46+D52+D56</f>
        <v>0</v>
      </c>
      <c r="E61" s="733">
        <f t="shared" ca="1" si="8"/>
        <v>11709.054508646448</v>
      </c>
      <c r="F61" s="733">
        <f t="shared" si="8"/>
        <v>83.168058182848497</v>
      </c>
      <c r="G61" s="733">
        <f t="shared" ca="1" si="8"/>
        <v>729.0489131847628</v>
      </c>
      <c r="H61" s="733">
        <f t="shared" si="8"/>
        <v>2648.8736544768149</v>
      </c>
      <c r="I61" s="733">
        <f t="shared" si="8"/>
        <v>771.39719231190338</v>
      </c>
      <c r="J61" s="733">
        <f t="shared" si="8"/>
        <v>0</v>
      </c>
      <c r="K61" s="733">
        <f t="shared" si="8"/>
        <v>36.432235086245271</v>
      </c>
      <c r="L61" s="733">
        <f t="shared" si="8"/>
        <v>0</v>
      </c>
      <c r="M61" s="733">
        <f t="shared" ca="1" si="8"/>
        <v>0</v>
      </c>
      <c r="N61" s="733">
        <f t="shared" si="8"/>
        <v>0</v>
      </c>
      <c r="O61" s="733">
        <f t="shared" ca="1" si="8"/>
        <v>0</v>
      </c>
      <c r="P61" s="733">
        <f t="shared" si="8"/>
        <v>0</v>
      </c>
      <c r="Q61" s="733">
        <f t="shared" si="8"/>
        <v>0</v>
      </c>
      <c r="R61" s="733">
        <f ca="1">R46+R52+R56</f>
        <v>20723.77688027926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0.20372935236636502</v>
      </c>
      <c r="D63" s="779">
        <f t="shared" ca="1" si="9"/>
        <v>0</v>
      </c>
      <c r="E63" s="973">
        <f t="shared" ca="1" si="9"/>
        <v>0.20200000000000001</v>
      </c>
      <c r="F63" s="779">
        <f t="shared" si="9"/>
        <v>0.22700000000000004</v>
      </c>
      <c r="G63" s="779">
        <f t="shared" ca="1" si="9"/>
        <v>0.26699999999999996</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1733.1233162735359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87.299999999999983</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1820.4233162735359</v>
      </c>
      <c r="C78" s="751">
        <f>SUM(C72:C77)</f>
        <v>0</v>
      </c>
      <c r="D78" s="752">
        <f t="shared" ref="D78:H78" si="10">SUM(D76:D77)</f>
        <v>0</v>
      </c>
      <c r="E78" s="752">
        <f t="shared" si="10"/>
        <v>0</v>
      </c>
      <c r="F78" s="752">
        <f t="shared" si="10"/>
        <v>0</v>
      </c>
      <c r="G78" s="752">
        <f t="shared" si="10"/>
        <v>0</v>
      </c>
      <c r="H78" s="752">
        <f t="shared" si="10"/>
        <v>0</v>
      </c>
      <c r="I78" s="752">
        <f>SUM(I76:I77)</f>
        <v>0</v>
      </c>
      <c r="J78" s="752">
        <f>SUM(J76:J77)</f>
        <v>102.70588235294116</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0</v>
      </c>
      <c r="D90" s="751">
        <f t="shared" ref="D90:H90" si="12">SUM(D87:D89)</f>
        <v>0</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13768.170880668935</v>
      </c>
      <c r="C4" s="455">
        <f>huishoudens!C8</f>
        <v>0</v>
      </c>
      <c r="D4" s="455">
        <f>huishoudens!D8</f>
        <v>44193.996358741315</v>
      </c>
      <c r="E4" s="455">
        <f>huishoudens!E8</f>
        <v>299.57516555155826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1684.5267218087201</v>
      </c>
      <c r="O4" s="455">
        <f>huishoudens!O8</f>
        <v>140.86103357647926</v>
      </c>
      <c r="P4" s="456">
        <f>huishoudens!P8</f>
        <v>874.31862253785675</v>
      </c>
      <c r="Q4" s="457">
        <f>SUM(B4:P4)</f>
        <v>60961.448782884865</v>
      </c>
    </row>
    <row r="5" spans="1:17">
      <c r="A5" s="454" t="s">
        <v>155</v>
      </c>
      <c r="B5" s="455">
        <f ca="1">tertiair!B16</f>
        <v>7271.7951258559306</v>
      </c>
      <c r="C5" s="455">
        <f ca="1">tertiair!C16</f>
        <v>62.357142857142847</v>
      </c>
      <c r="D5" s="455">
        <f ca="1">tertiair!D16</f>
        <v>11170.022304871498</v>
      </c>
      <c r="E5" s="455">
        <f>tertiair!E16</f>
        <v>23.537480030269336</v>
      </c>
      <c r="F5" s="455">
        <f ca="1">tertiair!F16</f>
        <v>1320.8583967524082</v>
      </c>
      <c r="G5" s="455">
        <f>tertiair!G16</f>
        <v>0</v>
      </c>
      <c r="H5" s="455">
        <f>tertiair!H16</f>
        <v>0</v>
      </c>
      <c r="I5" s="455">
        <f>tertiair!I16</f>
        <v>0</v>
      </c>
      <c r="J5" s="455">
        <f>tertiair!J16</f>
        <v>1.2190568588746762E-2</v>
      </c>
      <c r="K5" s="455">
        <f>tertiair!K16</f>
        <v>0</v>
      </c>
      <c r="L5" s="455">
        <f ca="1">tertiair!L16</f>
        <v>0</v>
      </c>
      <c r="M5" s="455">
        <f>tertiair!M16</f>
        <v>0</v>
      </c>
      <c r="N5" s="455">
        <f ca="1">tertiair!N16</f>
        <v>325.29616740893016</v>
      </c>
      <c r="O5" s="455">
        <f>tertiair!O16</f>
        <v>4.8972607658411542</v>
      </c>
      <c r="P5" s="456">
        <f>tertiair!P16</f>
        <v>0</v>
      </c>
      <c r="Q5" s="454">
        <f t="shared" ref="Q5:Q14" ca="1" si="0">SUM(B5:P5)</f>
        <v>20178.776069110612</v>
      </c>
    </row>
    <row r="6" spans="1:17">
      <c r="A6" s="454" t="s">
        <v>193</v>
      </c>
      <c r="B6" s="455">
        <f>'openbare verlichting'!B8</f>
        <v>604.13599999999997</v>
      </c>
      <c r="C6" s="455"/>
      <c r="D6" s="455"/>
      <c r="E6" s="455"/>
      <c r="F6" s="455"/>
      <c r="G6" s="455"/>
      <c r="H6" s="455"/>
      <c r="I6" s="455"/>
      <c r="J6" s="455"/>
      <c r="K6" s="455"/>
      <c r="L6" s="455"/>
      <c r="M6" s="455"/>
      <c r="N6" s="455"/>
      <c r="O6" s="455"/>
      <c r="P6" s="456"/>
      <c r="Q6" s="454">
        <f t="shared" si="0"/>
        <v>604.13599999999997</v>
      </c>
    </row>
    <row r="7" spans="1:17">
      <c r="A7" s="454" t="s">
        <v>111</v>
      </c>
      <c r="B7" s="455">
        <f>landbouw!B8</f>
        <v>391.622060424663</v>
      </c>
      <c r="C7" s="455">
        <f>landbouw!C8</f>
        <v>62.357142857142847</v>
      </c>
      <c r="D7" s="455">
        <f>landbouw!D8</f>
        <v>47.581181456261355</v>
      </c>
      <c r="E7" s="455">
        <f>landbouw!E8</f>
        <v>14.60478451966636</v>
      </c>
      <c r="F7" s="455">
        <f>landbouw!F8</f>
        <v>1270.5732927385166</v>
      </c>
      <c r="G7" s="455">
        <f>landbouw!G8</f>
        <v>0</v>
      </c>
      <c r="H7" s="455">
        <f>landbouw!H8</f>
        <v>0</v>
      </c>
      <c r="I7" s="455">
        <f>landbouw!I8</f>
        <v>0</v>
      </c>
      <c r="J7" s="455">
        <f>landbouw!J8</f>
        <v>102.80272426321781</v>
      </c>
      <c r="K7" s="455">
        <f>landbouw!K8</f>
        <v>0</v>
      </c>
      <c r="L7" s="455">
        <f>landbouw!L8</f>
        <v>0</v>
      </c>
      <c r="M7" s="455">
        <f>landbouw!M8</f>
        <v>0</v>
      </c>
      <c r="N7" s="455">
        <f>landbouw!N8</f>
        <v>0</v>
      </c>
      <c r="O7" s="455">
        <f>landbouw!O8</f>
        <v>0</v>
      </c>
      <c r="P7" s="456">
        <f>landbouw!P8</f>
        <v>0</v>
      </c>
      <c r="Q7" s="454">
        <f t="shared" si="0"/>
        <v>1889.5411862594678</v>
      </c>
    </row>
    <row r="8" spans="1:17">
      <c r="A8" s="454" t="s">
        <v>626</v>
      </c>
      <c r="B8" s="455">
        <f>industrie!B18</f>
        <v>833.63984159421273</v>
      </c>
      <c r="C8" s="455">
        <f>industrie!C18</f>
        <v>0</v>
      </c>
      <c r="D8" s="455">
        <f>industrie!D18</f>
        <v>1299.4379160733624</v>
      </c>
      <c r="E8" s="455">
        <f>industrie!E18</f>
        <v>2.6305572473979115</v>
      </c>
      <c r="F8" s="455">
        <f>industrie!F18</f>
        <v>139.08858460931054</v>
      </c>
      <c r="G8" s="455">
        <f>industrie!G18</f>
        <v>0</v>
      </c>
      <c r="H8" s="455">
        <f>industrie!H18</f>
        <v>0</v>
      </c>
      <c r="I8" s="455">
        <f>industrie!I18</f>
        <v>0</v>
      </c>
      <c r="J8" s="455">
        <f>industrie!J18</f>
        <v>0.10100349092021538</v>
      </c>
      <c r="K8" s="455">
        <f>industrie!K18</f>
        <v>0</v>
      </c>
      <c r="L8" s="455">
        <f>industrie!L18</f>
        <v>0</v>
      </c>
      <c r="M8" s="455">
        <f>industrie!M18</f>
        <v>0</v>
      </c>
      <c r="N8" s="455">
        <f>industrie!N18</f>
        <v>27.393588412490079</v>
      </c>
      <c r="O8" s="455">
        <f>industrie!O18</f>
        <v>0</v>
      </c>
      <c r="P8" s="456">
        <f>industrie!P18</f>
        <v>0</v>
      </c>
      <c r="Q8" s="454">
        <f t="shared" si="0"/>
        <v>2302.2914914276935</v>
      </c>
    </row>
    <row r="9" spans="1:17" s="460" customFormat="1">
      <c r="A9" s="458" t="s">
        <v>552</v>
      </c>
      <c r="B9" s="459">
        <f>transport!B14</f>
        <v>11.808823569258152</v>
      </c>
      <c r="C9" s="459">
        <f>transport!C14</f>
        <v>0</v>
      </c>
      <c r="D9" s="459">
        <f>transport!D14</f>
        <v>48.621929947098252</v>
      </c>
      <c r="E9" s="459">
        <f>transport!E14</f>
        <v>26.031123588766722</v>
      </c>
      <c r="F9" s="459">
        <f>transport!F14</f>
        <v>0</v>
      </c>
      <c r="G9" s="459">
        <f>transport!G14</f>
        <v>9093.079926024564</v>
      </c>
      <c r="H9" s="459">
        <f>transport!H14</f>
        <v>3097.9806920156761</v>
      </c>
      <c r="I9" s="459">
        <f>transport!I14</f>
        <v>0</v>
      </c>
      <c r="J9" s="459">
        <f>transport!J14</f>
        <v>0</v>
      </c>
      <c r="K9" s="459">
        <f>transport!K14</f>
        <v>0</v>
      </c>
      <c r="L9" s="459">
        <f>transport!L14</f>
        <v>0</v>
      </c>
      <c r="M9" s="459">
        <f>transport!M14</f>
        <v>727.3156294981643</v>
      </c>
      <c r="N9" s="459">
        <f>transport!N14</f>
        <v>0</v>
      </c>
      <c r="O9" s="459">
        <f>transport!O14</f>
        <v>0</v>
      </c>
      <c r="P9" s="459">
        <f>transport!P14</f>
        <v>0</v>
      </c>
      <c r="Q9" s="458">
        <f>SUM(B9:P9)</f>
        <v>13004.838124643527</v>
      </c>
    </row>
    <row r="10" spans="1:17">
      <c r="A10" s="454" t="s">
        <v>542</v>
      </c>
      <c r="B10" s="455">
        <f>transport!B54</f>
        <v>0</v>
      </c>
      <c r="C10" s="455">
        <f>transport!C54</f>
        <v>0</v>
      </c>
      <c r="D10" s="455">
        <f>transport!D54</f>
        <v>0</v>
      </c>
      <c r="E10" s="455">
        <f>transport!E54</f>
        <v>0</v>
      </c>
      <c r="F10" s="455">
        <f>transport!F54</f>
        <v>0</v>
      </c>
      <c r="G10" s="455">
        <f>transport!G54</f>
        <v>827.79518437549098</v>
      </c>
      <c r="H10" s="455">
        <f>transport!H54</f>
        <v>0</v>
      </c>
      <c r="I10" s="455">
        <f>transport!I54</f>
        <v>0</v>
      </c>
      <c r="J10" s="455">
        <f>transport!J54</f>
        <v>0</v>
      </c>
      <c r="K10" s="455">
        <f>transport!K54</f>
        <v>0</v>
      </c>
      <c r="L10" s="455">
        <f>transport!L54</f>
        <v>0</v>
      </c>
      <c r="M10" s="455">
        <f>transport!M54</f>
        <v>44.920881484822857</v>
      </c>
      <c r="N10" s="455">
        <f>transport!N54</f>
        <v>0</v>
      </c>
      <c r="O10" s="455">
        <f>transport!O54</f>
        <v>0</v>
      </c>
      <c r="P10" s="456">
        <f>transport!P54</f>
        <v>0</v>
      </c>
      <c r="Q10" s="454">
        <f t="shared" si="0"/>
        <v>872.71606586031385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413.469219410466</v>
      </c>
      <c r="C14" s="462"/>
      <c r="D14" s="462">
        <f>'SEAP template'!E25</f>
        <v>1205.9566883483301</v>
      </c>
      <c r="E14" s="462"/>
      <c r="F14" s="462"/>
      <c r="G14" s="462"/>
      <c r="H14" s="462"/>
      <c r="I14" s="462"/>
      <c r="J14" s="462"/>
      <c r="K14" s="462"/>
      <c r="L14" s="462"/>
      <c r="M14" s="462"/>
      <c r="N14" s="462"/>
      <c r="O14" s="462"/>
      <c r="P14" s="463"/>
      <c r="Q14" s="454">
        <f t="shared" si="0"/>
        <v>1619.425907758796</v>
      </c>
    </row>
    <row r="15" spans="1:17" s="466" customFormat="1">
      <c r="A15" s="464" t="s">
        <v>546</v>
      </c>
      <c r="B15" s="465">
        <f ca="1">SUM(B4:B14)</f>
        <v>23294.641951523463</v>
      </c>
      <c r="C15" s="465">
        <f t="shared" ref="C15:Q15" ca="1" si="1">SUM(C4:C14)</f>
        <v>124.71428571428569</v>
      </c>
      <c r="D15" s="465">
        <f t="shared" ca="1" si="1"/>
        <v>57965.616379437859</v>
      </c>
      <c r="E15" s="465">
        <f t="shared" si="1"/>
        <v>366.37911093765854</v>
      </c>
      <c r="F15" s="465">
        <f t="shared" ca="1" si="1"/>
        <v>2730.5202741002354</v>
      </c>
      <c r="G15" s="465">
        <f t="shared" si="1"/>
        <v>9920.8751104000548</v>
      </c>
      <c r="H15" s="465">
        <f t="shared" si="1"/>
        <v>3097.9806920156761</v>
      </c>
      <c r="I15" s="465">
        <f t="shared" si="1"/>
        <v>0</v>
      </c>
      <c r="J15" s="465">
        <f t="shared" si="1"/>
        <v>102.91591832272678</v>
      </c>
      <c r="K15" s="465">
        <f t="shared" si="1"/>
        <v>0</v>
      </c>
      <c r="L15" s="465">
        <f t="shared" ca="1" si="1"/>
        <v>0</v>
      </c>
      <c r="M15" s="465">
        <f t="shared" si="1"/>
        <v>772.23651098298717</v>
      </c>
      <c r="N15" s="465">
        <f t="shared" ca="1" si="1"/>
        <v>2037.2164776301404</v>
      </c>
      <c r="O15" s="465">
        <f t="shared" si="1"/>
        <v>145.75829434232043</v>
      </c>
      <c r="P15" s="465">
        <f t="shared" si="1"/>
        <v>874.31862253785675</v>
      </c>
      <c r="Q15" s="465">
        <f t="shared" ca="1" si="1"/>
        <v>101433.17362794526</v>
      </c>
    </row>
    <row r="17" spans="1:17">
      <c r="A17" s="467" t="s">
        <v>547</v>
      </c>
      <c r="B17" s="784">
        <f ca="1">huishoudens!B10</f>
        <v>0.20372935236636505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2804.9805367881281</v>
      </c>
      <c r="C22" s="455">
        <f t="shared" ref="C22:C32" ca="1" si="3">C4*$C$17</f>
        <v>0</v>
      </c>
      <c r="D22" s="455">
        <f t="shared" ref="D22:D32" si="4">D4*$D$17</f>
        <v>8927.1872644657469</v>
      </c>
      <c r="E22" s="455">
        <f t="shared" ref="E22:E32" si="5">E4*$E$17</f>
        <v>68.00356258020372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11800.171363834079</v>
      </c>
    </row>
    <row r="23" spans="1:17">
      <c r="A23" s="454" t="s">
        <v>155</v>
      </c>
      <c r="B23" s="455">
        <f t="shared" ca="1" si="2"/>
        <v>1481.4781115315188</v>
      </c>
      <c r="C23" s="455">
        <f t="shared" ca="1" si="3"/>
        <v>0</v>
      </c>
      <c r="D23" s="455">
        <f t="shared" ca="1" si="4"/>
        <v>2256.3445055840425</v>
      </c>
      <c r="E23" s="455">
        <f t="shared" si="5"/>
        <v>5.3430079668711397</v>
      </c>
      <c r="F23" s="455">
        <f t="shared" ca="1" si="6"/>
        <v>352.669191932893</v>
      </c>
      <c r="G23" s="455">
        <f t="shared" si="7"/>
        <v>0</v>
      </c>
      <c r="H23" s="455">
        <f t="shared" si="8"/>
        <v>0</v>
      </c>
      <c r="I23" s="455">
        <f t="shared" si="9"/>
        <v>0</v>
      </c>
      <c r="J23" s="455">
        <f t="shared" si="10"/>
        <v>4.3154612804163538E-3</v>
      </c>
      <c r="K23" s="455">
        <f t="shared" si="11"/>
        <v>0</v>
      </c>
      <c r="L23" s="455">
        <f t="shared" ca="1" si="12"/>
        <v>0</v>
      </c>
      <c r="M23" s="455">
        <f t="shared" si="13"/>
        <v>0</v>
      </c>
      <c r="N23" s="455">
        <f t="shared" ca="1" si="14"/>
        <v>0</v>
      </c>
      <c r="O23" s="455">
        <f t="shared" si="15"/>
        <v>0</v>
      </c>
      <c r="P23" s="456">
        <f t="shared" si="16"/>
        <v>0</v>
      </c>
      <c r="Q23" s="454">
        <f t="shared" ref="Q23:Q31" ca="1" si="17">SUM(B23:P23)</f>
        <v>4095.8391324766053</v>
      </c>
    </row>
    <row r="24" spans="1:17">
      <c r="A24" s="454" t="s">
        <v>193</v>
      </c>
      <c r="B24" s="455">
        <f t="shared" ca="1" si="2"/>
        <v>123.0802360212063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123.0802360212063</v>
      </c>
    </row>
    <row r="25" spans="1:17">
      <c r="A25" s="454" t="s">
        <v>111</v>
      </c>
      <c r="B25" s="455">
        <f t="shared" ca="1" si="2"/>
        <v>79.784908742698079</v>
      </c>
      <c r="C25" s="455">
        <f t="shared" ca="1" si="3"/>
        <v>0</v>
      </c>
      <c r="D25" s="455">
        <f t="shared" si="4"/>
        <v>9.6113986541647947</v>
      </c>
      <c r="E25" s="455">
        <f t="shared" si="5"/>
        <v>3.3152860859642637</v>
      </c>
      <c r="F25" s="455">
        <f t="shared" si="6"/>
        <v>339.24306916118394</v>
      </c>
      <c r="G25" s="455">
        <f t="shared" si="7"/>
        <v>0</v>
      </c>
      <c r="H25" s="455">
        <f t="shared" si="8"/>
        <v>0</v>
      </c>
      <c r="I25" s="455">
        <f t="shared" si="9"/>
        <v>0</v>
      </c>
      <c r="J25" s="455">
        <f t="shared" si="10"/>
        <v>36.392164389179101</v>
      </c>
      <c r="K25" s="455">
        <f t="shared" si="11"/>
        <v>0</v>
      </c>
      <c r="L25" s="455">
        <f t="shared" si="12"/>
        <v>0</v>
      </c>
      <c r="M25" s="455">
        <f t="shared" si="13"/>
        <v>0</v>
      </c>
      <c r="N25" s="455">
        <f t="shared" si="14"/>
        <v>0</v>
      </c>
      <c r="O25" s="455">
        <f t="shared" si="15"/>
        <v>0</v>
      </c>
      <c r="P25" s="456">
        <f t="shared" si="16"/>
        <v>0</v>
      </c>
      <c r="Q25" s="454">
        <f t="shared" ca="1" si="17"/>
        <v>468.34682703319015</v>
      </c>
    </row>
    <row r="26" spans="1:17">
      <c r="A26" s="454" t="s">
        <v>626</v>
      </c>
      <c r="B26" s="455">
        <f t="shared" ca="1" si="2"/>
        <v>169.83690503478812</v>
      </c>
      <c r="C26" s="455">
        <f t="shared" ca="1" si="3"/>
        <v>0</v>
      </c>
      <c r="D26" s="455">
        <f t="shared" si="4"/>
        <v>262.48645904681922</v>
      </c>
      <c r="E26" s="455">
        <f t="shared" si="5"/>
        <v>0.59713649515932599</v>
      </c>
      <c r="F26" s="455">
        <f t="shared" si="6"/>
        <v>37.136652090685921</v>
      </c>
      <c r="G26" s="455">
        <f t="shared" si="7"/>
        <v>0</v>
      </c>
      <c r="H26" s="455">
        <f t="shared" si="8"/>
        <v>0</v>
      </c>
      <c r="I26" s="455">
        <f t="shared" si="9"/>
        <v>0</v>
      </c>
      <c r="J26" s="455">
        <f t="shared" si="10"/>
        <v>3.5755235785756241E-2</v>
      </c>
      <c r="K26" s="455">
        <f t="shared" si="11"/>
        <v>0</v>
      </c>
      <c r="L26" s="455">
        <f t="shared" si="12"/>
        <v>0</v>
      </c>
      <c r="M26" s="455">
        <f t="shared" si="13"/>
        <v>0</v>
      </c>
      <c r="N26" s="455">
        <f t="shared" si="14"/>
        <v>0</v>
      </c>
      <c r="O26" s="455">
        <f t="shared" si="15"/>
        <v>0</v>
      </c>
      <c r="P26" s="456">
        <f t="shared" si="16"/>
        <v>0</v>
      </c>
      <c r="Q26" s="454">
        <f t="shared" ca="1" si="17"/>
        <v>470.09290790323831</v>
      </c>
    </row>
    <row r="27" spans="1:17" s="460" customFormat="1">
      <c r="A27" s="458" t="s">
        <v>552</v>
      </c>
      <c r="B27" s="778">
        <f t="shared" ca="1" si="2"/>
        <v>2.4058039779736307</v>
      </c>
      <c r="C27" s="459">
        <f t="shared" ca="1" si="3"/>
        <v>0</v>
      </c>
      <c r="D27" s="459">
        <f t="shared" si="4"/>
        <v>9.8216298493138474</v>
      </c>
      <c r="E27" s="459">
        <f t="shared" si="5"/>
        <v>5.9090650546500463</v>
      </c>
      <c r="F27" s="459">
        <f t="shared" si="6"/>
        <v>0</v>
      </c>
      <c r="G27" s="459">
        <f t="shared" si="7"/>
        <v>2427.8523402485589</v>
      </c>
      <c r="H27" s="459">
        <f t="shared" si="8"/>
        <v>771.39719231190338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3217.3860314423996</v>
      </c>
    </row>
    <row r="28" spans="1:17" ht="16.5" customHeight="1">
      <c r="A28" s="454" t="s">
        <v>542</v>
      </c>
      <c r="B28" s="455">
        <f t="shared" ca="1" si="2"/>
        <v>0</v>
      </c>
      <c r="C28" s="455">
        <f t="shared" ca="1" si="3"/>
        <v>0</v>
      </c>
      <c r="D28" s="455">
        <f t="shared" si="4"/>
        <v>0</v>
      </c>
      <c r="E28" s="455">
        <f t="shared" si="5"/>
        <v>0</v>
      </c>
      <c r="F28" s="455">
        <f t="shared" si="6"/>
        <v>0</v>
      </c>
      <c r="G28" s="455">
        <f t="shared" si="7"/>
        <v>221.0213142282561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221.0213142282561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84.235816293920735</v>
      </c>
      <c r="C32" s="455">
        <f t="shared" ca="1" si="3"/>
        <v>0</v>
      </c>
      <c r="D32" s="455">
        <f t="shared" si="4"/>
        <v>243.60325104636269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327.83906734028341</v>
      </c>
    </row>
    <row r="33" spans="1:17" s="466" customFormat="1">
      <c r="A33" s="464" t="s">
        <v>546</v>
      </c>
      <c r="B33" s="465">
        <f ca="1">SUM(B22:B32)</f>
        <v>4745.8023183902351</v>
      </c>
      <c r="C33" s="465">
        <f t="shared" ref="C33:Q33" ca="1" si="19">SUM(C22:C32)</f>
        <v>0</v>
      </c>
      <c r="D33" s="465">
        <f t="shared" ca="1" si="19"/>
        <v>11709.054508646448</v>
      </c>
      <c r="E33" s="465">
        <f t="shared" si="19"/>
        <v>83.168058182848497</v>
      </c>
      <c r="F33" s="465">
        <f t="shared" ca="1" si="19"/>
        <v>729.04891318476291</v>
      </c>
      <c r="G33" s="465">
        <f t="shared" si="19"/>
        <v>2648.8736544768149</v>
      </c>
      <c r="H33" s="465">
        <f t="shared" si="19"/>
        <v>771.39719231190338</v>
      </c>
      <c r="I33" s="465">
        <f t="shared" si="19"/>
        <v>0</v>
      </c>
      <c r="J33" s="465">
        <f t="shared" si="19"/>
        <v>36.432235086245271</v>
      </c>
      <c r="K33" s="465">
        <f t="shared" si="19"/>
        <v>0</v>
      </c>
      <c r="L33" s="465">
        <f t="shared" ca="1" si="19"/>
        <v>0</v>
      </c>
      <c r="M33" s="465">
        <f t="shared" si="19"/>
        <v>0</v>
      </c>
      <c r="N33" s="465">
        <f t="shared" ca="1" si="19"/>
        <v>0</v>
      </c>
      <c r="O33" s="465">
        <f t="shared" si="19"/>
        <v>0</v>
      </c>
      <c r="P33" s="465">
        <f t="shared" si="19"/>
        <v>0</v>
      </c>
      <c r="Q33" s="465">
        <f t="shared" ca="1" si="19"/>
        <v>20723.776880279256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1733.1233162735359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87.299999999999983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1820.4233162735359</v>
      </c>
      <c r="C10" s="1028">
        <f>SUM(C4:C9)</f>
        <v>0</v>
      </c>
      <c r="D10" s="1028">
        <f t="shared" ref="D10:H10" si="0">SUM(D8:D9)</f>
        <v>0</v>
      </c>
      <c r="E10" s="1028">
        <f t="shared" si="0"/>
        <v>0</v>
      </c>
      <c r="F10" s="1028">
        <f t="shared" si="0"/>
        <v>0</v>
      </c>
      <c r="G10" s="1028">
        <f t="shared" si="0"/>
        <v>0</v>
      </c>
      <c r="H10" s="1028">
        <f t="shared" si="0"/>
        <v>0</v>
      </c>
      <c r="I10" s="1028">
        <f>SUM(I8:I9)</f>
        <v>0</v>
      </c>
      <c r="J10" s="1028">
        <f>SUM(J8:J9)</f>
        <v>102.70588235294116</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0.20372935236636505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0</v>
      </c>
      <c r="D20" s="1028">
        <f t="shared" ref="D20:H20" si="2">SUM(D17:D19)</f>
        <v>0</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0.20372935236636505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0.20372935236636505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0.20372935236636505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134.87</v>
      </c>
      <c r="C14" s="332"/>
      <c r="D14" s="332"/>
      <c r="E14" s="332"/>
      <c r="F14" s="332"/>
    </row>
    <row r="15" spans="1:6">
      <c r="A15" s="1310" t="s">
        <v>183</v>
      </c>
      <c r="B15" s="1311">
        <v>11</v>
      </c>
      <c r="C15" s="332"/>
      <c r="D15" s="332"/>
      <c r="E15" s="332"/>
      <c r="F15" s="332"/>
    </row>
    <row r="16" spans="1:6">
      <c r="A16" s="1310" t="s">
        <v>6</v>
      </c>
      <c r="B16" s="1311">
        <v>604</v>
      </c>
      <c r="C16" s="332"/>
      <c r="D16" s="332"/>
      <c r="E16" s="332"/>
      <c r="F16" s="332"/>
    </row>
    <row r="17" spans="1:6">
      <c r="A17" s="1310" t="s">
        <v>7</v>
      </c>
      <c r="B17" s="1311">
        <v>8</v>
      </c>
      <c r="C17" s="332"/>
      <c r="D17" s="332"/>
      <c r="E17" s="332"/>
      <c r="F17" s="332"/>
    </row>
    <row r="18" spans="1:6">
      <c r="A18" s="1310" t="s">
        <v>8</v>
      </c>
      <c r="B18" s="1311">
        <v>256</v>
      </c>
      <c r="C18" s="332"/>
      <c r="D18" s="332"/>
      <c r="E18" s="332"/>
      <c r="F18" s="332"/>
    </row>
    <row r="19" spans="1:6">
      <c r="A19" s="1310" t="s">
        <v>9</v>
      </c>
      <c r="B19" s="1311">
        <v>240</v>
      </c>
      <c r="C19" s="332"/>
      <c r="D19" s="332"/>
      <c r="E19" s="332"/>
      <c r="F19" s="332"/>
    </row>
    <row r="20" spans="1:6">
      <c r="A20" s="1310" t="s">
        <v>10</v>
      </c>
      <c r="B20" s="1311">
        <v>114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83</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3368.2785461059998</v>
      </c>
    </row>
    <row r="39" spans="1:6">
      <c r="A39" s="1310" t="s">
        <v>29</v>
      </c>
      <c r="B39" s="1310" t="s">
        <v>30</v>
      </c>
      <c r="C39" s="1311">
        <v>2669</v>
      </c>
      <c r="D39" s="1311">
        <v>48941302.7228586</v>
      </c>
      <c r="E39" s="1311">
        <v>3185</v>
      </c>
      <c r="F39" s="1311">
        <v>12035047.5643954</v>
      </c>
    </row>
    <row r="40" spans="1:6">
      <c r="A40" s="1310" t="s">
        <v>29</v>
      </c>
      <c r="B40" s="1310" t="s">
        <v>28</v>
      </c>
      <c r="C40" s="1311">
        <v>0</v>
      </c>
      <c r="D40" s="1311">
        <v>0</v>
      </c>
      <c r="E40" s="1311">
        <v>0</v>
      </c>
      <c r="F40" s="1311">
        <v>0</v>
      </c>
    </row>
    <row r="41" spans="1:6">
      <c r="A41" s="1310" t="s">
        <v>31</v>
      </c>
      <c r="B41" s="1310" t="s">
        <v>32</v>
      </c>
      <c r="C41" s="1311">
        <v>17</v>
      </c>
      <c r="D41" s="1311">
        <v>410837.21140358603</v>
      </c>
      <c r="E41" s="1311">
        <v>35</v>
      </c>
      <c r="F41" s="1311">
        <v>204199.04615761401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27103.636817062699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79606.016191153802</v>
      </c>
      <c r="E48" s="1311">
        <v>2</v>
      </c>
      <c r="F48" s="1311">
        <v>37703.436415962002</v>
      </c>
    </row>
    <row r="49" spans="1:6">
      <c r="A49" s="1310" t="s">
        <v>31</v>
      </c>
      <c r="B49" s="1310" t="s">
        <v>39</v>
      </c>
      <c r="C49" s="1311">
        <v>0</v>
      </c>
      <c r="D49" s="1311">
        <v>0</v>
      </c>
      <c r="E49" s="1311">
        <v>0</v>
      </c>
      <c r="F49" s="1311">
        <v>0</v>
      </c>
    </row>
    <row r="50" spans="1:6">
      <c r="A50" s="1310" t="s">
        <v>31</v>
      </c>
      <c r="B50" s="1310" t="s">
        <v>40</v>
      </c>
      <c r="C50" s="1311">
        <v>6</v>
      </c>
      <c r="D50" s="1311">
        <v>948579.935277201</v>
      </c>
      <c r="E50" s="1311">
        <v>7</v>
      </c>
      <c r="F50" s="1311">
        <v>564633.72220357403</v>
      </c>
    </row>
    <row r="51" spans="1:6">
      <c r="A51" s="1310" t="s">
        <v>41</v>
      </c>
      <c r="B51" s="1310" t="s">
        <v>42</v>
      </c>
      <c r="C51" s="1311">
        <v>3</v>
      </c>
      <c r="D51" s="1311">
        <v>52692.338268284999</v>
      </c>
      <c r="E51" s="1311">
        <v>8</v>
      </c>
      <c r="F51" s="1311">
        <v>391622.06042466301</v>
      </c>
    </row>
    <row r="52" spans="1:6">
      <c r="A52" s="1310" t="s">
        <v>41</v>
      </c>
      <c r="B52" s="1310" t="s">
        <v>28</v>
      </c>
      <c r="C52" s="1311">
        <v>0</v>
      </c>
      <c r="D52" s="1311">
        <v>0</v>
      </c>
      <c r="E52" s="1311">
        <v>0</v>
      </c>
      <c r="F52" s="1311">
        <v>0</v>
      </c>
    </row>
    <row r="53" spans="1:6">
      <c r="A53" s="1310" t="s">
        <v>43</v>
      </c>
      <c r="B53" s="1310" t="s">
        <v>44</v>
      </c>
      <c r="C53" s="1311">
        <v>68</v>
      </c>
      <c r="D53" s="1311">
        <v>1205956.6883483301</v>
      </c>
      <c r="E53" s="1311">
        <v>111</v>
      </c>
      <c r="F53" s="1311">
        <v>413469.21941046597</v>
      </c>
    </row>
    <row r="54" spans="1:6">
      <c r="A54" s="1310" t="s">
        <v>45</v>
      </c>
      <c r="B54" s="1310" t="s">
        <v>46</v>
      </c>
      <c r="C54" s="1311">
        <v>0</v>
      </c>
      <c r="D54" s="1311">
        <v>0</v>
      </c>
      <c r="E54" s="1311">
        <v>1</v>
      </c>
      <c r="F54" s="1311">
        <v>604136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506941.26591334899</v>
      </c>
      <c r="E57" s="1311">
        <v>25</v>
      </c>
      <c r="F57" s="1311">
        <v>1234385.44409807</v>
      </c>
    </row>
    <row r="58" spans="1:6">
      <c r="A58" s="1310" t="s">
        <v>48</v>
      </c>
      <c r="B58" s="1310" t="s">
        <v>50</v>
      </c>
      <c r="C58" s="1311">
        <v>41</v>
      </c>
      <c r="D58" s="1311">
        <v>3053597.8179025701</v>
      </c>
      <c r="E58" s="1311">
        <v>50</v>
      </c>
      <c r="F58" s="1311">
        <v>890172.55231623596</v>
      </c>
    </row>
    <row r="59" spans="1:6">
      <c r="A59" s="1310" t="s">
        <v>48</v>
      </c>
      <c r="B59" s="1310" t="s">
        <v>51</v>
      </c>
      <c r="C59" s="1311">
        <v>64</v>
      </c>
      <c r="D59" s="1311">
        <v>1819076.4643697001</v>
      </c>
      <c r="E59" s="1311">
        <v>82</v>
      </c>
      <c r="F59" s="1311">
        <v>1482953.94370364</v>
      </c>
    </row>
    <row r="60" spans="1:6">
      <c r="A60" s="1310" t="s">
        <v>48</v>
      </c>
      <c r="B60" s="1310" t="s">
        <v>52</v>
      </c>
      <c r="C60" s="1311">
        <v>16</v>
      </c>
      <c r="D60" s="1311">
        <v>954992.82095382595</v>
      </c>
      <c r="E60" s="1311">
        <v>17</v>
      </c>
      <c r="F60" s="1311">
        <v>644882.60005376698</v>
      </c>
    </row>
    <row r="61" spans="1:6">
      <c r="A61" s="1310" t="s">
        <v>48</v>
      </c>
      <c r="B61" s="1310" t="s">
        <v>53</v>
      </c>
      <c r="C61" s="1311">
        <v>161</v>
      </c>
      <c r="D61" s="1311">
        <v>5545269.5432285704</v>
      </c>
      <c r="E61" s="1311">
        <v>260</v>
      </c>
      <c r="F61" s="1311">
        <v>2698862.20551136</v>
      </c>
    </row>
    <row r="62" spans="1:6">
      <c r="A62" s="1310" t="s">
        <v>48</v>
      </c>
      <c r="B62" s="1310" t="s">
        <v>54</v>
      </c>
      <c r="C62" s="1311">
        <v>5</v>
      </c>
      <c r="D62" s="1311">
        <v>490024.97231802897</v>
      </c>
      <c r="E62" s="1311">
        <v>7</v>
      </c>
      <c r="F62" s="1311">
        <v>276888.38017285703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80933.362372762305</v>
      </c>
      <c r="E65" s="1311">
        <v>4</v>
      </c>
      <c r="F65" s="1311">
        <v>20675.250624437202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13959550</v>
      </c>
      <c r="E73" s="453"/>
      <c r="F73" s="332"/>
    </row>
    <row r="74" spans="1:6">
      <c r="A74" s="1310" t="s">
        <v>63</v>
      </c>
      <c r="B74" s="1310" t="s">
        <v>648</v>
      </c>
      <c r="C74" s="1324" t="s">
        <v>650</v>
      </c>
      <c r="D74" s="1325">
        <v>428636.87966182653</v>
      </c>
      <c r="E74" s="453"/>
      <c r="F74" s="332"/>
    </row>
    <row r="75" spans="1:6">
      <c r="A75" s="1310" t="s">
        <v>64</v>
      </c>
      <c r="B75" s="1310" t="s">
        <v>647</v>
      </c>
      <c r="C75" s="1324" t="s">
        <v>651</v>
      </c>
      <c r="D75" s="1325">
        <v>3521713</v>
      </c>
      <c r="E75" s="453"/>
      <c r="F75" s="332"/>
    </row>
    <row r="76" spans="1:6">
      <c r="A76" s="1310" t="s">
        <v>64</v>
      </c>
      <c r="B76" s="1310" t="s">
        <v>648</v>
      </c>
      <c r="C76" s="1324" t="s">
        <v>652</v>
      </c>
      <c r="D76" s="1325">
        <v>5427.6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242070.24067634699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1733.1233162735359</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2061</v>
      </c>
      <c r="C97" s="332"/>
      <c r="D97" s="332"/>
      <c r="E97" s="332"/>
      <c r="F97" s="332"/>
    </row>
    <row r="98" spans="1:6">
      <c r="A98" s="1310" t="s">
        <v>71</v>
      </c>
      <c r="B98" s="1311">
        <v>1</v>
      </c>
      <c r="C98" s="332"/>
      <c r="D98" s="332"/>
      <c r="E98" s="332"/>
      <c r="F98" s="332"/>
    </row>
    <row r="99" spans="1:6">
      <c r="A99" s="1310" t="s">
        <v>72</v>
      </c>
      <c r="B99" s="1311">
        <v>4</v>
      </c>
      <c r="C99" s="332"/>
      <c r="D99" s="332"/>
      <c r="E99" s="332"/>
      <c r="F99" s="332"/>
    </row>
    <row r="100" spans="1:6">
      <c r="A100" s="1310" t="s">
        <v>73</v>
      </c>
      <c r="B100" s="1311">
        <v>226</v>
      </c>
      <c r="C100" s="332"/>
      <c r="D100" s="332"/>
      <c r="E100" s="332"/>
      <c r="F100" s="332"/>
    </row>
    <row r="101" spans="1:6">
      <c r="A101" s="1310" t="s">
        <v>74</v>
      </c>
      <c r="B101" s="1311">
        <v>12</v>
      </c>
      <c r="C101" s="332"/>
      <c r="D101" s="332"/>
      <c r="E101" s="332"/>
      <c r="F101" s="332"/>
    </row>
    <row r="102" spans="1:6">
      <c r="A102" s="1310" t="s">
        <v>75</v>
      </c>
      <c r="B102" s="1311">
        <v>31</v>
      </c>
      <c r="C102" s="332"/>
      <c r="D102" s="332"/>
      <c r="E102" s="332"/>
      <c r="F102" s="332"/>
    </row>
    <row r="103" spans="1:6">
      <c r="A103" s="1310" t="s">
        <v>76</v>
      </c>
      <c r="B103" s="1311">
        <v>25</v>
      </c>
      <c r="C103" s="332"/>
      <c r="D103" s="332"/>
      <c r="E103" s="332"/>
      <c r="F103" s="332"/>
    </row>
    <row r="104" spans="1:6">
      <c r="A104" s="1310" t="s">
        <v>77</v>
      </c>
      <c r="B104" s="1311">
        <v>568</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73</v>
      </c>
      <c r="C123" s="1311">
        <v>7</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64</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23294.641951523467</v>
      </c>
      <c r="C3" s="43" t="s">
        <v>169</v>
      </c>
      <c r="D3" s="43"/>
      <c r="E3" s="154"/>
      <c r="F3" s="43"/>
      <c r="G3" s="43"/>
      <c r="H3" s="43"/>
      <c r="I3" s="43"/>
      <c r="J3" s="43"/>
      <c r="K3" s="96"/>
    </row>
    <row r="4" spans="1:11">
      <c r="A4" s="360" t="s">
        <v>170</v>
      </c>
      <c r="B4" s="49">
        <f>IF(ISERROR('SEAP template'!B78+'SEAP template'!C78),0,'SEAP template'!B78+'SEAP template'!C78)</f>
        <v>1820.4233162735359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0.20372935236636505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124.71428571428569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604.13599999999997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604.13599999999997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0.20372935236636505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123.0802360212063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12035.0475643954</v>
      </c>
      <c r="C5" s="17">
        <f>IF(ISERROR('Eigen informatie GS &amp; warmtenet'!B59),0,'Eigen informatie GS &amp; warmtenet'!B59)</f>
        <v>0</v>
      </c>
      <c r="D5" s="30">
        <f>(SUM(HH_hh_gas_kWh,HH_rest_gas_kWh)/1000)*0.903</f>
        <v>44193.996358741315</v>
      </c>
      <c r="E5" s="17">
        <f>B46*B57</f>
        <v>299.57516555155826</v>
      </c>
      <c r="F5" s="17">
        <f>B51*B62</f>
        <v>0</v>
      </c>
      <c r="G5" s="18"/>
      <c r="H5" s="17"/>
      <c r="I5" s="17"/>
      <c r="J5" s="17">
        <f>B50*B61+C50*C61</f>
        <v>0</v>
      </c>
      <c r="K5" s="17"/>
      <c r="L5" s="17"/>
      <c r="M5" s="17"/>
      <c r="N5" s="17">
        <f>B48*B59+C48*C59</f>
        <v>1684.5267218087201</v>
      </c>
      <c r="O5" s="17">
        <f>B69*B70*B71</f>
        <v>140.86103357647926</v>
      </c>
      <c r="P5" s="17">
        <f>B77*B78*B79/1000-B77*B78*B79/1000/B80</f>
        <v>874.31862253785675</v>
      </c>
    </row>
    <row r="6" spans="1:16">
      <c r="A6" s="16" t="s">
        <v>612</v>
      </c>
      <c r="B6" s="786">
        <f>kWh_PV_kleiner_dan_10kW</f>
        <v>1733.1233162735359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13768.170880668935</v>
      </c>
      <c r="C8" s="21">
        <f>C5</f>
        <v>0</v>
      </c>
      <c r="D8" s="21">
        <f>D5</f>
        <v>44193.996358741315</v>
      </c>
      <c r="E8" s="21">
        <f>E5</f>
        <v>299.57516555155826</v>
      </c>
      <c r="F8" s="21">
        <f>F5</f>
        <v>0</v>
      </c>
      <c r="G8" s="21"/>
      <c r="H8" s="21"/>
      <c r="I8" s="21"/>
      <c r="J8" s="21">
        <f>J5</f>
        <v>0</v>
      </c>
      <c r="K8" s="21"/>
      <c r="L8" s="21">
        <f>L5</f>
        <v>0</v>
      </c>
      <c r="M8" s="21">
        <f>M5</f>
        <v>0</v>
      </c>
      <c r="N8" s="21">
        <f>N5</f>
        <v>1684.5267218087201</v>
      </c>
      <c r="O8" s="21">
        <f>O5</f>
        <v>140.86103357647926</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0.20372935236636505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2804.9805367881281</v>
      </c>
      <c r="C12" s="23">
        <f ca="1">C10*C8</f>
        <v>0</v>
      </c>
      <c r="D12" s="23">
        <f>D8*D10</f>
        <v>8927.1872644657469</v>
      </c>
      <c r="E12" s="23">
        <f>E10*E8</f>
        <v>68.00356258020372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2061</v>
      </c>
      <c r="C18" s="166" t="s">
        <v>110</v>
      </c>
      <c r="D18" s="228"/>
      <c r="E18" s="15"/>
    </row>
    <row r="19" spans="1:7">
      <c r="A19" s="171" t="s">
        <v>71</v>
      </c>
      <c r="B19" s="37">
        <f>aantalw2001_ander</f>
        <v>1</v>
      </c>
      <c r="C19" s="166" t="s">
        <v>110</v>
      </c>
      <c r="D19" s="229"/>
      <c r="E19" s="15"/>
    </row>
    <row r="20" spans="1:7">
      <c r="A20" s="171" t="s">
        <v>72</v>
      </c>
      <c r="B20" s="37">
        <f>aantalw2001_propaan</f>
        <v>4</v>
      </c>
      <c r="C20" s="167">
        <f>IF(ISERROR(B20/SUM($B$20,$B$21,$B$22)*100),0,B20/SUM($B$20,$B$21,$B$22)*100)</f>
        <v>1.6528925619834711</v>
      </c>
      <c r="D20" s="229"/>
      <c r="E20" s="15"/>
    </row>
    <row r="21" spans="1:7">
      <c r="A21" s="171" t="s">
        <v>73</v>
      </c>
      <c r="B21" s="37">
        <f>aantalw2001_elektriciteit</f>
        <v>226</v>
      </c>
      <c r="C21" s="167">
        <f>IF(ISERROR(B21/SUM($B$20,$B$21,$B$22)*100),0,B21/SUM($B$20,$B$21,$B$22)*100)</f>
        <v>93.388429752066116</v>
      </c>
      <c r="D21" s="229"/>
      <c r="E21" s="15"/>
    </row>
    <row r="22" spans="1:7">
      <c r="A22" s="171" t="s">
        <v>74</v>
      </c>
      <c r="B22" s="37">
        <f>aantalw2001_hout</f>
        <v>12</v>
      </c>
      <c r="C22" s="167">
        <f>IF(ISERROR(B22/SUM($B$20,$B$21,$B$22)*100),0,B22/SUM($B$20,$B$21,$B$22)*100)</f>
        <v>4.9586776859504136</v>
      </c>
      <c r="D22" s="229"/>
      <c r="E22" s="15"/>
    </row>
    <row r="23" spans="1:7">
      <c r="A23" s="171" t="s">
        <v>75</v>
      </c>
      <c r="B23" s="37">
        <f>aantalw2001_niet_gespec</f>
        <v>31</v>
      </c>
      <c r="C23" s="166" t="s">
        <v>110</v>
      </c>
      <c r="D23" s="228"/>
      <c r="E23" s="15"/>
    </row>
    <row r="24" spans="1:7">
      <c r="A24" s="171" t="s">
        <v>76</v>
      </c>
      <c r="B24" s="37">
        <f>aantalw2001_steenkool</f>
        <v>25</v>
      </c>
      <c r="C24" s="166" t="s">
        <v>110</v>
      </c>
      <c r="D24" s="229"/>
      <c r="E24" s="15"/>
    </row>
    <row r="25" spans="1:7">
      <c r="A25" s="171" t="s">
        <v>77</v>
      </c>
      <c r="B25" s="37">
        <f>aantalw2001_stookolie</f>
        <v>568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3256</v>
      </c>
      <c r="C28" s="36"/>
      <c r="D28" s="228"/>
    </row>
    <row r="29" spans="1:7" s="15" customFormat="1">
      <c r="A29" s="230" t="s">
        <v>839</v>
      </c>
      <c r="B29" s="37">
        <f>SUM(HH_hh_gas_aantal,HH_rest_gas_aantal)</f>
        <v>2669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2669</v>
      </c>
      <c r="C32" s="167">
        <f>IF(ISERROR(B32/SUM($B$32,$B$34,$B$35,$B$36,$B$38,$B$39)*100),0,B32/SUM($B$32,$B$34,$B$35,$B$36,$B$38,$B$39)*100)</f>
        <v>84.115978569177429</v>
      </c>
      <c r="D32" s="233"/>
      <c r="G32" s="15"/>
    </row>
    <row r="33" spans="1:7">
      <c r="A33" s="171" t="s">
        <v>71</v>
      </c>
      <c r="B33" s="34" t="s">
        <v>110</v>
      </c>
      <c r="C33" s="167"/>
      <c r="D33" s="233"/>
      <c r="G33" s="15"/>
    </row>
    <row r="34" spans="1:7">
      <c r="A34" s="171" t="s">
        <v>72</v>
      </c>
      <c r="B34" s="33">
        <f>IF((($B$28-$B$32-$B$39-$B$77-$B$38)*C20/100)&lt;0,0,($B$28-$B$32-$B$39-$B$77-$B$38)*C20/100)</f>
        <v>8.3305785123966931</v>
      </c>
      <c r="C34" s="167">
        <f>IF(ISERROR(B34/SUM($B$32,$B$34,$B$35,$B$36,$B$38,$B$39)*100),0,B34/SUM($B$32,$B$34,$B$35,$B$36,$B$38,$B$39)*100)</f>
        <v>0.26254580877392664</v>
      </c>
      <c r="D34" s="233"/>
      <c r="G34" s="15"/>
    </row>
    <row r="35" spans="1:7">
      <c r="A35" s="171" t="s">
        <v>73</v>
      </c>
      <c r="B35" s="33">
        <f>IF((($B$28-$B$32-$B$39-$B$77-$B$38)*C21/100)&lt;0,0,($B$28-$B$32-$B$39-$B$77-$B$38)*C21/100)</f>
        <v>470.67768595041321</v>
      </c>
      <c r="C35" s="167">
        <f>IF(ISERROR(B35/SUM($B$32,$B$34,$B$35,$B$36,$B$38,$B$39)*100),0,B35/SUM($B$32,$B$34,$B$35,$B$36,$B$38,$B$39)*100)</f>
        <v>14.833838195726859</v>
      </c>
      <c r="D35" s="233"/>
      <c r="G35" s="15"/>
    </row>
    <row r="36" spans="1:7">
      <c r="A36" s="171" t="s">
        <v>74</v>
      </c>
      <c r="B36" s="33">
        <f>IF((($B$28-$B$32-$B$39-$B$77-$B$38)*C22/100)&lt;0,0,($B$28-$B$32-$B$39-$B$77-$B$38)*C22/100)</f>
        <v>24.991735537190085</v>
      </c>
      <c r="C36" s="167">
        <f>IF(ISERROR(B36/SUM($B$32,$B$34,$B$35,$B$36,$B$38,$B$39)*100),0,B36/SUM($B$32,$B$34,$B$35,$B$36,$B$38,$B$39)*100)</f>
        <v>0.78763742632178024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2669</v>
      </c>
      <c r="C44" s="34" t="s">
        <v>110</v>
      </c>
      <c r="D44" s="174"/>
    </row>
    <row r="45" spans="1:7">
      <c r="A45" s="171" t="s">
        <v>71</v>
      </c>
      <c r="B45" s="33" t="str">
        <f t="shared" si="0"/>
        <v>-</v>
      </c>
      <c r="C45" s="34" t="s">
        <v>110</v>
      </c>
      <c r="D45" s="174"/>
    </row>
    <row r="46" spans="1:7">
      <c r="A46" s="171" t="s">
        <v>72</v>
      </c>
      <c r="B46" s="33">
        <f t="shared" si="0"/>
        <v>8.3305785123966931</v>
      </c>
      <c r="C46" s="34" t="s">
        <v>110</v>
      </c>
      <c r="D46" s="174"/>
    </row>
    <row r="47" spans="1:7">
      <c r="A47" s="171" t="s">
        <v>73</v>
      </c>
      <c r="B47" s="33">
        <f t="shared" si="0"/>
        <v>470.67768595041321</v>
      </c>
      <c r="C47" s="34" t="s">
        <v>110</v>
      </c>
      <c r="D47" s="174"/>
    </row>
    <row r="48" spans="1:7">
      <c r="A48" s="171" t="s">
        <v>74</v>
      </c>
      <c r="B48" s="33">
        <f t="shared" si="0"/>
        <v>24.991735537190085</v>
      </c>
      <c r="C48" s="33">
        <f>B48*10</f>
        <v>249.91735537190084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7228.1451258559309</v>
      </c>
      <c r="C5" s="17">
        <f>IF(ISERROR('Eigen informatie GS &amp; warmtenet'!B60),0,'Eigen informatie GS &amp; warmtenet'!B60)</f>
        <v>0</v>
      </c>
      <c r="D5" s="30">
        <f>SUM(D6:D12)</f>
        <v>11170.022304871498</v>
      </c>
      <c r="E5" s="17">
        <f>SUM(E6:E12)</f>
        <v>23.537480030269336</v>
      </c>
      <c r="F5" s="17">
        <f>SUM(F6:F12)</f>
        <v>1320.8583967524082</v>
      </c>
      <c r="G5" s="18"/>
      <c r="H5" s="17"/>
      <c r="I5" s="17"/>
      <c r="J5" s="17">
        <f>SUM(J6:J12)</f>
        <v>1.2190568588746762E-2</v>
      </c>
      <c r="K5" s="17"/>
      <c r="L5" s="17"/>
      <c r="M5" s="17"/>
      <c r="N5" s="17">
        <f>SUM(N6:N12)</f>
        <v>450.01045312321583</v>
      </c>
      <c r="O5" s="17">
        <f>B38*B39*B40</f>
        <v>4.8972607658411542</v>
      </c>
      <c r="P5" s="17">
        <f>B46*B47*B48/1000-B46*B47*B48/1000/B49</f>
        <v>0</v>
      </c>
      <c r="R5" s="32"/>
    </row>
    <row r="6" spans="1:18">
      <c r="A6" s="32" t="s">
        <v>53</v>
      </c>
      <c r="B6" s="37">
        <f>B26</f>
        <v>2698.8622055113601</v>
      </c>
      <c r="C6" s="33"/>
      <c r="D6" s="37">
        <f>IF(ISERROR(TER_kantoor_gas_kWh/1000),0,TER_kantoor_gas_kWh/1000)*0.903</f>
        <v>5007.378397535399</v>
      </c>
      <c r="E6" s="33">
        <f>$C$26*'E Balans VL '!I12/100/3.6*1000000</f>
        <v>0.64658323351406533</v>
      </c>
      <c r="F6" s="33">
        <f>$C$26*('E Balans VL '!L12+'E Balans VL '!N12)/100/3.6*1000000</f>
        <v>255.92993305030049</v>
      </c>
      <c r="G6" s="34"/>
      <c r="H6" s="33"/>
      <c r="I6" s="33"/>
      <c r="J6" s="33">
        <f>$C$26*('E Balans VL '!D12+'E Balans VL '!E12)/100/3.6*1000000</f>
        <v>0</v>
      </c>
      <c r="K6" s="33"/>
      <c r="L6" s="33"/>
      <c r="M6" s="33"/>
      <c r="N6" s="33">
        <f>$C$26*'E Balans VL '!Y12/100/3.6*1000000</f>
        <v>1.3708824052719786</v>
      </c>
      <c r="O6" s="33"/>
      <c r="P6" s="33"/>
      <c r="R6" s="32"/>
    </row>
    <row r="7" spans="1:18">
      <c r="A7" s="32" t="s">
        <v>52</v>
      </c>
      <c r="B7" s="37">
        <f t="shared" ref="B7:B12" si="0">B27</f>
        <v>644.88260005376696</v>
      </c>
      <c r="C7" s="33"/>
      <c r="D7" s="37">
        <f>IF(ISERROR(TER_horeca_gas_kWh/1000),0,TER_horeca_gas_kWh/1000)*0.903</f>
        <v>862.35851732130482</v>
      </c>
      <c r="E7" s="33">
        <f>$C$27*'E Balans VL '!I9/100/3.6*1000000</f>
        <v>0</v>
      </c>
      <c r="F7" s="33">
        <f>$C$27*('E Balans VL '!L9+'E Balans VL '!N9)/100/3.6*1000000</f>
        <v>52.878857285782246</v>
      </c>
      <c r="G7" s="34"/>
      <c r="H7" s="33"/>
      <c r="I7" s="33"/>
      <c r="J7" s="33">
        <f>$C$27*('E Balans VL '!D9+'E Balans VL '!E9)/100/3.6*1000000</f>
        <v>0</v>
      </c>
      <c r="K7" s="33"/>
      <c r="L7" s="33"/>
      <c r="M7" s="33"/>
      <c r="N7" s="33">
        <f>$C$27*'E Balans VL '!Y9/100/3.6*1000000</f>
        <v>0.19768242639931202</v>
      </c>
      <c r="O7" s="33"/>
      <c r="P7" s="33"/>
      <c r="R7" s="32"/>
    </row>
    <row r="8" spans="1:18">
      <c r="A8" s="6" t="s">
        <v>51</v>
      </c>
      <c r="B8" s="37">
        <f t="shared" si="0"/>
        <v>1482.9539437036401</v>
      </c>
      <c r="C8" s="33"/>
      <c r="D8" s="37">
        <f>IF(ISERROR(TER_handel_gas_kWh/1000),0,TER_handel_gas_kWh/1000)*0.903</f>
        <v>1642.6260473258392</v>
      </c>
      <c r="E8" s="33">
        <f>$C$28*'E Balans VL '!I13/100/3.6*1000000</f>
        <v>5.2117725990397306</v>
      </c>
      <c r="F8" s="33">
        <f>$C$28*('E Balans VL '!L13+'E Balans VL '!N13)/100/3.6*1000000</f>
        <v>135.68762271214109</v>
      </c>
      <c r="G8" s="34"/>
      <c r="H8" s="33"/>
      <c r="I8" s="33"/>
      <c r="J8" s="33">
        <f>$C$28*('E Balans VL '!D13+'E Balans VL '!E13)/100/3.6*1000000</f>
        <v>0</v>
      </c>
      <c r="K8" s="33"/>
      <c r="L8" s="33"/>
      <c r="M8" s="33"/>
      <c r="N8" s="33">
        <f>$C$28*'E Balans VL '!Y13/100/3.6*1000000</f>
        <v>0.53706207485286017</v>
      </c>
      <c r="O8" s="33"/>
      <c r="P8" s="33"/>
      <c r="R8" s="32"/>
    </row>
    <row r="9" spans="1:18">
      <c r="A9" s="32" t="s">
        <v>50</v>
      </c>
      <c r="B9" s="37">
        <f t="shared" si="0"/>
        <v>890.17255231623597</v>
      </c>
      <c r="C9" s="33"/>
      <c r="D9" s="37">
        <f>IF(ISERROR(TER_gezond_gas_kWh/1000),0,TER_gezond_gas_kWh/1000)*0.903</f>
        <v>2757.398829566021</v>
      </c>
      <c r="E9" s="33">
        <f>$C$29*'E Balans VL '!I10/100/3.6*1000000</f>
        <v>0</v>
      </c>
      <c r="F9" s="33">
        <f>$C$29*('E Balans VL '!L10+'E Balans VL '!N10)/100/3.6*1000000</f>
        <v>109.1188087214323</v>
      </c>
      <c r="G9" s="34"/>
      <c r="H9" s="33"/>
      <c r="I9" s="33"/>
      <c r="J9" s="33">
        <f>$C$29*('E Balans VL '!D10+'E Balans VL '!E10)/100/3.6*1000000</f>
        <v>0</v>
      </c>
      <c r="K9" s="33"/>
      <c r="L9" s="33"/>
      <c r="M9" s="33"/>
      <c r="N9" s="33">
        <f>$C$29*'E Balans VL '!Y10/100/3.6*1000000</f>
        <v>6.5644022522848831</v>
      </c>
      <c r="O9" s="33"/>
      <c r="P9" s="33"/>
      <c r="R9" s="32"/>
    </row>
    <row r="10" spans="1:18">
      <c r="A10" s="32" t="s">
        <v>49</v>
      </c>
      <c r="B10" s="37">
        <f t="shared" si="0"/>
        <v>1234.3854440980701</v>
      </c>
      <c r="C10" s="33"/>
      <c r="D10" s="37">
        <f>IF(ISERROR(TER_ander_gas_kWh/1000),0,TER_ander_gas_kWh/1000)*0.903</f>
        <v>457.7679631197542</v>
      </c>
      <c r="E10" s="33">
        <f>$C$30*'E Balans VL '!I14/100/3.6*1000000</f>
        <v>17.679124197715538</v>
      </c>
      <c r="F10" s="33">
        <f>$C$30*('E Balans VL '!L14+'E Balans VL '!N14)/100/3.6*1000000</f>
        <v>734.87162603941761</v>
      </c>
      <c r="G10" s="34"/>
      <c r="H10" s="33"/>
      <c r="I10" s="33"/>
      <c r="J10" s="33">
        <f>$C$30*('E Balans VL '!D14+'E Balans VL '!E14)/100/3.6*1000000</f>
        <v>1.2190568588746762E-2</v>
      </c>
      <c r="K10" s="33"/>
      <c r="L10" s="33"/>
      <c r="M10" s="33"/>
      <c r="N10" s="33">
        <f>$C$30*'E Balans VL '!Y14/100/3.6*1000000</f>
        <v>440.56073808126979</v>
      </c>
      <c r="O10" s="33"/>
      <c r="P10" s="33"/>
      <c r="R10" s="32"/>
    </row>
    <row r="11" spans="1:18">
      <c r="A11" s="32" t="s">
        <v>54</v>
      </c>
      <c r="B11" s="37">
        <f t="shared" si="0"/>
        <v>276.88838017285701</v>
      </c>
      <c r="C11" s="33"/>
      <c r="D11" s="37">
        <f>IF(ISERROR(TER_onderwijs_gas_kWh/1000),0,TER_onderwijs_gas_kWh/1000)*0.903</f>
        <v>442.49255000318016</v>
      </c>
      <c r="E11" s="33">
        <f>$C$31*'E Balans VL '!I11/100/3.6*1000000</f>
        <v>0</v>
      </c>
      <c r="F11" s="33">
        <f>$C$31*('E Balans VL '!L11+'E Balans VL '!N11)/100/3.6*1000000</f>
        <v>32.371548943334382</v>
      </c>
      <c r="G11" s="34"/>
      <c r="H11" s="33"/>
      <c r="I11" s="33"/>
      <c r="J11" s="33">
        <f>$C$31*('E Balans VL '!D11+'E Balans VL '!E11)/100/3.6*1000000</f>
        <v>0</v>
      </c>
      <c r="K11" s="33"/>
      <c r="L11" s="33"/>
      <c r="M11" s="33"/>
      <c r="N11" s="33">
        <f>$C$31*'E Balans VL '!Y11/100/3.6*1000000</f>
        <v>0.77968588313701659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43.649999999999991</v>
      </c>
      <c r="C13" s="247">
        <f ca="1">'lokale energieproductie'!O39+'lokale energieproductie'!O32</f>
        <v>62.357142857142847</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-124.71428571428569</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7271.7951258559306</v>
      </c>
      <c r="C16" s="21">
        <f t="shared" ca="1" si="1"/>
        <v>62.357142857142847</v>
      </c>
      <c r="D16" s="21">
        <f t="shared" ca="1" si="1"/>
        <v>11170.022304871498</v>
      </c>
      <c r="E16" s="21">
        <f t="shared" si="1"/>
        <v>23.537480030269336</v>
      </c>
      <c r="F16" s="21">
        <f t="shared" ca="1" si="1"/>
        <v>1320.8583967524082</v>
      </c>
      <c r="G16" s="21">
        <f t="shared" si="1"/>
        <v>0</v>
      </c>
      <c r="H16" s="21">
        <f t="shared" si="1"/>
        <v>0</v>
      </c>
      <c r="I16" s="21">
        <f t="shared" si="1"/>
        <v>0</v>
      </c>
      <c r="J16" s="21">
        <f t="shared" si="1"/>
        <v>1.2190568588746762E-2</v>
      </c>
      <c r="K16" s="21">
        <f t="shared" si="1"/>
        <v>0</v>
      </c>
      <c r="L16" s="21">
        <f t="shared" ca="1" si="1"/>
        <v>0</v>
      </c>
      <c r="M16" s="21">
        <f t="shared" si="1"/>
        <v>0</v>
      </c>
      <c r="N16" s="21">
        <f t="shared" ca="1" si="1"/>
        <v>325.29616740893016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0.20372935236636505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1481.4781115315188</v>
      </c>
      <c r="C20" s="23">
        <f t="shared" ref="C20:P20" ca="1" si="2">C16*C18</f>
        <v>0</v>
      </c>
      <c r="D20" s="23">
        <f t="shared" ca="1" si="2"/>
        <v>2256.3445055840425</v>
      </c>
      <c r="E20" s="23">
        <f t="shared" si="2"/>
        <v>5.3430079668711397</v>
      </c>
      <c r="F20" s="23">
        <f t="shared" ca="1" si="2"/>
        <v>352.669191932893</v>
      </c>
      <c r="G20" s="23">
        <f t="shared" si="2"/>
        <v>0</v>
      </c>
      <c r="H20" s="23">
        <f t="shared" si="2"/>
        <v>0</v>
      </c>
      <c r="I20" s="23">
        <f t="shared" si="2"/>
        <v>0</v>
      </c>
      <c r="J20" s="23">
        <f t="shared" si="2"/>
        <v>4.3154612804163538E-3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2698.8622055113601</v>
      </c>
      <c r="C26" s="39">
        <f>IF(ISERROR(B26*3.6/1000000/'E Balans VL '!Z12*100),0,B26*3.6/1000000/'E Balans VL '!Z12*100)</f>
        <v>7.6115061144391857E-2</v>
      </c>
      <c r="D26" s="237" t="s">
        <v>702</v>
      </c>
      <c r="F26" s="6"/>
    </row>
    <row r="27" spans="1:18">
      <c r="A27" s="231" t="s">
        <v>52</v>
      </c>
      <c r="B27" s="33">
        <f>IF(ISERROR(TER_horeca_ele_kWh/1000),0,TER_horeca_ele_kWh/1000)</f>
        <v>644.88260005376696</v>
      </c>
      <c r="C27" s="39">
        <f>IF(ISERROR(B27*3.6/1000000/'E Balans VL '!Z9*100),0,B27*3.6/1000000/'E Balans VL '!Z9*100)</f>
        <v>4.781012261939372E-2</v>
      </c>
      <c r="D27" s="237" t="s">
        <v>702</v>
      </c>
      <c r="F27" s="6"/>
    </row>
    <row r="28" spans="1:18">
      <c r="A28" s="171" t="s">
        <v>51</v>
      </c>
      <c r="B28" s="33">
        <f>IF(ISERROR(TER_handel_ele_kWh/1000),0,TER_handel_ele_kWh/1000)</f>
        <v>1482.9539437036401</v>
      </c>
      <c r="C28" s="39">
        <f>IF(ISERROR(B28*3.6/1000000/'E Balans VL '!Z13*100),0,B28*3.6/1000000/'E Balans VL '!Z13*100)</f>
        <v>4.4425774298719301E-2</v>
      </c>
      <c r="D28" s="237" t="s">
        <v>702</v>
      </c>
      <c r="F28" s="6"/>
    </row>
    <row r="29" spans="1:18">
      <c r="A29" s="231" t="s">
        <v>50</v>
      </c>
      <c r="B29" s="33">
        <f>IF(ISERROR(TER_gezond_ele_kWh/1000),0,TER_gezond_ele_kWh/1000)</f>
        <v>890.17255231623597</v>
      </c>
      <c r="C29" s="39">
        <f>IF(ISERROR(B29*3.6/1000000/'E Balans VL '!Z10*100),0,B29*3.6/1000000/'E Balans VL '!Z10*100)</f>
        <v>8.8020610874480557E-2</v>
      </c>
      <c r="D29" s="237" t="s">
        <v>702</v>
      </c>
      <c r="F29" s="6"/>
    </row>
    <row r="30" spans="1:18">
      <c r="A30" s="231" t="s">
        <v>49</v>
      </c>
      <c r="B30" s="33">
        <f>IF(ISERROR(TER_ander_ele_kWh/1000),0,TER_ander_ele_kWh/1000)</f>
        <v>1234.3854440980701</v>
      </c>
      <c r="C30" s="39">
        <f>IF(ISERROR(B30*3.6/1000000/'E Balans VL '!Z14*100),0,B30*3.6/1000000/'E Balans VL '!Z14*100)</f>
        <v>4.9927243366880932E-2</v>
      </c>
      <c r="D30" s="237" t="s">
        <v>702</v>
      </c>
      <c r="F30" s="6"/>
    </row>
    <row r="31" spans="1:18">
      <c r="A31" s="231" t="s">
        <v>54</v>
      </c>
      <c r="B31" s="33">
        <f>IF(ISERROR(TER_onderwijs_ele_kWh/1000),0,TER_onderwijs_ele_kWh/1000)</f>
        <v>276.88838017285701</v>
      </c>
      <c r="C31" s="39">
        <f>IF(ISERROR(B31*3.6/1000000/'E Balans VL '!Z11*100),0,B31*3.6/1000000/'E Balans VL '!Z11*100)</f>
        <v>7.6073347646013964E-2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833.63984159421273</v>
      </c>
      <c r="C5" s="17">
        <f>IF(ISERROR('Eigen informatie GS &amp; warmtenet'!B61),0,'Eigen informatie GS &amp; warmtenet'!B61)</f>
        <v>0</v>
      </c>
      <c r="D5" s="30">
        <f>SUM(D6:D15)</f>
        <v>1299.4379160733624</v>
      </c>
      <c r="E5" s="17">
        <f>SUM(E6:E15)</f>
        <v>2.6305572473979115</v>
      </c>
      <c r="F5" s="17">
        <f>SUM(F6:F15)</f>
        <v>139.08858460931054</v>
      </c>
      <c r="G5" s="18"/>
      <c r="H5" s="17"/>
      <c r="I5" s="17"/>
      <c r="J5" s="17">
        <f>SUM(J6:J15)</f>
        <v>0.10100349092021538</v>
      </c>
      <c r="K5" s="17"/>
      <c r="L5" s="17"/>
      <c r="M5" s="17"/>
      <c r="N5" s="17">
        <f>SUM(N6:N15)</f>
        <v>27.393588412490079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27.1036368170627</v>
      </c>
      <c r="C8" s="33"/>
      <c r="D8" s="37">
        <f>IF( ISERROR(IND_metaal_Gas_kWH/1000),0,IND_metaal_Gas_kWH/1000)*0.903</f>
        <v>0</v>
      </c>
      <c r="E8" s="33">
        <f>C30*'E Balans VL '!I18/100/3.6*1000000</f>
        <v>0.13666126585590893</v>
      </c>
      <c r="F8" s="33">
        <f>C30*'E Balans VL '!L18/100/3.6*1000000+C30*'E Balans VL '!N18/100/3.6*1000000</f>
        <v>1.8517758522962191</v>
      </c>
      <c r="G8" s="34"/>
      <c r="H8" s="33"/>
      <c r="I8" s="33"/>
      <c r="J8" s="40">
        <f>C30*'E Balans VL '!D18/100/3.6*1000000+C30*'E Balans VL '!E18/100/3.6*1000000</f>
        <v>2.4029686008330487E-2</v>
      </c>
      <c r="K8" s="33"/>
      <c r="L8" s="33"/>
      <c r="M8" s="33"/>
      <c r="N8" s="33">
        <f>C30*'E Balans VL '!Y18/100/3.6*1000000</f>
        <v>0.36020749414603564</v>
      </c>
      <c r="O8" s="33"/>
      <c r="P8" s="33"/>
      <c r="R8" s="32"/>
    </row>
    <row r="9" spans="1:18">
      <c r="A9" s="6" t="s">
        <v>32</v>
      </c>
      <c r="B9" s="37">
        <f t="shared" si="0"/>
        <v>204.19904615761402</v>
      </c>
      <c r="C9" s="33"/>
      <c r="D9" s="37">
        <f>IF( ISERROR(IND_andere_gas_kWh/1000),0,IND_andere_gas_kWh/1000)*0.903</f>
        <v>370.9860018974382</v>
      </c>
      <c r="E9" s="33">
        <f>C31*'E Balans VL '!I19/100/3.6*1000000</f>
        <v>0.64368365456635268</v>
      </c>
      <c r="F9" s="33">
        <f>C31*'E Balans VL '!L19/100/3.6*1000000+C31*'E Balans VL '!N19/100/3.6*1000000</f>
        <v>125.00206770893969</v>
      </c>
      <c r="G9" s="34"/>
      <c r="H9" s="33"/>
      <c r="I9" s="33"/>
      <c r="J9" s="40">
        <f>C31*'E Balans VL '!D19/100/3.6*1000000+C31*'E Balans VL '!E19/100/3.6*1000000</f>
        <v>0</v>
      </c>
      <c r="K9" s="33"/>
      <c r="L9" s="33"/>
      <c r="M9" s="33"/>
      <c r="N9" s="33">
        <f>C31*'E Balans VL '!Y19/100/3.6*1000000</f>
        <v>8.5623432711139387</v>
      </c>
      <c r="O9" s="33"/>
      <c r="P9" s="33"/>
      <c r="R9" s="32"/>
    </row>
    <row r="10" spans="1:18">
      <c r="A10" s="6" t="s">
        <v>40</v>
      </c>
      <c r="B10" s="37">
        <f t="shared" si="0"/>
        <v>564.63372220357405</v>
      </c>
      <c r="C10" s="33"/>
      <c r="D10" s="37">
        <f>IF( ISERROR(IND_voed_gas_kWh/1000),0,IND_voed_gas_kWh/1000)*0.903</f>
        <v>856.56768155531256</v>
      </c>
      <c r="E10" s="33">
        <f>C32*'E Balans VL '!I20/100/3.6*1000000</f>
        <v>0.89986757964789432</v>
      </c>
      <c r="F10" s="33">
        <f>C32*'E Balans VL '!L20/100/3.6*1000000+C32*'E Balans VL '!N20/100/3.6*1000000</f>
        <v>9.1739263350145794</v>
      </c>
      <c r="G10" s="34"/>
      <c r="H10" s="33"/>
      <c r="I10" s="33"/>
      <c r="J10" s="40">
        <f>C32*'E Balans VL '!D20/100/3.6*1000000+C32*'E Balans VL '!E20/100/3.6*1000000</f>
        <v>0</v>
      </c>
      <c r="K10" s="33"/>
      <c r="L10" s="33"/>
      <c r="M10" s="33"/>
      <c r="N10" s="33">
        <f>C32*'E Balans VL '!Y20/100/3.6*1000000</f>
        <v>17.833952937996905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37.703436415962003</v>
      </c>
      <c r="C15" s="33"/>
      <c r="D15" s="37">
        <f>IF( ISERROR(IND_rest_gas_kWh/1000),0,IND_rest_gas_kWh/1000)*0.903</f>
        <v>71.884232620611883</v>
      </c>
      <c r="E15" s="33">
        <f>C37*'E Balans VL '!I15/100/3.6*1000000</f>
        <v>0.95034474732775565</v>
      </c>
      <c r="F15" s="33">
        <f>C37*'E Balans VL '!L15/100/3.6*1000000+C37*'E Balans VL '!N15/100/3.6*1000000</f>
        <v>3.0608147130600649</v>
      </c>
      <c r="G15" s="34"/>
      <c r="H15" s="33"/>
      <c r="I15" s="33"/>
      <c r="J15" s="40">
        <f>C37*'E Balans VL '!D15/100/3.6*1000000+C37*'E Balans VL '!E15/100/3.6*1000000</f>
        <v>7.6973804911884894E-2</v>
      </c>
      <c r="K15" s="33"/>
      <c r="L15" s="33"/>
      <c r="M15" s="33"/>
      <c r="N15" s="33">
        <f>C37*'E Balans VL '!Y15/100/3.6*1000000</f>
        <v>0.63708470923320137</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833.63984159421273</v>
      </c>
      <c r="C18" s="21">
        <f>C5+C16</f>
        <v>0</v>
      </c>
      <c r="D18" s="21">
        <f>MAX((D5+D16),0)</f>
        <v>1299.4379160733624</v>
      </c>
      <c r="E18" s="21">
        <f>MAX((E5+E16),0)</f>
        <v>2.6305572473979115</v>
      </c>
      <c r="F18" s="21">
        <f>MAX((F5+F16),0)</f>
        <v>139.08858460931054</v>
      </c>
      <c r="G18" s="21"/>
      <c r="H18" s="21"/>
      <c r="I18" s="21"/>
      <c r="J18" s="21">
        <f>MAX((J5+J16),0)</f>
        <v>0.10100349092021538</v>
      </c>
      <c r="K18" s="21"/>
      <c r="L18" s="21">
        <f>MAX((L5+L16),0)</f>
        <v>0</v>
      </c>
      <c r="M18" s="21"/>
      <c r="N18" s="21">
        <f>MAX((N5+N16),0)</f>
        <v>27.393588412490079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0.20372935236636505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169.83690503478812</v>
      </c>
      <c r="C22" s="23">
        <f ca="1">C18*C20</f>
        <v>0</v>
      </c>
      <c r="D22" s="23">
        <f>D18*D20</f>
        <v>262.48645904681922</v>
      </c>
      <c r="E22" s="23">
        <f>E18*E20</f>
        <v>0.59713649515932599</v>
      </c>
      <c r="F22" s="23">
        <f>F18*F20</f>
        <v>37.136652090685921</v>
      </c>
      <c r="G22" s="23"/>
      <c r="H22" s="23"/>
      <c r="I22" s="23"/>
      <c r="J22" s="23">
        <f>J18*J20</f>
        <v>3.5755235785756241E-2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27.1036368170627</v>
      </c>
      <c r="C30" s="39">
        <f>IF(ISERROR(B30*3.6/1000000/'E Balans VL '!Z18*100),0,B30*3.6/1000000/'E Balans VL '!Z18*100)</f>
        <v>1.3453634468116561E-3</v>
      </c>
      <c r="D30" s="237" t="s">
        <v>702</v>
      </c>
    </row>
    <row r="31" spans="1:18">
      <c r="A31" s="6" t="s">
        <v>32</v>
      </c>
      <c r="B31" s="37">
        <f>IF( ISERROR(IND_ander_ele_kWh/1000),0,IND_ander_ele_kWh/1000)</f>
        <v>204.19904615761402</v>
      </c>
      <c r="C31" s="39">
        <f>IF(ISERROR(B31*3.6/1000000/'E Balans VL '!Z19*100),0,B31*3.6/1000000/'E Balans VL '!Z19*100)</f>
        <v>6.8906714271621374E-3</v>
      </c>
      <c r="D31" s="237" t="s">
        <v>702</v>
      </c>
    </row>
    <row r="32" spans="1:18">
      <c r="A32" s="171" t="s">
        <v>40</v>
      </c>
      <c r="B32" s="37">
        <f>IF( ISERROR(IND_voed_ele_kWh/1000),0,IND_voed_ele_kWh/1000)</f>
        <v>564.63372220357405</v>
      </c>
      <c r="C32" s="39">
        <f>IF(ISERROR(B32*3.6/1000000/'E Balans VL '!Z20*100),0,B32*3.6/1000000/'E Balans VL '!Z20*100)</f>
        <v>1.326003510791607E-2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37.703436415962003</v>
      </c>
      <c r="C37" s="39">
        <f>IF(ISERROR(B37*3.6/1000000/'E Balans VL '!Z15*100),0,B37*3.6/1000000/'E Balans VL '!Z15*100)</f>
        <v>1.4129472901055538E-4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391.622060424663</v>
      </c>
      <c r="C5" s="17">
        <f>'Eigen informatie GS &amp; warmtenet'!B62</f>
        <v>0</v>
      </c>
      <c r="D5" s="30">
        <f>IF(ISERROR(SUM(LB_lb_gas_kWh,LB_rest_gas_kWh)/1000),0,SUM(LB_lb_gas_kWh,LB_rest_gas_kWh)/1000)*0.903</f>
        <v>47.581181456261355</v>
      </c>
      <c r="E5" s="17">
        <f>B17*'E Balans VL '!I25/3.6*1000000/100</f>
        <v>14.60478451966636</v>
      </c>
      <c r="F5" s="17">
        <f>B17*('E Balans VL '!L25/3.6*1000000+'E Balans VL '!N25/3.6*1000000)/100</f>
        <v>1270.5732927385166</v>
      </c>
      <c r="G5" s="18"/>
      <c r="H5" s="17"/>
      <c r="I5" s="17"/>
      <c r="J5" s="17">
        <f>('E Balans VL '!D25+'E Balans VL '!E25)/3.6*1000000*landbouw!B17/100</f>
        <v>102.80272426321781</v>
      </c>
      <c r="K5" s="17"/>
      <c r="L5" s="17">
        <f>L6*(-1)</f>
        <v>0</v>
      </c>
      <c r="M5" s="17"/>
      <c r="N5" s="17">
        <f>N6*(-1)</f>
        <v>124.71428571428569</v>
      </c>
      <c r="O5" s="17"/>
      <c r="P5" s="17"/>
      <c r="R5" s="32"/>
    </row>
    <row r="6" spans="1:18">
      <c r="A6" s="16" t="s">
        <v>479</v>
      </c>
      <c r="B6" s="17" t="s">
        <v>210</v>
      </c>
      <c r="C6" s="17">
        <f>'lokale energieproductie'!O40+'lokale energieproductie'!O33</f>
        <v>62.357142857142847</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391.622060424663</v>
      </c>
      <c r="C8" s="21">
        <f>C5+C6</f>
        <v>62.357142857142847</v>
      </c>
      <c r="D8" s="21">
        <f>MAX((D5+D6),0)</f>
        <v>47.581181456261355</v>
      </c>
      <c r="E8" s="21">
        <f>MAX((E5+E6),0)</f>
        <v>14.60478451966636</v>
      </c>
      <c r="F8" s="21">
        <f>MAX((F5+F6),0)</f>
        <v>1270.5732927385166</v>
      </c>
      <c r="G8" s="21"/>
      <c r="H8" s="21"/>
      <c r="I8" s="21"/>
      <c r="J8" s="21">
        <f>MAX((J5+J6),0)</f>
        <v>102.80272426321781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0.20372935236636505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79.784908742698079</v>
      </c>
      <c r="C12" s="23">
        <f ca="1">C8*C10</f>
        <v>0</v>
      </c>
      <c r="D12" s="23">
        <f>D8*D10</f>
        <v>9.6113986541647947</v>
      </c>
      <c r="E12" s="23">
        <f>E8*E10</f>
        <v>3.3152860859642637</v>
      </c>
      <c r="F12" s="23">
        <f>F8*F10</f>
        <v>339.24306916118394</v>
      </c>
      <c r="G12" s="23"/>
      <c r="H12" s="23"/>
      <c r="I12" s="23"/>
      <c r="J12" s="23">
        <f>J8*J10</f>
        <v>36.392164389179101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5.3788268054372916E-2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121.00449567361764</v>
      </c>
      <c r="C26" s="247">
        <f>B26*'GWP N2O_CH4'!B5</f>
        <v>2541.0944091459705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25.512600839886744</v>
      </c>
      <c r="C27" s="247">
        <f>B27*'GWP N2O_CH4'!B5</f>
        <v>535.76461763762165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1.1350078445281244</v>
      </c>
      <c r="C28" s="247">
        <f>B28*'GWP N2O_CH4'!B4</f>
        <v>351.85243180371856</v>
      </c>
      <c r="D28" s="50"/>
    </row>
    <row r="29" spans="1:4">
      <c r="A29" s="41" t="s">
        <v>276</v>
      </c>
      <c r="B29" s="247">
        <f>B34*'ha_N2O bodem landbouw'!B4</f>
        <v>0.8755342103318231</v>
      </c>
      <c r="C29" s="247">
        <f>B29*'GWP N2O_CH4'!B4</f>
        <v>271.41560520286515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1.9953674689561835E-4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4.2511764849329345E-5</v>
      </c>
      <c r="C5" s="440" t="s">
        <v>210</v>
      </c>
      <c r="D5" s="425">
        <f>SUM(D6:D11)</f>
        <v>1.7503894780955372E-4</v>
      </c>
      <c r="E5" s="425">
        <f>SUM(E6:E11)</f>
        <v>9.3712044919560191E-5</v>
      </c>
      <c r="F5" s="438" t="s">
        <v>210</v>
      </c>
      <c r="G5" s="425">
        <f>SUM(G6:G11)</f>
        <v>3.2735087733688432E-2</v>
      </c>
      <c r="H5" s="425">
        <f>SUM(H6:H11)</f>
        <v>1.1152730491256434E-2</v>
      </c>
      <c r="I5" s="440" t="s">
        <v>210</v>
      </c>
      <c r="J5" s="440" t="s">
        <v>210</v>
      </c>
      <c r="K5" s="440" t="s">
        <v>210</v>
      </c>
      <c r="L5" s="440" t="s">
        <v>210</v>
      </c>
      <c r="M5" s="425">
        <f>SUM(M6:M11)</f>
        <v>2.6183362661933913E-3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3.3947496070647497E-5</v>
      </c>
      <c r="C6" s="426"/>
      <c r="D6" s="893">
        <f>vkm_GW_PW*SUMIFS(TableVerdeelsleutelVkm[CNG],TableVerdeelsleutelVkm[Voertuigtype],"Lichte voertuigen")*SUMIFS(TableECFTransport[EnergieConsumptieFactor (PJ per km)],TableECFTransport[Index],CONCATENATE($A6,"_CNG_CNG"))</f>
        <v>1.2260799605407893E-4</v>
      </c>
      <c r="E6" s="893">
        <f>vkm_GW_PW*SUMIFS(TableVerdeelsleutelVkm[LPG],TableVerdeelsleutelVkm[Voertuigtype],"Lichte voertuigen")*SUMIFS(TableECFTransport[EnergieConsumptieFactor (PJ per km)],TableECFTransport[Index],CONCATENATE($A6,"_LPG_LPG"))</f>
        <v>6.6634298670200469E-5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2.0736183189442689E-2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7.8478127385959058E-3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1.7130342869752903E-3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4.0946842611472275E-3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4.3106964843667307E-8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2.3053713756599796E-4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8.56426877868185E-6</v>
      </c>
      <c r="C8" s="426"/>
      <c r="D8" s="428">
        <f>vkm_NGW_PW*SUMIFS(TableVerdeelsleutelVkm[CNG],TableVerdeelsleutelVkm[Voertuigtype],"Lichte voertuigen")*SUMIFS(TableECFTransport[EnergieConsumptieFactor (PJ per km)],TableECFTransport[Index],CONCATENATE($A8,"_CNG_CNG"))</f>
        <v>5.243095175547479E-5</v>
      </c>
      <c r="E8" s="428">
        <f>vkm_NGW_PW*SUMIFS(TableVerdeelsleutelVkm[LPG],TableVerdeelsleutelVkm[Voertuigtype],"Lichte voertuigen")*SUMIFS(TableECFTransport[EnergieConsumptieFactor (PJ per km)],TableECFTransport[Index],CONCATENATE($A8,"_LPG_LPG"))</f>
        <v>2.7077746249359719E-5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7.8417219968696696E-3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3.3048736900474851E-3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6.7124606954855899E-4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6.2498286228847925E-5</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9.5564819915184245E-10</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3.518772103544041E-6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11.808823569258152</v>
      </c>
      <c r="C14" s="21"/>
      <c r="D14" s="21">
        <f t="shared" ref="D14:M14" si="0">((D5)*10^9/3600)+D12</f>
        <v>48.621929947098252</v>
      </c>
      <c r="E14" s="21">
        <f t="shared" si="0"/>
        <v>26.031123588766722</v>
      </c>
      <c r="F14" s="21"/>
      <c r="G14" s="21">
        <f t="shared" si="0"/>
        <v>9093.079926024564</v>
      </c>
      <c r="H14" s="21">
        <f t="shared" si="0"/>
        <v>3097.9806920156761</v>
      </c>
      <c r="I14" s="21"/>
      <c r="J14" s="21"/>
      <c r="K14" s="21"/>
      <c r="L14" s="21"/>
      <c r="M14" s="21">
        <f t="shared" si="0"/>
        <v>727.3156294981643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0.20372935236636505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2.4058039779736307</v>
      </c>
      <c r="C18" s="23"/>
      <c r="D18" s="23">
        <f t="shared" ref="D18:M18" si="1">D14*D16</f>
        <v>9.8216298493138474</v>
      </c>
      <c r="E18" s="23">
        <f t="shared" si="1"/>
        <v>5.9090650546500463</v>
      </c>
      <c r="F18" s="23"/>
      <c r="G18" s="23">
        <f t="shared" si="1"/>
        <v>2427.8523402485589</v>
      </c>
      <c r="H18" s="23">
        <f t="shared" si="1"/>
        <v>771.39719231190338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2.9800626637517674E-3</v>
      </c>
      <c r="H50" s="321">
        <f t="shared" si="2"/>
        <v>0</v>
      </c>
      <c r="I50" s="321">
        <f t="shared" si="2"/>
        <v>0</v>
      </c>
      <c r="J50" s="321">
        <f t="shared" si="2"/>
        <v>0</v>
      </c>
      <c r="K50" s="321">
        <f t="shared" si="2"/>
        <v>0</v>
      </c>
      <c r="L50" s="321">
        <f t="shared" si="2"/>
        <v>0</v>
      </c>
      <c r="M50" s="321">
        <f t="shared" si="2"/>
        <v>1.6171517334536228E-4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2.9800626637517674E-3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1.6171517334536228E-4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827.79518437549098</v>
      </c>
      <c r="H54" s="21">
        <f t="shared" si="3"/>
        <v>0</v>
      </c>
      <c r="I54" s="21">
        <f t="shared" si="3"/>
        <v>0</v>
      </c>
      <c r="J54" s="21">
        <f t="shared" si="3"/>
        <v>0</v>
      </c>
      <c r="K54" s="21">
        <f t="shared" si="3"/>
        <v>0</v>
      </c>
      <c r="L54" s="21">
        <f t="shared" si="3"/>
        <v>0</v>
      </c>
      <c r="M54" s="21">
        <f t="shared" si="3"/>
        <v>44.920881484822857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0.20372935236636505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221.0213142282561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1733.1233162735359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87.299999999999983</v>
      </c>
      <c r="C8" s="551">
        <f>B49</f>
        <v>0</v>
      </c>
      <c r="D8" s="552"/>
      <c r="E8" s="552">
        <f>E49</f>
        <v>0</v>
      </c>
      <c r="F8" s="553"/>
      <c r="G8" s="554"/>
      <c r="H8" s="552">
        <f>I49</f>
        <v>0</v>
      </c>
      <c r="I8" s="552">
        <f>G49+F49</f>
        <v>0</v>
      </c>
      <c r="J8" s="552">
        <f>H49+D49+C49</f>
        <v>102.70588235294116</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1820.4233162735359</v>
      </c>
      <c r="C10" s="566">
        <f t="shared" ref="C10:L10" si="0">SUM(C8:C9)</f>
        <v>0</v>
      </c>
      <c r="D10" s="566">
        <f t="shared" si="0"/>
        <v>0</v>
      </c>
      <c r="E10" s="566">
        <f t="shared" si="0"/>
        <v>0</v>
      </c>
      <c r="F10" s="566">
        <f t="shared" si="0"/>
        <v>0</v>
      </c>
      <c r="G10" s="566">
        <f t="shared" si="0"/>
        <v>0</v>
      </c>
      <c r="H10" s="566">
        <f t="shared" si="0"/>
        <v>0</v>
      </c>
      <c r="I10" s="566">
        <f t="shared" si="0"/>
        <v>0</v>
      </c>
      <c r="J10" s="566">
        <f t="shared" si="0"/>
        <v>102.70588235294116</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124.71428571428569</v>
      </c>
      <c r="C17" s="582">
        <f>B50</f>
        <v>0</v>
      </c>
      <c r="D17" s="583"/>
      <c r="E17" s="583">
        <f>E50</f>
        <v>0</v>
      </c>
      <c r="F17" s="584"/>
      <c r="G17" s="585"/>
      <c r="H17" s="582">
        <f>I50</f>
        <v>0</v>
      </c>
      <c r="I17" s="583">
        <f>G50+F50</f>
        <v>0</v>
      </c>
      <c r="J17" s="583">
        <f>H50+D50+C50</f>
        <v>146.72268907563023</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124.71428571428569</v>
      </c>
      <c r="C20" s="565">
        <f>SUM(C17:C19)</f>
        <v>0</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11021</v>
      </c>
      <c r="C28" s="794">
        <v>2540</v>
      </c>
      <c r="D28" s="643" t="s">
        <v>865</v>
      </c>
      <c r="E28" s="642" t="s">
        <v>866</v>
      </c>
      <c r="F28" s="642" t="s">
        <v>867</v>
      </c>
      <c r="G28" s="642" t="s">
        <v>868</v>
      </c>
      <c r="H28" s="642" t="s">
        <v>869</v>
      </c>
      <c r="I28" s="642" t="s">
        <v>870</v>
      </c>
      <c r="J28" s="793">
        <v>40545</v>
      </c>
      <c r="K28" s="793">
        <v>40634</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1600</v>
      </c>
      <c r="Y28" s="642" t="s">
        <v>49</v>
      </c>
      <c r="Z28" s="644" t="s">
        <v>155</v>
      </c>
    </row>
    <row r="29" spans="1:26" s="596" customFormat="1" ht="25.5">
      <c r="A29" s="595"/>
      <c r="B29" s="794">
        <v>11021</v>
      </c>
      <c r="C29" s="794">
        <v>2540</v>
      </c>
      <c r="D29" s="643" t="s">
        <v>865</v>
      </c>
      <c r="E29" s="642" t="s">
        <v>866</v>
      </c>
      <c r="F29" s="642" t="s">
        <v>872</v>
      </c>
      <c r="G29" s="642" t="s">
        <v>868</v>
      </c>
      <c r="H29" s="642" t="s">
        <v>869</v>
      </c>
      <c r="I29" s="642" t="s">
        <v>873</v>
      </c>
      <c r="J29" s="793">
        <v>41071</v>
      </c>
      <c r="K29" s="793">
        <v>41214</v>
      </c>
      <c r="L29" s="642" t="s">
        <v>871</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19.399999999999999</v>
      </c>
      <c r="N30" s="600">
        <f>SUM(N28:N29)</f>
        <v>87.299999999999983</v>
      </c>
      <c r="O30" s="600">
        <f>SUM(O28:O29)</f>
        <v>124.71428571428569</v>
      </c>
      <c r="P30" s="600">
        <f>SUM(P28:P29)</f>
        <v>0</v>
      </c>
      <c r="Q30" s="600">
        <f>SUM(Q28:Q29)</f>
        <v>249.42857142857139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9.6999999999999993</v>
      </c>
      <c r="N32" s="600">
        <f ca="1">SUMIF($Z$28:AD29,"tertiair",N28:N29)</f>
        <v>43.649999999999991</v>
      </c>
      <c r="O32" s="600">
        <f ca="1">SUMIF($Z$28:AE29,"tertiair",O28:O29)</f>
        <v>62.357142857142847</v>
      </c>
      <c r="P32" s="600">
        <f ca="1">SUMIF($Z$28:AF29,"tertiair",P28:P29)</f>
        <v>0</v>
      </c>
      <c r="Q32" s="600">
        <f ca="1">SUMIF($Z$28:AG29,"tertiair",Q28:Q29)</f>
        <v>124.71428571428569</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9.6999999999999993</v>
      </c>
      <c r="N33" s="605">
        <f>SUMIF($Z$28:$Z$29,"landbouw",N28:N29)</f>
        <v>43.649999999999991</v>
      </c>
      <c r="O33" s="605">
        <f>SUMIF($Z$28:$Z$29,"landbouw",O28:O29)</f>
        <v>62.357142857142847</v>
      </c>
      <c r="P33" s="605">
        <f>SUMIF($Z$28:$Z$29,"landbouw",P28:P29)</f>
        <v>0</v>
      </c>
      <c r="Q33" s="605">
        <f>SUMIF($Z$28:$Z$29,"landbouw",Q28:Q29)</f>
        <v>124.71428571428569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102.70588235294116</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146.72268907563023</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2020-06-20T15:17:19Z</dcterms:modified>
</cp:coreProperties>
</file>