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<sst xmlns="http://schemas.openxmlformats.org/spreadsheetml/2006/main" count="2366" uniqueCount="865">
  <si>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</si>
  <si>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</si>
  <si>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</si>
  <si>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</si>
  <si>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</si>
  <si>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</si>
  <si>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</si>
  <si>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</si>
  <si>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</si>
  <si>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</si>
  <si>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</si>
  <si>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</si>
  <si>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</si>
  <si>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</si>
  <si>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</si>
  <si>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</si>
  <si>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</si>
  <si>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</si>
  <si>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</si>
  <si>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</si>
  <si>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</si>
  <si>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</si>
  <si>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</si>
  <si>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</si>
  <si>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</si>
  <si>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</si>
  <si>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</si>
  <si>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</si>
  <si>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</si>
  <si>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</si>
  <si>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</si>
  <si>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</si>
  <si>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</si>
  <si>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</si>
  <si>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</si>
  <si>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</si>
  <si>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</si>
  <si>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</si>
  <si>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</si>
  <si>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</si>
  <si>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</si>
  <si>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</si>
  <si>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</si>
  <si>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</si>
  <si>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</si>
  <si>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</si>
  <si>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</si>
  <si>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</si>
  <si>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</si>
  <si>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</si>
  <si>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</si>
  <si>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</si>
  <si>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</si>
  <si>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</si>
  <si>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</si>
  <si>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</si>
  <si>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</si>
  <si>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</si>
  <si>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</si>
  <si>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</si>
  <si>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</si>
  <si>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</si>
  <si>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</si>
  <si>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</si>
  <si>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</si>
  <si>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</si>
  <si>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</si>
  <si>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</si>
  <si>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</si>
  <si>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</si>
  <si>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</si>
  <si>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</si>
  <si>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</si>
  <si>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</si>
  <si>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</si>
  <si>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</si>
  <si>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</si>
  <si>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</si>
  <si>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</si>
  <si>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</si>
  <si>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</si>
  <si>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</si>
  <si>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</si>
  <si>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</si>
  <si>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</si>
  <si>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</si>
  <si>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</si>
  <si>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</si>
  <si>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</si>
  <si>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</si>
  <si>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</si>
  <si>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</si>
  <si>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</si>
  <si>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</si>
  <si>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</si>
  <si>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</si>
  <si>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</si>
  <si>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</si>
  <si>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</si>
  <si>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</si>
  <si>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</si>
  <si>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</si>
  <si>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</si>
  <si>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</si>
  <si>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</si>
  <si>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</si>
  <si>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</si>
  <si>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</si>
  <si>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</si>
  <si>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</si>
  <si>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</si>
  <si>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</si>
  <si>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</si>
  <si>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</si>
  <si>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</si>
  <si>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</si>
  <si>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</si>
  <si>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</si>
  <si>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</si>
  <si>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</si>
  <si>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</si>
  <si>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</si>
  <si>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</si>
  <si>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</si>
  <si>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</si>
  <si>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</si>
  <si>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</si>
  <si>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</si>
  <si>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</si>
  <si>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</si>
  <si>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</si>
  <si>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</si>
  <si>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</si>
  <si>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</si>
  <si>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</si>
  <si>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</si>
  <si>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</si>
  <si>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</si>
  <si>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</si>
  <si>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</si>
  <si>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</si>
  <si>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</si>
  <si>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</si>
  <si>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</si>
  <si>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</si>
  <si>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</si>
  <si>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</si>
  <si>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</si>
  <si>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</si>
  <si>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</si>
  <si>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</si>
  <si>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</si>
  <si>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</si>
  <si>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</si>
  <si>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</si>
  <si>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</si>
  <si>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</si>
  <si>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</si>
  <si>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</si>
  <si>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</si>
  <si>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</si>
  <si>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</si>
  <si>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</si>
  <si>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</si>
  <si>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</si>
  <si>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</si>
  <si>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</si>
  <si>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</si>
  <si>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</si>
  <si>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</si>
  <si>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</si>
  <si>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</si>
  <si>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</si>
  <si>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</si>
  <si>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</si>
  <si>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</si>
  <si>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</si>
  <si>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</si>
  <si>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</si>
  <si>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</si>
  <si>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</si>
  <si>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</si>
  <si>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</si>
  <si>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</si>
  <si>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</si>
  <si>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</si>
  <si>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</si>
  <si>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</si>
  <si>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</si>
  <si>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</si>
  <si>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</si>
  <si>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</si>
  <si>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</si>
  <si>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</si>
  <si>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</si>
  <si>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</si>
  <si>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</si>
  <si>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</si>
  <si>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</si>
  <si>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</si>
  <si>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</si>
  <si>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</si>
  <si>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</si>
  <si>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</si>
  <si>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</si>
  <si>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</si>
  <si>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</si>
  <si>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</si>
  <si>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</si>
  <si>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</si>
  <si>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</si>
  <si>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</si>
  <si>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</si>
  <si>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</si>
  <si>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</si>
  <si>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</si>
  <si>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</si>
  <si>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</si>
  <si>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</si>
  <si>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</si>
  <si>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</si>
  <si>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</si>
  <si>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</si>
  <si>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</si>
  <si>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</si>
  <si>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</si>
  <si>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</si>
  <si>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</si>
  <si>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</si>
  <si>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</si>
  <si>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</si>
  <si>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</si>
  <si>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</si>
  <si>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</si>
  <si>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</si>
  <si>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</si>
  <si>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</si>
  <si>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</si>
  <si>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</si>
  <si>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</si>
  <si>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</si>
  <si>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</si>
  <si>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</si>
  <si>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</si>
  <si>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</si>
  <si>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</si>
  <si>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</si>
  <si>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</si>
  <si>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</si>
  <si>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</si>
  <si>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</si>
  <si>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</si>
  <si>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</si>
  <si>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</si>
  <si>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</si>
  <si>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</si>
  <si>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</si>
  <si>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</si>
  <si>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</si>
  <si>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</si>
  <si>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</si>
  <si>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</si>
  <si>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</si>
  <si>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</si>
  <si>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</si>
  <si>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</si>
  <si>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</si>
  <si>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</si>
  <si>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</si>
  <si>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</si>
  <si>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</si>
  <si>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</si>
  <si>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</si>
  <si>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</si>
  <si>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</si>
  <si>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</si>
  <si>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</si>
  <si>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</si>
  <si>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</si>
  <si>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</si>
  <si>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</si>
  <si>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</si>
  <si>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</si>
  <si>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</si>
  <si>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</si>
  <si>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</si>
  <si>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</si>
  <si>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</si>
  <si>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</si>
  <si>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</si>
  <si>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</si>
  <si>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</si>
  <si>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</si>
  <si>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</si>
  <si>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</si>
  <si>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</si>
  <si>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</si>
  <si>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</si>
  <si>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</si>
  <si>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</si>
  <si>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</si>
  <si>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</si>
  <si>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</si>
  <si>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</si>
  <si>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</si>
  <si>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</si>
  <si>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</si>
  <si>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</si>
  <si>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</si>
  <si>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</si>
  <si>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</si>
  <si>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</si>
  <si>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</si>
  <si>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</si>
  <si>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</si>
  <si>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</si>
  <si>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</si>
  <si>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</si>
  <si>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</si>
  <si>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</si>
  <si>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</si>
  <si>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</si>
  <si>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</si>
  <si>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</si>
  <si>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</si>
  <si>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</si>
  <si>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</si>
  <si>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</si>
  <si>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</si>
  <si>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</si>
  <si>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</si>
  <si>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</si>
  <si>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</si>
  <si>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</si>
  <si>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</si>
  <si>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</si>
  <si>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</si>
  <si>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</si>
  <si>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</si>
  <si>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</si>
  <si>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</si>
  <si>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</si>
  <si>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</si>
  <si>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</si>
  <si>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</si>
  <si>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</si>
  <si>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</si>
  <si>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</si>
  <si>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</si>
  <si>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</si>
  <si>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</si>
  <si>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</si>
  <si>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</si>
  <si>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</si>
  <si>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</si>
  <si>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</si>
  <si>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</si>
  <si>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</si>
  <si>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</si>
  <si>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</si>
  <si>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</si>
  <si>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</si>
  <si>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</si>
  <si>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</si>
  <si>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</si>
  <si>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</si>
  <si>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</si>
  <si>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</si>
  <si>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</si>
  <si>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</si>
  <si>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</si>
  <si>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</si>
  <si>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</si>
  <si>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</si>
  <si>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</si>
  <si>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</si>
  <si>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</si>
  <si>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</si>
  <si>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</si>
  <si>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</si>
  <si>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</si>
  <si>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</si>
  <si>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</si>
  <si>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</si>
  <si>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</si>
  <si>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</si>
  <si>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</si>
  <si>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</si>
  <si>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</si>
  <si>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</si>
  <si>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</si>
  <si>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</si>
  <si>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</si>
  <si>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</si>
  <si>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</si>
  <si>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</si>
  <si>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</si>
  <si>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</si>
  <si>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</si>
  <si>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</si>
  <si>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</si>
  <si>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</si>
  <si>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</si>
  <si>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</si>
  <si>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</si>
  <si>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</si>
  <si>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</si>
  <si>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</si>
  <si>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</si>
  <si>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</si>
  <si>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</si>
  <si>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</si>
  <si>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</si>
  <si>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</si>
  <si>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</si>
  <si>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</si>
  <si>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</si>
  <si>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</si>
  <si>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</si>
  <si>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</si>
  <si>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</si>
  <si>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</si>
  <si>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</si>
  <si>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</si>
  <si>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</si>
  <si>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</si>
  <si>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</si>
  <si>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</si>
  <si>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</si>
  <si>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</si>
  <si>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</si>
  <si>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</si>
  <si>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</si>
  <si>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</si>
  <si>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</si>
  <si>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</si>
  <si>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</si>
  <si>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</si>
  <si>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</si>
  <si>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</si>
  <si>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</si>
  <si>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</si>
  <si>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</si>
  <si>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</si>
  <si>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</si>
  <si>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</si>
  <si>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</si>
  <si>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</si>
  <si>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</si>
  <si>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</si>
  <si>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</si>
  <si>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</si>
  <si>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</si>
  <si>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</si>
  <si>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</si>
  <si>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</si>
  <si>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</si>
  <si>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</si>
  <si>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</si>
  <si>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</si>
  <si>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</si>
  <si>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</si>
  <si>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</si>
  <si>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</si>
  <si>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</si>
  <si>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</si>
  <si>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</si>
  <si>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</si>
  <si>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</si>
  <si>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</si>
  <si>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</si>
  <si>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</si>
  <si>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</si>
  <si>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</si>
  <si>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</si>
  <si>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</si>
  <si>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</si>
  <si>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</si>
  <si>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</si>
  <si>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</si>
  <si>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</si>
  <si>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</si>
  <si>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</si>
  <si>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</si>
  <si>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</si>
  <si>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</si>
  <si>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</si>
  <si>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</si>
  <si>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</si>
  <si>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</si>
  <si>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</si>
  <si>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</si>
  <si>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</si>
  <si>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</si>
  <si>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</si>
  <si>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</si>
  <si>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</si>
  <si>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</si>
  <si>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</si>
  <si>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</si>
  <si>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</si>
  <si>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</si>
  <si>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</si>
  <si>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</si>
  <si>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</si>
  <si>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</si>
  <si>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</si>
  <si>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</si>
  <si>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</si>
  <si>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</si>
  <si>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</si>
  <si>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</si>
  <si>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</si>
  <si>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</si>
  <si>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</si>
  <si>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</si>
  <si>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</si>
  <si>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</si>
  <si>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</si>
  <si>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</si>
  <si>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</si>
  <si>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</si>
  <si>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</si>
  <si>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</si>
  <si>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</si>
  <si>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</si>
  <si>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</si>
  <si>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</si>
  <si>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</si>
  <si>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</si>
  <si>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</si>
  <si>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</si>
  <si>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</si>
  <si>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</si>
  <si>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</si>
  <si>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</si>
  <si>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</si>
  <si>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</si>
  <si>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</si>
  <si>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</si>
  <si>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</si>
  <si>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</si>
  <si>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</si>
  <si>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</si>
  <si>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</si>
  <si>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</si>
  <si>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</si>
  <si>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</si>
  <si>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</si>
  <si>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</si>
  <si>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</si>
  <si>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</si>
  <si>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</si>
  <si>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</si>
  <si>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</si>
  <si>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</si>
  <si>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</si>
  <si>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</si>
  <si>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</si>
  <si>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</si>
  <si>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</si>
  <si>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</si>
  <si>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</si>
  <si>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</si>
  <si>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</si>
  <si>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</si>
  <si>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</si>
  <si>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</si>
  <si>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</si>
  <si>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</si>
  <si>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</si>
  <si>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</si>
  <si>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</si>
  <si>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</si>
  <si>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</si>
  <si>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</si>
  <si>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</si>
  <si>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</si>
  <si>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</si>
  <si>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</si>
  <si>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</si>
  <si>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</si>
  <si>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</si>
  <si>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</si>
  <si>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</si>
  <si>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</si>
  <si>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</si>
  <si>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</si>
  <si>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</si>
  <si>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</si>
  <si>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</si>
  <si>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</si>
  <si>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</si>
  <si>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</si>
  <si>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</si>
  <si>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</si>
  <si>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</si>
  <si>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</si>
  <si>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</si>
  <si>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</si>
  <si>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</si>
  <si>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</si>
  <si>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</si>
  <si>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</si>
  <si>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</si>
  <si>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</si>
  <si>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</si>
  <si>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</si>
  <si>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</si>
  <si>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</si>
  <si>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</si>
  <si>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</si>
  <si>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</si>
  <si>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</si>
  <si>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</si>
  <si>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</si>
  <si>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</si>
  <si>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</si>
  <si>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</si>
  <si>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</si>
  <si>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</si>
  <si>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</si>
  <si>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</si>
  <si>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</si>
  <si>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</si>
  <si>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</si>
  <si>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</si>
  <si>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</si>
  <si>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</si>
  <si>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</si>
  <si>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</si>
  <si>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</si>
  <si>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</si>
  <si>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</si>
  <si>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</si>
  <si>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</si>
  <si>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</si>
  <si>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</si>
  <si>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</si>
  <si>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</si>
  <si>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</si>
  <si>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</si>
  <si>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</si>
  <si>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</si>
  <si>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</si>
  <si>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</si>
  <si>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</si>
  <si>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</si>
  <si>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</si>
  <si>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</si>
  <si>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</si>
  <si>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</si>
  <si>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</si>
  <si>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</si>
  <si>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</si>
  <si>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</si>
  <si>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</si>
  <si>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</si>
  <si>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</si>
  <si>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</si>
  <si>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</si>
  <si>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</si>
  <si>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</si>
  <si>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</si>
  <si>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</si>
  <si>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</si>
  <si>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</si>
  <si>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</si>
  <si>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</si>
  <si>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</si>
  <si>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</si>
  <si>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</si>
  <si>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</si>
  <si>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</si>
  <si>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</si>
  <si>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</si>
  <si>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</si>
  <si>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</si>
  <si>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</si>
  <si>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</si>
  <si>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</si>
  <si>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</si>
  <si>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</si>
  <si>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</si>
  <si>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</si>
  <si>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</si>
  <si>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</si>
  <si>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</si>
  <si>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</si>
  <si>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</si>
  <si>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</si>
  <si>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</si>
  <si>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</si>
  <si>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</si>
  <si>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</si>
  <si>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</si>
  <si>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</si>
  <si>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</si>
  <si>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</si>
  <si>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</si>
  <si>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</si>
  <si>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</si>
  <si>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</si>
  <si>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</si>
  <si>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</si>
  <si>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</si>
  <si>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</si>
  <si>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</si>
  <si>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</si>
  <si>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</si>
  <si>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</si>
  <si>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</si>
  <si>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</si>
  <si>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</si>
  <si>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</si>
  <si>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</si>
  <si>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</si>
  <si>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</si>
  <si>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</si>
  <si>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</si>
  <si>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</si>
  <si>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</si>
  <si>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</si>
  <si>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</si>
  <si>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</si>
  <si>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</si>
  <si>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</si>
  <si>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</si>
  <si>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</si>
  <si>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</si>
  <si>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</si>
  <si>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</si>
  <si>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</si>
  <si>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</si>
  <si>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</si>
  <si>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</si>
  <si>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</si>
  <si>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</si>
  <si>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</si>
  <si>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</si>
  <si>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</si>
  <si>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</si>
  <si>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</si>
  <si>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</si>
  <si>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</si>
  <si>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</si>
  <si>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</si>
  <si>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</si>
  <si>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</si>
  <si>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</si>
  <si>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</si>
  <si>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</si>
  <si>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</si>
  <si>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</si>
  <si>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</si>
  <si>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</si>
  <si>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</si>
  <si>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</si>
  <si>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</si>
  <si>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</si>
  <si>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</si>
  <si>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</si>
  <si>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</si>
  <si>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</si>
  <si>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</si>
  <si>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</si>
  <si>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</si>
  <si>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</si>
  <si>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</si>
  <si>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</si>
  <si>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</si>
  <si>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</si>
  <si>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</si>
  <si>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</si>
  <si>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</si>
  <si>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</si>
  <si>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</si>
  <si>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</si>
  <si>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</si>
  <si>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</si>
  <si>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</si>
  <si>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</si>
  <si>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</si>
  <si>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</si>
  <si>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</si>
  <si>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</si>
  <si>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</si>
  <si>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</si>
  <si>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</si>
  <si>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</si>
  <si>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</si>
  <si>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</si>
  <si>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</si>
  <si>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</si>
  <si>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</si>
  <si>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</si>
  <si>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</si>
  <si>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</si>
  <si>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</si>
  <si>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</si>
  <si>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</si>
  <si>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</si>
  <si>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</si>
  <si>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</si>
  <si>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</si>
  <si>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</si>
  <si>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</si>
  <si>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</si>
  <si>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</si>
  <si>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</si>
  <si>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</si>
  <si>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</si>
  <si>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</si>
  <si>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</si>
  <si>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</si>
  <si>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</si>
  <si>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</si>
  <si>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</si>
  <si>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</si>
  <si>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</si>
  <si>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</si>
  <si>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</si>
  <si>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</si>
  <si>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</si>
  <si>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</si>
  <si>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</si>
  <si>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</si>
  <si>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</si>
  <si>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</si>
  <si>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</si>
  <si>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</si>
  <si>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</si>
  <si>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</si>
  <si>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</si>
  <si>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</si>
  <si>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</si>
  <si>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</si>
  <si>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</si>
  <si>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</si>
  <si>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</si>
  <si>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</si>
  <si>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</si>
  <si>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</si>
  <si>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</si>
  <si>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</si>
  <si>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</si>
  <si>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</si>
  <si>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</si>
  <si>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</si>
  <si>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</si>
  <si>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</si>
  <si>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</si>
  <si>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</si>
  <si>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</si>
  <si>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</si>
  <si>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</si>
  <si>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</si>
  <si>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</si>
  <si>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</si>
  <si>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</si>
  <si>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</si>
  <si>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</si>
  <si>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11018</t>
  </si>
  <si>
    <t>HEMIKSEM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</si>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</sst>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73310.434952278549</c:v>
                </c:pt>
                <c:pt idx="1">
                  <c:v>31276.557862165148</c:v>
                </c:pt>
                <c:pt idx="2">
                  <c:v>400.267</c:v>
                </c:pt>
                <c:pt idx="3">
                  <c:v>260.37216709276026</c:v>
                </c:pt>
                <c:pt idx="4">
                  <c:v>79230.631568730008</c:v>
                </c:pt>
                <c:pt idx="5">
                  <c:v>30213.563838629841</c:v>
                </c:pt>
                <c:pt idx="6">
                  <c:v>1054.5519509563883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73310.434952278549</c:v>
                </c:pt>
                <c:pt idx="1">
                  <c:v>31276.557862165148</c:v>
                </c:pt>
                <c:pt idx="2">
                  <c:v>400.267</c:v>
                </c:pt>
                <c:pt idx="3">
                  <c:v>260.37216709276026</c:v>
                </c:pt>
                <c:pt idx="4">
                  <c:v>79230.631568730008</c:v>
                </c:pt>
                <c:pt idx="5">
                  <c:v>30213.563838629841</c:v>
                </c:pt>
                <c:pt idx="6">
                  <c:v>1054.5519509563883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14335.800589631874</c:v>
                </c:pt>
                <c:pt idx="1">
                  <c:v>6447.6829222502884</c:v>
                </c:pt>
                <c:pt idx="2">
                  <c:v>85.725245851141381</c:v>
                </c:pt>
                <c:pt idx="3">
                  <c:v>62.815877808282757</c:v>
                </c:pt>
                <c:pt idx="4">
                  <c:v>16360.942334155121</c:v>
                </c:pt>
                <c:pt idx="5">
                  <c:v>7510.2146008268801</c:v>
                </c:pt>
                <c:pt idx="6">
                  <c:v>267.07249613032644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14335.800589631874</c:v>
                </c:pt>
                <c:pt idx="1">
                  <c:v>6447.6829222502884</c:v>
                </c:pt>
                <c:pt idx="2">
                  <c:v>85.725245851141381</c:v>
                </c:pt>
                <c:pt idx="3">
                  <c:v>62.815877808282757</c:v>
                </c:pt>
                <c:pt idx="4">
                  <c:v>16360.942334155121</c:v>
                </c:pt>
                <c:pt idx="5">
                  <c:v>7510.2146008268801</c:v>
                </c:pt>
                <c:pt idx="6">
                  <c:v>267.07249613032644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11018</v>
      </c>
      <c r="B6" s="392"/>
      <c r="C6" s="393"/>
    </row>
    <row r="7" spans="1:7" s="390" customFormat="1" ht="15.75" customHeight="1">
      <c r="A7" s="394" t="str">
        <f>txtMunicipality</f>
        <v>HEMIKSEM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0.21417015604869094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0.21417015604869094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4671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3.6</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0</v>
      </c>
      <c r="C17" s="332"/>
      <c r="D17" s="332"/>
      <c r="E17" s="332"/>
      <c r="F17" s="332"/>
    </row>
    <row r="18" spans="1:6">
      <c r="A18" s="1310" t="s">
        <v>8</v>
      </c>
      <c r="B18" s="1311">
        <v>0</v>
      </c>
      <c r="C18" s="332"/>
      <c r="D18" s="332"/>
      <c r="E18" s="332"/>
      <c r="F18" s="332"/>
    </row>
    <row r="19" spans="1:6">
      <c r="A19" s="1310" t="s">
        <v>9</v>
      </c>
      <c r="B19" s="1311">
        <v>0</v>
      </c>
      <c r="C19" s="332"/>
      <c r="D19" s="332"/>
      <c r="E19" s="332"/>
      <c r="F19" s="332"/>
    </row>
    <row r="20" spans="1:6">
      <c r="A20" s="1310" t="s">
        <v>10</v>
      </c>
      <c r="B20" s="1311">
        <v>0</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0</v>
      </c>
      <c r="C29" s="338"/>
      <c r="D29" s="338"/>
      <c r="E29" s="338"/>
      <c r="F29" s="338"/>
    </row>
    <row r="30" spans="1:6">
      <c r="A30" s="1305" t="s">
        <v>700</v>
      </c>
      <c r="B30" s="1314">
        <v>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4285</v>
      </c>
      <c r="D39" s="1311">
        <v>60020927.949000202</v>
      </c>
      <c r="E39" s="1311">
        <v>4847</v>
      </c>
      <c r="F39" s="1311">
        <v>14009278.346000001</v>
      </c>
    </row>
    <row r="40" spans="1:6">
      <c r="A40" s="1310" t="s">
        <v>29</v>
      </c>
      <c r="B40" s="1310" t="s">
        <v>28</v>
      </c>
      <c r="C40" s="1311">
        <v>0</v>
      </c>
      <c r="D40" s="1311">
        <v>0</v>
      </c>
      <c r="E40" s="1311">
        <v>0</v>
      </c>
      <c r="F40" s="1311">
        <v>0</v>
      </c>
    </row>
    <row r="41" spans="1:6">
      <c r="A41" s="1310" t="s">
        <v>31</v>
      </c>
      <c r="B41" s="1310" t="s">
        <v>32</v>
      </c>
      <c r="C41" s="1311">
        <v>36</v>
      </c>
      <c r="D41" s="1311">
        <v>714269.73600000003</v>
      </c>
      <c r="E41" s="1311">
        <v>58</v>
      </c>
      <c r="F41" s="1311">
        <v>433053.033</v>
      </c>
    </row>
    <row r="42" spans="1:6">
      <c r="A42" s="1310" t="s">
        <v>31</v>
      </c>
      <c r="B42" s="1310" t="s">
        <v>33</v>
      </c>
      <c r="C42" s="1311">
        <v>3</v>
      </c>
      <c r="D42" s="1311">
        <v>337482.71399999998</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3066147.6889999998</v>
      </c>
      <c r="E44" s="1311">
        <v>5</v>
      </c>
      <c r="F44" s="1311">
        <v>35821.72</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54298884</v>
      </c>
      <c r="E48" s="1311">
        <v>6</v>
      </c>
      <c r="F48" s="1311">
        <v>22425877.951000001</v>
      </c>
    </row>
    <row r="49" spans="1:6">
      <c r="A49" s="1310" t="s">
        <v>31</v>
      </c>
      <c r="B49" s="1310" t="s">
        <v>39</v>
      </c>
      <c r="C49" s="1311">
        <v>0</v>
      </c>
      <c r="D49" s="1311">
        <v>0</v>
      </c>
      <c r="E49" s="1311">
        <v>0</v>
      </c>
      <c r="F49" s="1311">
        <v>0</v>
      </c>
    </row>
    <row r="50" spans="1:6">
      <c r="A50" s="1310" t="s">
        <v>31</v>
      </c>
      <c r="B50" s="1310" t="s">
        <v>40</v>
      </c>
      <c r="C50" s="1311">
        <v>6</v>
      </c>
      <c r="D50" s="1311">
        <v>342063.68</v>
      </c>
      <c r="E50" s="1311">
        <v>6</v>
      </c>
      <c r="F50" s="1311">
        <v>169939.64</v>
      </c>
    </row>
    <row r="51" spans="1:6">
      <c r="A51" s="1310" t="s">
        <v>41</v>
      </c>
      <c r="B51" s="1310" t="s">
        <v>42</v>
      </c>
      <c r="C51" s="1311">
        <v>5</v>
      </c>
      <c r="D51" s="1311">
        <v>93433.737999999998</v>
      </c>
      <c r="E51" s="1311">
        <v>7</v>
      </c>
      <c r="F51" s="1311">
        <v>38731.152999999998</v>
      </c>
    </row>
    <row r="52" spans="1:6">
      <c r="A52" s="1310" t="s">
        <v>41</v>
      </c>
      <c r="B52" s="1310" t="s">
        <v>28</v>
      </c>
      <c r="C52" s="1311">
        <v>0</v>
      </c>
      <c r="D52" s="1311">
        <v>0</v>
      </c>
      <c r="E52" s="1311">
        <v>0</v>
      </c>
      <c r="F52" s="1311">
        <v>0</v>
      </c>
    </row>
    <row r="53" spans="1:6">
      <c r="A53" s="1310" t="s">
        <v>43</v>
      </c>
      <c r="B53" s="1310" t="s">
        <v>44</v>
      </c>
      <c r="C53" s="1311">
        <v>60</v>
      </c>
      <c r="D53" s="1311">
        <v>979434.04799999995</v>
      </c>
      <c r="E53" s="1311">
        <v>123</v>
      </c>
      <c r="F53" s="1311">
        <v>862624.73499999999</v>
      </c>
    </row>
    <row r="54" spans="1:6">
      <c r="A54" s="1310" t="s">
        <v>45</v>
      </c>
      <c r="B54" s="1310" t="s">
        <v>46</v>
      </c>
      <c r="C54" s="1311">
        <v>0</v>
      </c>
      <c r="D54" s="1311">
        <v>0</v>
      </c>
      <c r="E54" s="1311">
        <v>1</v>
      </c>
      <c r="F54" s="1311">
        <v>400267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21</v>
      </c>
      <c r="D57" s="1311">
        <v>957117.67599999998</v>
      </c>
      <c r="E57" s="1311">
        <v>35</v>
      </c>
      <c r="F57" s="1311">
        <v>422871.87699999998</v>
      </c>
    </row>
    <row r="58" spans="1:6">
      <c r="A58" s="1310" t="s">
        <v>48</v>
      </c>
      <c r="B58" s="1310" t="s">
        <v>50</v>
      </c>
      <c r="C58" s="1311">
        <v>16</v>
      </c>
      <c r="D58" s="1311">
        <v>397763.98100000003</v>
      </c>
      <c r="E58" s="1311">
        <v>20</v>
      </c>
      <c r="F58" s="1311">
        <v>141697.53200000001</v>
      </c>
    </row>
    <row r="59" spans="1:6">
      <c r="A59" s="1310" t="s">
        <v>48</v>
      </c>
      <c r="B59" s="1310" t="s">
        <v>51</v>
      </c>
      <c r="C59" s="1311">
        <v>44</v>
      </c>
      <c r="D59" s="1311">
        <v>1125699.5649999999</v>
      </c>
      <c r="E59" s="1311">
        <v>61</v>
      </c>
      <c r="F59" s="1311">
        <v>4276322.53</v>
      </c>
    </row>
    <row r="60" spans="1:6">
      <c r="A60" s="1310" t="s">
        <v>48</v>
      </c>
      <c r="B60" s="1310" t="s">
        <v>52</v>
      </c>
      <c r="C60" s="1311">
        <v>31</v>
      </c>
      <c r="D60" s="1311">
        <v>973782.49699999997</v>
      </c>
      <c r="E60" s="1311">
        <v>81</v>
      </c>
      <c r="F60" s="1311">
        <v>1420829.0049999999</v>
      </c>
    </row>
    <row r="61" spans="1:6">
      <c r="A61" s="1310" t="s">
        <v>48</v>
      </c>
      <c r="B61" s="1310" t="s">
        <v>53</v>
      </c>
      <c r="C61" s="1311">
        <v>129</v>
      </c>
      <c r="D61" s="1311">
        <v>18229052.276000001</v>
      </c>
      <c r="E61" s="1311">
        <v>181</v>
      </c>
      <c r="F61" s="1311">
        <v>3584225.4130000002</v>
      </c>
    </row>
    <row r="62" spans="1:6">
      <c r="A62" s="1310" t="s">
        <v>48</v>
      </c>
      <c r="B62" s="1310" t="s">
        <v>54</v>
      </c>
      <c r="C62" s="1311">
        <v>6</v>
      </c>
      <c r="D62" s="1311">
        <v>361732.47600000002</v>
      </c>
      <c r="E62" s="1311">
        <v>5</v>
      </c>
      <c r="F62" s="1311">
        <v>59671.593999999997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24576.166000000001</v>
      </c>
      <c r="E65" s="1311">
        <v>2</v>
      </c>
      <c r="F65" s="1311">
        <v>9925.8850000000002</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33409055</v>
      </c>
      <c r="E73" s="453"/>
      <c r="F73" s="332"/>
    </row>
    <row r="74" spans="1:6">
      <c r="A74" s="1310" t="s">
        <v>63</v>
      </c>
      <c r="B74" s="1310" t="s">
        <v>648</v>
      </c>
      <c r="C74" s="1324" t="s">
        <v>650</v>
      </c>
      <c r="D74" s="1325">
        <v>2797550.4505583062</v>
      </c>
      <c r="E74" s="453"/>
      <c r="F74" s="332"/>
    </row>
    <row r="75" spans="1:6">
      <c r="A75" s="1310" t="s">
        <v>64</v>
      </c>
      <c r="B75" s="1310" t="s">
        <v>647</v>
      </c>
      <c r="C75" s="1324" t="s">
        <v>651</v>
      </c>
      <c r="D75" s="1325">
        <v>1595636</v>
      </c>
      <c r="E75" s="453"/>
      <c r="F75" s="332"/>
    </row>
    <row r="76" spans="1:6">
      <c r="A76" s="1310" t="s">
        <v>64</v>
      </c>
      <c r="B76" s="1310" t="s">
        <v>648</v>
      </c>
      <c r="C76" s="1324" t="s">
        <v>652</v>
      </c>
      <c r="D76" s="1325">
        <v>172794.45055830601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292507.09888338798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1463.4241616510606</v>
      </c>
      <c r="C91" s="332"/>
      <c r="D91" s="332"/>
      <c r="E91" s="332"/>
      <c r="F91" s="332"/>
    </row>
    <row r="92" spans="1:6">
      <c r="A92" s="1305" t="s">
        <v>68</v>
      </c>
      <c r="B92" s="1306">
        <v>74.628320524753761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2975</v>
      </c>
      <c r="C97" s="332"/>
      <c r="D97" s="332"/>
      <c r="E97" s="332"/>
      <c r="F97" s="332"/>
    </row>
    <row r="98" spans="1:6">
      <c r="A98" s="1310" t="s">
        <v>71</v>
      </c>
      <c r="B98" s="1311">
        <v>3</v>
      </c>
      <c r="C98" s="332"/>
      <c r="D98" s="332"/>
      <c r="E98" s="332"/>
      <c r="F98" s="332"/>
    </row>
    <row r="99" spans="1:6">
      <c r="A99" s="1310" t="s">
        <v>72</v>
      </c>
      <c r="B99" s="1311">
        <v>8</v>
      </c>
      <c r="C99" s="332"/>
      <c r="D99" s="332"/>
      <c r="E99" s="332"/>
      <c r="F99" s="332"/>
    </row>
    <row r="100" spans="1:6">
      <c r="A100" s="1310" t="s">
        <v>73</v>
      </c>
      <c r="B100" s="1311">
        <v>268</v>
      </c>
      <c r="C100" s="332"/>
      <c r="D100" s="332"/>
      <c r="E100" s="332"/>
      <c r="F100" s="332"/>
    </row>
    <row r="101" spans="1:6">
      <c r="A101" s="1310" t="s">
        <v>74</v>
      </c>
      <c r="B101" s="1311">
        <v>38</v>
      </c>
      <c r="C101" s="332"/>
      <c r="D101" s="332"/>
      <c r="E101" s="332"/>
      <c r="F101" s="332"/>
    </row>
    <row r="102" spans="1:6">
      <c r="A102" s="1310" t="s">
        <v>75</v>
      </c>
      <c r="B102" s="1311">
        <v>57</v>
      </c>
      <c r="C102" s="332"/>
      <c r="D102" s="332"/>
      <c r="E102" s="332"/>
      <c r="F102" s="332"/>
    </row>
    <row r="103" spans="1:6">
      <c r="A103" s="1310" t="s">
        <v>76</v>
      </c>
      <c r="B103" s="1311">
        <v>91</v>
      </c>
      <c r="C103" s="332"/>
      <c r="D103" s="332"/>
      <c r="E103" s="332"/>
      <c r="F103" s="332"/>
    </row>
    <row r="104" spans="1:6">
      <c r="A104" s="1310" t="s">
        <v>77</v>
      </c>
      <c r="B104" s="1311">
        <v>409</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15</v>
      </c>
      <c r="C123" s="1311">
        <v>11</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35</v>
      </c>
      <c r="C129" s="332"/>
      <c r="D129" s="332"/>
      <c r="E129" s="332"/>
      <c r="F129" s="332"/>
    </row>
    <row r="130" spans="1:6">
      <c r="A130" s="1310" t="s">
        <v>294</v>
      </c>
      <c r="B130" s="1311">
        <v>1</v>
      </c>
      <c r="C130" s="332"/>
      <c r="D130" s="332"/>
      <c r="E130" s="332"/>
      <c r="F130" s="332"/>
    </row>
    <row r="131" spans="1:6">
      <c r="A131" s="1310" t="s">
        <v>295</v>
      </c>
      <c r="B131" s="1311">
        <v>2</v>
      </c>
      <c r="C131" s="332"/>
      <c r="D131" s="332"/>
      <c r="E131" s="332"/>
      <c r="F131" s="332"/>
    </row>
    <row r="132" spans="1:6">
      <c r="A132" s="1305" t="s">
        <v>296</v>
      </c>
      <c r="B132" s="1306">
        <v>15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49768.28182080284</v>
      </c>
      <c r="C3" s="43" t="s">
        <v>169</v>
      </c>
      <c r="D3" s="43"/>
      <c r="E3" s="154"/>
      <c r="F3" s="43"/>
      <c r="G3" s="43"/>
      <c r="H3" s="43"/>
      <c r="I3" s="43"/>
      <c r="J3" s="43"/>
      <c r="K3" s="96"/>
    </row>
    <row r="4" spans="1:11">
      <c r="A4" s="360" t="s">
        <v>170</v>
      </c>
      <c r="B4" s="49">
        <f>IF(ISERROR('SEAP template'!B78+'SEAP template'!C78),0,'SEAP template'!B78+'SEAP template'!C78)</f>
        <v>1538.0524821758142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0.21417015604869094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400.267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400.267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0.21417015604869094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85.725245851141381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14009.278346000001</v>
      </c>
      <c r="C5" s="17">
        <f>IF(ISERROR('Eigen informatie GS &amp; warmtenet'!B59),0,'Eigen informatie GS &amp; warmtenet'!B59)</f>
        <v>0</v>
      </c>
      <c r="D5" s="30">
        <f>(SUM(HH_hh_gas_kWh,HH_rest_gas_kWh)/1000)*0.903</f>
        <v>54198.897937947186</v>
      </c>
      <c r="E5" s="17">
        <f>B46*B57</f>
        <v>325.25152250195106</v>
      </c>
      <c r="F5" s="17">
        <f>B51*B62</f>
        <v>0</v>
      </c>
      <c r="G5" s="18"/>
      <c r="H5" s="17"/>
      <c r="I5" s="17"/>
      <c r="J5" s="17">
        <f>B50*B61+C50*C61</f>
        <v>0</v>
      </c>
      <c r="K5" s="17"/>
      <c r="L5" s="17"/>
      <c r="M5" s="17"/>
      <c r="N5" s="17">
        <f>B48*B59+C48*C59</f>
        <v>2895.7681675483136</v>
      </c>
      <c r="O5" s="17">
        <f>B69*B70*B71</f>
        <v>91.26207809180346</v>
      </c>
      <c r="P5" s="17">
        <f>B77*B78*B79/1000-B77*B78*B79/1000/B80</f>
        <v>326.5527385382357</v>
      </c>
    </row>
    <row r="6" spans="1:16">
      <c r="A6" s="16" t="s">
        <v>612</v>
      </c>
      <c r="B6" s="786">
        <f>kWh_PV_kleiner_dan_10kW</f>
        <v>1463.4241616510606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15472.702507651062</v>
      </c>
      <c r="C8" s="21">
        <f>C5</f>
        <v>0</v>
      </c>
      <c r="D8" s="21">
        <f>D5</f>
        <v>54198.897937947186</v>
      </c>
      <c r="E8" s="21">
        <f>E5</f>
        <v>325.25152250195106</v>
      </c>
      <c r="F8" s="21">
        <f>F5</f>
        <v>0</v>
      </c>
      <c r="G8" s="21"/>
      <c r="H8" s="21"/>
      <c r="I8" s="21"/>
      <c r="J8" s="21">
        <f>J5</f>
        <v>0</v>
      </c>
      <c r="K8" s="21"/>
      <c r="L8" s="21">
        <f>L5</f>
        <v>0</v>
      </c>
      <c r="M8" s="21">
        <f>M5</f>
        <v>0</v>
      </c>
      <c r="N8" s="21">
        <f>N5</f>
        <v>2895.7681675483136</v>
      </c>
      <c r="O8" s="21">
        <f>O5</f>
        <v>91.26207809180346</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0.21417015604869094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3313.7911105585995</v>
      </c>
      <c r="C12" s="23">
        <f ca="1">C10*C8</f>
        <v>0</v>
      </c>
      <c r="D12" s="23">
        <f>D8*D10</f>
        <v>10948.177383465332</v>
      </c>
      <c r="E12" s="23">
        <f>E10*E8</f>
        <v>73.83209560794289</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2975</v>
      </c>
      <c r="C18" s="166" t="s">
        <v>110</v>
      </c>
      <c r="D18" s="228"/>
      <c r="E18" s="15"/>
    </row>
    <row r="19" spans="1:7">
      <c r="A19" s="171" t="s">
        <v>71</v>
      </c>
      <c r="B19" s="37">
        <f>aantalw2001_ander</f>
        <v>3</v>
      </c>
      <c r="C19" s="166" t="s">
        <v>110</v>
      </c>
      <c r="D19" s="229"/>
      <c r="E19" s="15"/>
    </row>
    <row r="20" spans="1:7">
      <c r="A20" s="171" t="s">
        <v>72</v>
      </c>
      <c r="B20" s="37">
        <f>aantalw2001_propaan</f>
        <v>8</v>
      </c>
      <c r="C20" s="167">
        <f>IF(ISERROR(B20/SUM($B$20,$B$21,$B$22)*100),0,B20/SUM($B$20,$B$21,$B$22)*100)</f>
        <v>2.547770700636943</v>
      </c>
      <c r="D20" s="229"/>
      <c r="E20" s="15"/>
    </row>
    <row r="21" spans="1:7">
      <c r="A21" s="171" t="s">
        <v>73</v>
      </c>
      <c r="B21" s="37">
        <f>aantalw2001_elektriciteit</f>
        <v>268</v>
      </c>
      <c r="C21" s="167">
        <f>IF(ISERROR(B21/SUM($B$20,$B$21,$B$22)*100),0,B21/SUM($B$20,$B$21,$B$22)*100)</f>
        <v>85.350318471337587</v>
      </c>
      <c r="D21" s="229"/>
      <c r="E21" s="15"/>
    </row>
    <row r="22" spans="1:7">
      <c r="A22" s="171" t="s">
        <v>74</v>
      </c>
      <c r="B22" s="37">
        <f>aantalw2001_hout</f>
        <v>38</v>
      </c>
      <c r="C22" s="167">
        <f>IF(ISERROR(B22/SUM($B$20,$B$21,$B$22)*100),0,B22/SUM($B$20,$B$21,$B$22)*100)</f>
        <v>12.101910828025478</v>
      </c>
      <c r="D22" s="229"/>
      <c r="E22" s="15"/>
    </row>
    <row r="23" spans="1:7">
      <c r="A23" s="171" t="s">
        <v>75</v>
      </c>
      <c r="B23" s="37">
        <f>aantalw2001_niet_gespec</f>
        <v>57</v>
      </c>
      <c r="C23" s="166" t="s">
        <v>110</v>
      </c>
      <c r="D23" s="228"/>
      <c r="E23" s="15"/>
    </row>
    <row r="24" spans="1:7">
      <c r="A24" s="171" t="s">
        <v>76</v>
      </c>
      <c r="B24" s="37">
        <f>aantalw2001_steenkool</f>
        <v>91</v>
      </c>
      <c r="C24" s="166" t="s">
        <v>110</v>
      </c>
      <c r="D24" s="229"/>
      <c r="E24" s="15"/>
    </row>
    <row r="25" spans="1:7">
      <c r="A25" s="171" t="s">
        <v>77</v>
      </c>
      <c r="B25" s="37">
        <f>aantalw2001_stookolie</f>
        <v>409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4671</v>
      </c>
      <c r="C28" s="36"/>
      <c r="D28" s="228"/>
    </row>
    <row r="29" spans="1:7" s="15" customFormat="1">
      <c r="A29" s="230" t="s">
        <v>839</v>
      </c>
      <c r="B29" s="37">
        <f>SUM(HH_hh_gas_aantal,HH_rest_gas_aantal)</f>
        <v>4285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4285</v>
      </c>
      <c r="C32" s="167">
        <f>IF(ISERROR(B32/SUM($B$32,$B$34,$B$35,$B$36,$B$38,$B$39)*100),0,B32/SUM($B$32,$B$34,$B$35,$B$36,$B$38,$B$39)*100)</f>
        <v>92.349137931034491</v>
      </c>
      <c r="D32" s="233"/>
      <c r="G32" s="15"/>
    </row>
    <row r="33" spans="1:7">
      <c r="A33" s="171" t="s">
        <v>71</v>
      </c>
      <c r="B33" s="34" t="s">
        <v>110</v>
      </c>
      <c r="C33" s="167"/>
      <c r="D33" s="233"/>
      <c r="G33" s="15"/>
    </row>
    <row r="34" spans="1:7">
      <c r="A34" s="171" t="s">
        <v>72</v>
      </c>
      <c r="B34" s="33">
        <f>IF((($B$28-$B$32-$B$39-$B$77-$B$38)*C20/100)&lt;0,0,($B$28-$B$32-$B$39-$B$77-$B$38)*C20/100)</f>
        <v>9.0445859872611489</v>
      </c>
      <c r="C34" s="167">
        <f>IF(ISERROR(B34/SUM($B$32,$B$34,$B$35,$B$36,$B$38,$B$39)*100),0,B34/SUM($B$32,$B$34,$B$35,$B$36,$B$38,$B$39)*100)</f>
        <v>0.19492642213924891</v>
      </c>
      <c r="D34" s="233"/>
      <c r="G34" s="15"/>
    </row>
    <row r="35" spans="1:7">
      <c r="A35" s="171" t="s">
        <v>73</v>
      </c>
      <c r="B35" s="33">
        <f>IF((($B$28-$B$32-$B$39-$B$77-$B$38)*C21/100)&lt;0,0,($B$28-$B$32-$B$39-$B$77-$B$38)*C21/100)</f>
        <v>302.99363057324842</v>
      </c>
      <c r="C35" s="167">
        <f>IF(ISERROR(B35/SUM($B$32,$B$34,$B$35,$B$36,$B$38,$B$39)*100),0,B35/SUM($B$32,$B$34,$B$35,$B$36,$B$38,$B$39)*100)</f>
        <v>6.5300351416648361</v>
      </c>
      <c r="D35" s="233"/>
      <c r="G35" s="15"/>
    </row>
    <row r="36" spans="1:7">
      <c r="A36" s="171" t="s">
        <v>74</v>
      </c>
      <c r="B36" s="33">
        <f>IF((($B$28-$B$32-$B$39-$B$77-$B$38)*C22/100)&lt;0,0,($B$28-$B$32-$B$39-$B$77-$B$38)*C22/100)</f>
        <v>42.961783439490446</v>
      </c>
      <c r="C36" s="167">
        <f>IF(ISERROR(B36/SUM($B$32,$B$34,$B$35,$B$36,$B$38,$B$39)*100),0,B36/SUM($B$32,$B$34,$B$35,$B$36,$B$38,$B$39)*100)</f>
        <v>0.92590050516143207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4285</v>
      </c>
      <c r="C44" s="34" t="s">
        <v>110</v>
      </c>
      <c r="D44" s="174"/>
    </row>
    <row r="45" spans="1:7">
      <c r="A45" s="171" t="s">
        <v>71</v>
      </c>
      <c r="B45" s="33" t="str">
        <f t="shared" si="0"/>
        <v>-</v>
      </c>
      <c r="C45" s="34" t="s">
        <v>110</v>
      </c>
      <c r="D45" s="174"/>
    </row>
    <row r="46" spans="1:7">
      <c r="A46" s="171" t="s">
        <v>72</v>
      </c>
      <c r="B46" s="33">
        <f t="shared" si="0"/>
        <v>9.0445859872611489</v>
      </c>
      <c r="C46" s="34" t="s">
        <v>110</v>
      </c>
      <c r="D46" s="174"/>
    </row>
    <row r="47" spans="1:7">
      <c r="A47" s="171" t="s">
        <v>73</v>
      </c>
      <c r="B47" s="33">
        <f t="shared" si="0"/>
        <v>302.99363057324842</v>
      </c>
      <c r="C47" s="34" t="s">
        <v>110</v>
      </c>
      <c r="D47" s="174"/>
    </row>
    <row r="48" spans="1:7">
      <c r="A48" s="171" t="s">
        <v>74</v>
      </c>
      <c r="B48" s="33">
        <f t="shared" si="0"/>
        <v>42.961783439490446</v>
      </c>
      <c r="C48" s="33">
        <f>B48*10</f>
        <v>429.61783439490443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9905.6179510000002</v>
      </c>
      <c r="C5" s="17">
        <f>IF(ISERROR('Eigen informatie GS &amp; warmtenet'!B60),0,'Eigen informatie GS &amp; warmtenet'!B60)</f>
        <v>0</v>
      </c>
      <c r="D5" s="30">
        <f>SUM(D6:D12)</f>
        <v>19906.769069313003</v>
      </c>
      <c r="E5" s="17">
        <f>SUM(E6:E12)</f>
        <v>21.944090345509146</v>
      </c>
      <c r="F5" s="17">
        <f>SUM(F6:F12)</f>
        <v>1123.7641986483713</v>
      </c>
      <c r="G5" s="18"/>
      <c r="H5" s="17"/>
      <c r="I5" s="17"/>
      <c r="J5" s="17">
        <f>SUM(J6:J12)</f>
        <v>4.1762065856076509E-3</v>
      </c>
      <c r="K5" s="17"/>
      <c r="L5" s="17"/>
      <c r="M5" s="17"/>
      <c r="N5" s="17">
        <f>SUM(N6:N12)</f>
        <v>155.9437009663522</v>
      </c>
      <c r="O5" s="17">
        <f>B38*B39*B40</f>
        <v>4.8972607658411542</v>
      </c>
      <c r="P5" s="17">
        <f>B46*B47*B48/1000-B46*B47*B48/1000/B49</f>
        <v>157.61741491948504</v>
      </c>
      <c r="R5" s="32"/>
    </row>
    <row r="6" spans="1:18">
      <c r="A6" s="32" t="s">
        <v>53</v>
      </c>
      <c r="B6" s="37">
        <f>B26</f>
        <v>3584.2254130000001</v>
      </c>
      <c r="C6" s="33"/>
      <c r="D6" s="37">
        <f>IF(ISERROR(TER_kantoor_gas_kWh/1000),0,TER_kantoor_gas_kWh/1000)*0.903</f>
        <v>16460.834205228002</v>
      </c>
      <c r="E6" s="33">
        <f>$C$26*'E Balans VL '!I12/100/3.6*1000000</f>
        <v>0.85869521328219245</v>
      </c>
      <c r="F6" s="33">
        <f>$C$26*('E Balans VL '!L12+'E Balans VL '!N12)/100/3.6*1000000</f>
        <v>339.88788612958126</v>
      </c>
      <c r="G6" s="34"/>
      <c r="H6" s="33"/>
      <c r="I6" s="33"/>
      <c r="J6" s="33">
        <f>$C$26*('E Balans VL '!D12+'E Balans VL '!E12)/100/3.6*1000000</f>
        <v>0</v>
      </c>
      <c r="K6" s="33"/>
      <c r="L6" s="33"/>
      <c r="M6" s="33"/>
      <c r="N6" s="33">
        <f>$C$26*'E Balans VL '!Y12/100/3.6*1000000</f>
        <v>1.8206011204189685</v>
      </c>
      <c r="O6" s="33"/>
      <c r="P6" s="33"/>
      <c r="R6" s="32"/>
    </row>
    <row r="7" spans="1:18">
      <c r="A7" s="32" t="s">
        <v>52</v>
      </c>
      <c r="B7" s="37">
        <f t="shared" ref="B7:B12" si="0">B27</f>
        <v>1420.8290049999998</v>
      </c>
      <c r="C7" s="33"/>
      <c r="D7" s="37">
        <f>IF(ISERROR(TER_horeca_gas_kWh/1000),0,TER_horeca_gas_kWh/1000)*0.903</f>
        <v>879.32559479099996</v>
      </c>
      <c r="E7" s="33">
        <f>$C$27*'E Balans VL '!I9/100/3.6*1000000</f>
        <v>0</v>
      </c>
      <c r="F7" s="33">
        <f>$C$27*('E Balans VL '!L9+'E Balans VL '!N9)/100/3.6*1000000</f>
        <v>116.50463848246311</v>
      </c>
      <c r="G7" s="34"/>
      <c r="H7" s="33"/>
      <c r="I7" s="33"/>
      <c r="J7" s="33">
        <f>$C$27*('E Balans VL '!D9+'E Balans VL '!E9)/100/3.6*1000000</f>
        <v>0</v>
      </c>
      <c r="K7" s="33"/>
      <c r="L7" s="33"/>
      <c r="M7" s="33"/>
      <c r="N7" s="33">
        <f>$C$27*'E Balans VL '!Y9/100/3.6*1000000</f>
        <v>0.43554117475568793</v>
      </c>
      <c r="O7" s="33"/>
      <c r="P7" s="33"/>
      <c r="R7" s="32"/>
    </row>
    <row r="8" spans="1:18">
      <c r="A8" s="6" t="s">
        <v>51</v>
      </c>
      <c r="B8" s="37">
        <f t="shared" si="0"/>
        <v>4276.3225300000004</v>
      </c>
      <c r="C8" s="33"/>
      <c r="D8" s="37">
        <f>IF(ISERROR(TER_handel_gas_kWh/1000),0,TER_handel_gas_kWh/1000)*0.903</f>
        <v>1016.5067071949999</v>
      </c>
      <c r="E8" s="33">
        <f>$C$28*'E Balans VL '!I13/100/3.6*1000000</f>
        <v>15.028936455604605</v>
      </c>
      <c r="F8" s="33">
        <f>$C$28*('E Balans VL '!L13+'E Balans VL '!N13)/100/3.6*1000000</f>
        <v>391.27583193644142</v>
      </c>
      <c r="G8" s="34"/>
      <c r="H8" s="33"/>
      <c r="I8" s="33"/>
      <c r="J8" s="33">
        <f>$C$28*('E Balans VL '!D13+'E Balans VL '!E13)/100/3.6*1000000</f>
        <v>0</v>
      </c>
      <c r="K8" s="33"/>
      <c r="L8" s="33"/>
      <c r="M8" s="33"/>
      <c r="N8" s="33">
        <f>$C$28*'E Balans VL '!Y13/100/3.6*1000000</f>
        <v>1.5486999177911118</v>
      </c>
      <c r="O8" s="33"/>
      <c r="P8" s="33"/>
      <c r="R8" s="32"/>
    </row>
    <row r="9" spans="1:18">
      <c r="A9" s="32" t="s">
        <v>50</v>
      </c>
      <c r="B9" s="37">
        <f t="shared" si="0"/>
        <v>141.697532</v>
      </c>
      <c r="C9" s="33"/>
      <c r="D9" s="37">
        <f>IF(ISERROR(TER_gezond_gas_kWh/1000),0,TER_gezond_gas_kWh/1000)*0.903</f>
        <v>359.18087484300003</v>
      </c>
      <c r="E9" s="33">
        <f>$C$29*'E Balans VL '!I10/100/3.6*1000000</f>
        <v>0</v>
      </c>
      <c r="F9" s="33">
        <f>$C$29*('E Balans VL '!L10+'E Balans VL '!N10)/100/3.6*1000000</f>
        <v>17.369515438748511</v>
      </c>
      <c r="G9" s="34"/>
      <c r="H9" s="33"/>
      <c r="I9" s="33"/>
      <c r="J9" s="33">
        <f>$C$29*('E Balans VL '!D10+'E Balans VL '!E10)/100/3.6*1000000</f>
        <v>0</v>
      </c>
      <c r="K9" s="33"/>
      <c r="L9" s="33"/>
      <c r="M9" s="33"/>
      <c r="N9" s="33">
        <f>$C$29*'E Balans VL '!Y10/100/3.6*1000000</f>
        <v>1.0449205558896717</v>
      </c>
      <c r="O9" s="33"/>
      <c r="P9" s="33"/>
      <c r="R9" s="32"/>
    </row>
    <row r="10" spans="1:18">
      <c r="A10" s="32" t="s">
        <v>49</v>
      </c>
      <c r="B10" s="37">
        <f t="shared" si="0"/>
        <v>422.87187699999998</v>
      </c>
      <c r="C10" s="33"/>
      <c r="D10" s="37">
        <f>IF(ISERROR(TER_ander_gas_kWh/1000),0,TER_ander_gas_kWh/1000)*0.903</f>
        <v>864.27726142799997</v>
      </c>
      <c r="E10" s="33">
        <f>$C$30*'E Balans VL '!I14/100/3.6*1000000</f>
        <v>6.0564586766223503</v>
      </c>
      <c r="F10" s="33">
        <f>$C$30*('E Balans VL '!L14+'E Balans VL '!N14)/100/3.6*1000000</f>
        <v>251.75000672856402</v>
      </c>
      <c r="G10" s="34"/>
      <c r="H10" s="33"/>
      <c r="I10" s="33"/>
      <c r="J10" s="33">
        <f>$C$30*('E Balans VL '!D14+'E Balans VL '!E14)/100/3.6*1000000</f>
        <v>4.1762065856076509E-3</v>
      </c>
      <c r="K10" s="33"/>
      <c r="L10" s="33"/>
      <c r="M10" s="33"/>
      <c r="N10" s="33">
        <f>$C$30*'E Balans VL '!Y14/100/3.6*1000000</f>
        <v>150.92590984095452</v>
      </c>
      <c r="O10" s="33"/>
      <c r="P10" s="33"/>
      <c r="R10" s="32"/>
    </row>
    <row r="11" spans="1:18">
      <c r="A11" s="32" t="s">
        <v>54</v>
      </c>
      <c r="B11" s="37">
        <f t="shared" si="0"/>
        <v>59.671593999999999</v>
      </c>
      <c r="C11" s="33"/>
      <c r="D11" s="37">
        <f>IF(ISERROR(TER_onderwijs_gas_kWh/1000),0,TER_onderwijs_gas_kWh/1000)*0.903</f>
        <v>326.64442582800001</v>
      </c>
      <c r="E11" s="33">
        <f>$C$31*'E Balans VL '!I11/100/3.6*1000000</f>
        <v>0</v>
      </c>
      <c r="F11" s="33">
        <f>$C$31*('E Balans VL '!L11+'E Balans VL '!N11)/100/3.6*1000000</f>
        <v>6.9763199325730918</v>
      </c>
      <c r="G11" s="34"/>
      <c r="H11" s="33"/>
      <c r="I11" s="33"/>
      <c r="J11" s="33">
        <f>$C$31*('E Balans VL '!D11+'E Balans VL '!E11)/100/3.6*1000000</f>
        <v>0</v>
      </c>
      <c r="K11" s="33"/>
      <c r="L11" s="33"/>
      <c r="M11" s="33"/>
      <c r="N11" s="33">
        <f>$C$31*'E Balans VL '!Y11/100/3.6*1000000</f>
        <v>0.16802835654222334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9905.6179510000002</v>
      </c>
      <c r="C16" s="21">
        <f t="shared" ca="1" si="1"/>
        <v>0</v>
      </c>
      <c r="D16" s="21">
        <f t="shared" ca="1" si="1"/>
        <v>19906.769069313003</v>
      </c>
      <c r="E16" s="21">
        <f t="shared" si="1"/>
        <v>21.944090345509146</v>
      </c>
      <c r="F16" s="21">
        <f t="shared" ca="1" si="1"/>
        <v>1123.7641986483713</v>
      </c>
      <c r="G16" s="21">
        <f t="shared" si="1"/>
        <v>0</v>
      </c>
      <c r="H16" s="21">
        <f t="shared" si="1"/>
        <v>0</v>
      </c>
      <c r="I16" s="21">
        <f t="shared" si="1"/>
        <v>0</v>
      </c>
      <c r="J16" s="21">
        <f t="shared" si="1"/>
        <v>4.1762065856076509E-3</v>
      </c>
      <c r="K16" s="21">
        <f t="shared" si="1"/>
        <v>0</v>
      </c>
      <c r="L16" s="21">
        <f t="shared" ca="1" si="1"/>
        <v>0</v>
      </c>
      <c r="M16" s="21">
        <f t="shared" si="1"/>
        <v>0</v>
      </c>
      <c r="N16" s="21">
        <f t="shared" ca="1" si="1"/>
        <v>155.9437009663522</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0.21417015604869094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2121.4877423243843</v>
      </c>
      <c r="C20" s="23">
        <f t="shared" ref="C20:P20" ca="1" si="2">C16*C18</f>
        <v>0</v>
      </c>
      <c r="D20" s="23">
        <f t="shared" ca="1" si="2"/>
        <v>4021.1673520012268</v>
      </c>
      <c r="E20" s="23">
        <f t="shared" si="2"/>
        <v>4.9813085084305762</v>
      </c>
      <c r="F20" s="23">
        <f t="shared" ca="1" si="2"/>
        <v>300.04504103911518</v>
      </c>
      <c r="G20" s="23">
        <f t="shared" si="2"/>
        <v>0</v>
      </c>
      <c r="H20" s="23">
        <f t="shared" si="2"/>
        <v>0</v>
      </c>
      <c r="I20" s="23">
        <f t="shared" si="2"/>
        <v>0</v>
      </c>
      <c r="J20" s="23">
        <f t="shared" si="2"/>
        <v>1.4783771313051084E-3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3584.2254130000001</v>
      </c>
      <c r="C26" s="39">
        <f>IF(ISERROR(B26*3.6/1000000/'E Balans VL '!Z12*100),0,B26*3.6/1000000/'E Balans VL '!Z12*100)</f>
        <v>0.10108464815605045</v>
      </c>
      <c r="D26" s="237" t="s">
        <v>702</v>
      </c>
      <c r="F26" s="6"/>
    </row>
    <row r="27" spans="1:18">
      <c r="A27" s="231" t="s">
        <v>52</v>
      </c>
      <c r="B27" s="33">
        <f>IF(ISERROR(TER_horeca_ele_kWh/1000),0,TER_horeca_ele_kWh/1000)</f>
        <v>1420.8290049999998</v>
      </c>
      <c r="C27" s="39">
        <f>IF(ISERROR(B27*3.6/1000000/'E Balans VL '!Z9*100),0,B27*3.6/1000000/'E Balans VL '!Z9*100)</f>
        <v>0.10533701629502408</v>
      </c>
      <c r="D27" s="237" t="s">
        <v>702</v>
      </c>
      <c r="F27" s="6"/>
    </row>
    <row r="28" spans="1:18">
      <c r="A28" s="171" t="s">
        <v>51</v>
      </c>
      <c r="B28" s="33">
        <f>IF(ISERROR(TER_handel_ele_kWh/1000),0,TER_handel_ele_kWh/1000)</f>
        <v>4276.3225300000004</v>
      </c>
      <c r="C28" s="39">
        <f>IF(ISERROR(B28*3.6/1000000/'E Balans VL '!Z13*100),0,B28*3.6/1000000/'E Balans VL '!Z13*100)</f>
        <v>0.1281084556623793</v>
      </c>
      <c r="D28" s="237" t="s">
        <v>702</v>
      </c>
      <c r="F28" s="6"/>
    </row>
    <row r="29" spans="1:18">
      <c r="A29" s="231" t="s">
        <v>50</v>
      </c>
      <c r="B29" s="33">
        <f>IF(ISERROR(TER_gezond_ele_kWh/1000),0,TER_gezond_ele_kWh/1000)</f>
        <v>141.697532</v>
      </c>
      <c r="C29" s="39">
        <f>IF(ISERROR(B29*3.6/1000000/'E Balans VL '!Z10*100),0,B29*3.6/1000000/'E Balans VL '!Z10*100)</f>
        <v>1.4011107502240126E-2</v>
      </c>
      <c r="D29" s="237" t="s">
        <v>702</v>
      </c>
      <c r="F29" s="6"/>
    </row>
    <row r="30" spans="1:18">
      <c r="A30" s="231" t="s">
        <v>49</v>
      </c>
      <c r="B30" s="33">
        <f>IF(ISERROR(TER_ander_ele_kWh/1000),0,TER_ander_ele_kWh/1000)</f>
        <v>422.87187699999998</v>
      </c>
      <c r="C30" s="39">
        <f>IF(ISERROR(B30*3.6/1000000/'E Balans VL '!Z14*100),0,B30*3.6/1000000/'E Balans VL '!Z14*100)</f>
        <v>1.7103917756754881E-2</v>
      </c>
      <c r="D30" s="237" t="s">
        <v>702</v>
      </c>
      <c r="F30" s="6"/>
    </row>
    <row r="31" spans="1:18">
      <c r="A31" s="231" t="s">
        <v>54</v>
      </c>
      <c r="B31" s="33">
        <f>IF(ISERROR(TER_onderwijs_ele_kWh/1000),0,TER_onderwijs_ele_kWh/1000)</f>
        <v>59.671593999999999</v>
      </c>
      <c r="C31" s="39">
        <f>IF(ISERROR(B31*3.6/1000000/'E Balans VL '!Z11*100),0,B31*3.6/1000000/'E Balans VL '!Z11*100)</f>
        <v>1.6394396587245424E-2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23064.692344000003</v>
      </c>
      <c r="C5" s="17">
        <f>IF(ISERROR('Eigen informatie GS &amp; warmtenet'!B61),0,'Eigen informatie GS &amp; warmtenet'!B61)</f>
        <v>0</v>
      </c>
      <c r="D5" s="30">
        <f>SUM(D6:D15)</f>
        <v>53059.239580556998</v>
      </c>
      <c r="E5" s="17">
        <f>SUM(E6:E15)</f>
        <v>567.07841997651178</v>
      </c>
      <c r="F5" s="17">
        <f>SUM(F6:F15)</f>
        <v>2090.8677326904494</v>
      </c>
      <c r="G5" s="18"/>
      <c r="H5" s="17"/>
      <c r="I5" s="17"/>
      <c r="J5" s="17">
        <f>SUM(J6:J15)</f>
        <v>45.815520875874675</v>
      </c>
      <c r="K5" s="17"/>
      <c r="L5" s="17"/>
      <c r="M5" s="17"/>
      <c r="N5" s="17">
        <f>SUM(N6:N15)</f>
        <v>402.93797063018928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35.821719999999999</v>
      </c>
      <c r="C8" s="33"/>
      <c r="D8" s="37">
        <f>IF( ISERROR(IND_metaal_Gas_kWH/1000),0,IND_metaal_Gas_kWH/1000)*0.903</f>
        <v>2768.7313631669999</v>
      </c>
      <c r="E8" s="33">
        <f>C30*'E Balans VL '!I18/100/3.6*1000000</f>
        <v>0.18061936238955492</v>
      </c>
      <c r="F8" s="33">
        <f>C30*'E Balans VL '!L18/100/3.6*1000000+C30*'E Balans VL '!N18/100/3.6*1000000</f>
        <v>2.4474131103305314</v>
      </c>
      <c r="G8" s="34"/>
      <c r="H8" s="33"/>
      <c r="I8" s="33"/>
      <c r="J8" s="40">
        <f>C30*'E Balans VL '!D18/100/3.6*1000000+C30*'E Balans VL '!E18/100/3.6*1000000</f>
        <v>3.1759010412080117E-2</v>
      </c>
      <c r="K8" s="33"/>
      <c r="L8" s="33"/>
      <c r="M8" s="33"/>
      <c r="N8" s="33">
        <f>C30*'E Balans VL '!Y18/100/3.6*1000000</f>
        <v>0.47607087138497506</v>
      </c>
      <c r="O8" s="33"/>
      <c r="P8" s="33"/>
      <c r="R8" s="32"/>
    </row>
    <row r="9" spans="1:18">
      <c r="A9" s="6" t="s">
        <v>32</v>
      </c>
      <c r="B9" s="37">
        <f t="shared" si="0"/>
        <v>433.05303299999997</v>
      </c>
      <c r="C9" s="33"/>
      <c r="D9" s="37">
        <f>IF( ISERROR(IND_andere_gas_kWh/1000),0,IND_andere_gas_kWh/1000)*0.903</f>
        <v>644.9855716080001</v>
      </c>
      <c r="E9" s="33">
        <f>C31*'E Balans VL '!I19/100/3.6*1000000</f>
        <v>1.3650855092012852</v>
      </c>
      <c r="F9" s="33">
        <f>C31*'E Balans VL '!L19/100/3.6*1000000+C31*'E Balans VL '!N19/100/3.6*1000000</f>
        <v>265.09685315006175</v>
      </c>
      <c r="G9" s="34"/>
      <c r="H9" s="33"/>
      <c r="I9" s="33"/>
      <c r="J9" s="40">
        <f>C31*'E Balans VL '!D19/100/3.6*1000000+C31*'E Balans VL '!E19/100/3.6*1000000</f>
        <v>0</v>
      </c>
      <c r="K9" s="33"/>
      <c r="L9" s="33"/>
      <c r="M9" s="33"/>
      <c r="N9" s="33">
        <f>C31*'E Balans VL '!Y19/100/3.6*1000000</f>
        <v>18.158501682133217</v>
      </c>
      <c r="O9" s="33"/>
      <c r="P9" s="33"/>
      <c r="R9" s="32"/>
    </row>
    <row r="10" spans="1:18">
      <c r="A10" s="6" t="s">
        <v>40</v>
      </c>
      <c r="B10" s="37">
        <f t="shared" si="0"/>
        <v>169.93964000000003</v>
      </c>
      <c r="C10" s="33"/>
      <c r="D10" s="37">
        <f>IF( ISERROR(IND_voed_gas_kWh/1000),0,IND_voed_gas_kWh/1000)*0.903</f>
        <v>308.88350303999999</v>
      </c>
      <c r="E10" s="33">
        <f>C32*'E Balans VL '!I20/100/3.6*1000000</f>
        <v>0.27083605976672298</v>
      </c>
      <c r="F10" s="33">
        <f>C32*'E Balans VL '!L20/100/3.6*1000000+C32*'E Balans VL '!N20/100/3.6*1000000</f>
        <v>2.7611063198184387</v>
      </c>
      <c r="G10" s="34"/>
      <c r="H10" s="33"/>
      <c r="I10" s="33"/>
      <c r="J10" s="40">
        <f>C32*'E Balans VL '!D20/100/3.6*1000000+C32*'E Balans VL '!E20/100/3.6*1000000</f>
        <v>0</v>
      </c>
      <c r="K10" s="33"/>
      <c r="L10" s="33"/>
      <c r="M10" s="33"/>
      <c r="N10" s="33">
        <f>C32*'E Balans VL '!Y20/100/3.6*1000000</f>
        <v>5.3675425729663448</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304.74689074200001</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22425.877951000002</v>
      </c>
      <c r="C15" s="33"/>
      <c r="D15" s="37">
        <f>IF( ISERROR(IND_rest_gas_kWh/1000),0,IND_rest_gas_kWh/1000)*0.903</f>
        <v>49031.892251999998</v>
      </c>
      <c r="E15" s="33">
        <f>C37*'E Balans VL '!I15/100/3.6*1000000</f>
        <v>565.26187904515427</v>
      </c>
      <c r="F15" s="33">
        <f>C37*'E Balans VL '!L15/100/3.6*1000000+C37*'E Balans VL '!N15/100/3.6*1000000</f>
        <v>1820.5623601102388</v>
      </c>
      <c r="G15" s="34"/>
      <c r="H15" s="33"/>
      <c r="I15" s="33"/>
      <c r="J15" s="40">
        <f>C37*'E Balans VL '!D15/100/3.6*1000000+C37*'E Balans VL '!E15/100/3.6*1000000</f>
        <v>45.783761865462594</v>
      </c>
      <c r="K15" s="33"/>
      <c r="L15" s="33"/>
      <c r="M15" s="33"/>
      <c r="N15" s="33">
        <f>C37*'E Balans VL '!Y15/100/3.6*1000000</f>
        <v>378.93585550370472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23064.692344000003</v>
      </c>
      <c r="C18" s="21">
        <f>C5+C16</f>
        <v>0</v>
      </c>
      <c r="D18" s="21">
        <f>MAX((D5+D16),0)</f>
        <v>53059.239580556998</v>
      </c>
      <c r="E18" s="21">
        <f>MAX((E5+E16),0)</f>
        <v>567.07841997651178</v>
      </c>
      <c r="F18" s="21">
        <f>MAX((F5+F16),0)</f>
        <v>2090.8677326904494</v>
      </c>
      <c r="G18" s="21"/>
      <c r="H18" s="21"/>
      <c r="I18" s="21"/>
      <c r="J18" s="21">
        <f>MAX((J5+J16),0)</f>
        <v>45.815520875874675</v>
      </c>
      <c r="K18" s="21"/>
      <c r="L18" s="21">
        <f>MAX((L5+L16),0)</f>
        <v>0</v>
      </c>
      <c r="M18" s="21"/>
      <c r="N18" s="21">
        <f>MAX((N5+N16),0)</f>
        <v>402.93797063018928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0.21417015604869094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4939.768758529528</v>
      </c>
      <c r="C22" s="23">
        <f ca="1">C18*C20</f>
        <v>0</v>
      </c>
      <c r="D22" s="23">
        <f>D18*D20</f>
        <v>10717.966395272515</v>
      </c>
      <c r="E22" s="23">
        <f>E18*E20</f>
        <v>128.72680133466818</v>
      </c>
      <c r="F22" s="23">
        <f>F18*F20</f>
        <v>558.26168462835005</v>
      </c>
      <c r="G22" s="23"/>
      <c r="H22" s="23"/>
      <c r="I22" s="23"/>
      <c r="J22" s="23">
        <f>J18*J20</f>
        <v>16.218694390059635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35.821719999999999</v>
      </c>
      <c r="C30" s="39">
        <f>IF(ISERROR(B30*3.6/1000000/'E Balans VL '!Z18*100),0,B30*3.6/1000000/'E Balans VL '!Z18*100)</f>
        <v>1.7781094476436716E-3</v>
      </c>
      <c r="D30" s="237" t="s">
        <v>702</v>
      </c>
    </row>
    <row r="31" spans="1:18">
      <c r="A31" s="6" t="s">
        <v>32</v>
      </c>
      <c r="B31" s="37">
        <f>IF( ISERROR(IND_ander_ele_kWh/1000),0,IND_ander_ele_kWh/1000)</f>
        <v>433.05303299999997</v>
      </c>
      <c r="C31" s="39">
        <f>IF(ISERROR(B31*3.6/1000000/'E Balans VL '!Z19*100),0,B31*3.6/1000000/'E Balans VL '!Z19*100)</f>
        <v>1.4613320762701986E-2</v>
      </c>
      <c r="D31" s="237" t="s">
        <v>702</v>
      </c>
    </row>
    <row r="32" spans="1:18">
      <c r="A32" s="171" t="s">
        <v>40</v>
      </c>
      <c r="B32" s="37">
        <f>IF( ISERROR(IND_voed_ele_kWh/1000),0,IND_voed_ele_kWh/1000)</f>
        <v>169.93964000000003</v>
      </c>
      <c r="C32" s="39">
        <f>IF(ISERROR(B32*3.6/1000000/'E Balans VL '!Z20*100),0,B32*3.6/1000000/'E Balans VL '!Z20*100)</f>
        <v>3.990915710511125E-3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22425.877951000002</v>
      </c>
      <c r="C37" s="39">
        <f>IF(ISERROR(B37*3.6/1000000/'E Balans VL '!Z15*100),0,B37*3.6/1000000/'E Balans VL '!Z15*100)</f>
        <v>8.4041632517317735E-2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38.731152999999999</v>
      </c>
      <c r="C5" s="17">
        <f>'Eigen informatie GS &amp; warmtenet'!B62</f>
        <v>0</v>
      </c>
      <c r="D5" s="30">
        <f>IF(ISERROR(SUM(LB_lb_gas_kWh,LB_rest_gas_kWh)/1000),0,SUM(LB_lb_gas_kWh,LB_rest_gas_kWh)/1000)*0.903</f>
        <v>84.370665414000001</v>
      </c>
      <c r="E5" s="17">
        <f>B17*'E Balans VL '!I25/3.6*1000000/100</f>
        <v>1.4444031655158671</v>
      </c>
      <c r="F5" s="17">
        <f>B17*('E Balans VL '!L25/3.6*1000000+'E Balans VL '!N25/3.6*1000000)/100</f>
        <v>125.65882663863886</v>
      </c>
      <c r="G5" s="18"/>
      <c r="H5" s="17"/>
      <c r="I5" s="17"/>
      <c r="J5" s="17">
        <f>('E Balans VL '!D25+'E Balans VL '!E25)/3.6*1000000*landbouw!B17/100</f>
        <v>10.167118874605537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38.731152999999999</v>
      </c>
      <c r="C8" s="21">
        <f>C5+C6</f>
        <v>0</v>
      </c>
      <c r="D8" s="21">
        <f>MAX((D5+D6),0)</f>
        <v>84.370665414000001</v>
      </c>
      <c r="E8" s="21">
        <f>MAX((E5+E6),0)</f>
        <v>1.4444031655158671</v>
      </c>
      <c r="F8" s="21">
        <f>MAX((F5+F6),0)</f>
        <v>125.65882663863886</v>
      </c>
      <c r="G8" s="21"/>
      <c r="H8" s="21"/>
      <c r="I8" s="21"/>
      <c r="J8" s="21">
        <f>MAX((J5+J6),0)</f>
        <v>10.167118874605537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0.21417015604869094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8.2950570819557239</v>
      </c>
      <c r="C12" s="23">
        <f ca="1">C8*C10</f>
        <v>0</v>
      </c>
      <c r="D12" s="23">
        <f>D8*D10</f>
        <v>17.042874413628002</v>
      </c>
      <c r="E12" s="23">
        <f>E8*E10</f>
        <v>0.32787951857210185</v>
      </c>
      <c r="F12" s="23">
        <f>F8*F10</f>
        <v>33.550906712516579</v>
      </c>
      <c r="G12" s="23"/>
      <c r="H12" s="23"/>
      <c r="I12" s="23"/>
      <c r="J12" s="23">
        <f>J8*J10</f>
        <v>3.5991600816103597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5.3196227948953713E-3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v>
      </c>
      <c r="C28" s="247">
        <f>B28*'GWP N2O_CH4'!B4</f>
        <v>0</v>
      </c>
      <c r="D28" s="50"/>
    </row>
    <row r="29" spans="1:4">
      <c r="A29" s="41" t="s">
        <v>276</v>
      </c>
      <c r="B29" s="247">
        <f>B34*'ha_N2O bodem landbouw'!B4</f>
        <v>2.3370083467002024E-2</v>
      </c>
      <c r="C29" s="247">
        <f>B29*'GWP N2O_CH4'!B4</f>
        <v>7.2447258747706273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5.3261087626916735E-6</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8.5126068546387951E-5</v>
      </c>
      <c r="C5" s="440" t="s">
        <v>210</v>
      </c>
      <c r="D5" s="425">
        <f>SUM(D6:D11)</f>
        <v>3.1719045338842209E-4</v>
      </c>
      <c r="E5" s="425">
        <f>SUM(E6:E11)</f>
        <v>1.7174278885410043E-4</v>
      </c>
      <c r="F5" s="438" t="s">
        <v>210</v>
      </c>
      <c r="G5" s="425">
        <f>SUM(G6:G11)</f>
        <v>8.1894539678340331E-2</v>
      </c>
      <c r="H5" s="425">
        <f>SUM(H6:H11)</f>
        <v>2.0279682412936411E-2</v>
      </c>
      <c r="I5" s="440" t="s">
        <v>210</v>
      </c>
      <c r="J5" s="440" t="s">
        <v>210</v>
      </c>
      <c r="K5" s="440" t="s">
        <v>210</v>
      </c>
      <c r="L5" s="440" t="s">
        <v>210</v>
      </c>
      <c r="M5" s="425">
        <f>SUM(M6:M11)</f>
        <v>6.020548417001787E-3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8.1245725208659752E-5</v>
      </c>
      <c r="C6" s="426"/>
      <c r="D6" s="893">
        <f>vkm_GW_PW*SUMIFS(TableVerdeelsleutelVkm[CNG],TableVerdeelsleutelVkm[Voertuigtype],"Lichte voertuigen")*SUMIFS(TableECFTransport[EnergieConsumptieFactor (PJ per km)],TableECFTransport[Index],CONCATENATE($A6,"_CNG_CNG"))</f>
        <v>2.9343476570595087E-4</v>
      </c>
      <c r="E6" s="893">
        <f>vkm_GW_PW*SUMIFS(TableVerdeelsleutelVkm[LPG],TableVerdeelsleutelVkm[Voertuigtype],"Lichte voertuigen")*SUMIFS(TableECFTransport[EnergieConsumptieFactor (PJ per km)],TableECFTransport[Index],CONCATENATE($A6,"_LPG_LPG"))</f>
        <v>1.5947426307862033E-4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4.9627408094542177E-2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1.8781981325576486E-2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4.0997637252234683E-3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2.6724452195303245E-2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2.8134282102777809E-7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1.5046285181457212E-3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3.8803433377282001E-6</v>
      </c>
      <c r="C8" s="426"/>
      <c r="D8" s="428">
        <f>vkm_NGW_PW*SUMIFS(TableVerdeelsleutelVkm[CNG],TableVerdeelsleutelVkm[Voertuigtype],"Lichte voertuigen")*SUMIFS(TableECFTransport[EnergieConsumptieFactor (PJ per km)],TableECFTransport[Index],CONCATENATE($A8,"_CNG_CNG"))</f>
        <v>2.3755687682471222E-5</v>
      </c>
      <c r="E8" s="428">
        <f>vkm_NGW_PW*SUMIFS(TableVerdeelsleutelVkm[LPG],TableVerdeelsleutelVkm[Voertuigtype],"Lichte voertuigen")*SUMIFS(TableECFTransport[EnergieConsumptieFactor (PJ per km)],TableECFTransport[Index],CONCATENATE($A8,"_LPG_LPG"))</f>
        <v>1.2268525775480098E-5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3.552968092572318E-3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1.4973893202803886E-3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3.041316522471265E-4</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1.9897112959226023E-3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3.0424258511953203E-8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1.1202452138547188E-4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23.646130151774429</v>
      </c>
      <c r="C14" s="21"/>
      <c r="D14" s="21">
        <f t="shared" ref="D14:M14" si="0">((D5)*10^9/3600)+D12</f>
        <v>88.108459274561696</v>
      </c>
      <c r="E14" s="21">
        <f t="shared" si="0"/>
        <v>47.706330237250114</v>
      </c>
      <c r="F14" s="21"/>
      <c r="G14" s="21">
        <f t="shared" si="0"/>
        <v>22748.483243983424</v>
      </c>
      <c r="H14" s="21">
        <f t="shared" si="0"/>
        <v>5633.2451147045585</v>
      </c>
      <c r="I14" s="21"/>
      <c r="J14" s="21"/>
      <c r="K14" s="21"/>
      <c r="L14" s="21"/>
      <c r="M14" s="21">
        <f t="shared" si="0"/>
        <v>1672.374560278274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0.21417015604869094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5.0642953845531853</v>
      </c>
      <c r="C18" s="23"/>
      <c r="D18" s="23">
        <f t="shared" ref="D18:M18" si="1">D14*D16</f>
        <v>17.797908773461465</v>
      </c>
      <c r="E18" s="23">
        <f t="shared" si="1"/>
        <v>10.829336963855777</v>
      </c>
      <c r="F18" s="23"/>
      <c r="G18" s="23">
        <f t="shared" si="1"/>
        <v>6073.8450261435746</v>
      </c>
      <c r="H18" s="23">
        <f t="shared" si="1"/>
        <v>1402.6780335614351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3.6009774759145135E-3</v>
      </c>
      <c r="H50" s="321">
        <f t="shared" si="2"/>
        <v>0</v>
      </c>
      <c r="I50" s="321">
        <f t="shared" si="2"/>
        <v>0</v>
      </c>
      <c r="J50" s="321">
        <f t="shared" si="2"/>
        <v>0</v>
      </c>
      <c r="K50" s="321">
        <f t="shared" si="2"/>
        <v>0</v>
      </c>
      <c r="L50" s="321">
        <f t="shared" si="2"/>
        <v>0</v>
      </c>
      <c r="M50" s="321">
        <f t="shared" si="2"/>
        <v>1.9540954752848366E-4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3.6009774759145135E-3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1.9540954752848366E-4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1000.2715210873649</v>
      </c>
      <c r="H54" s="21">
        <f t="shared" si="3"/>
        <v>0</v>
      </c>
      <c r="I54" s="21">
        <f t="shared" si="3"/>
        <v>0</v>
      </c>
      <c r="J54" s="21">
        <f t="shared" si="3"/>
        <v>0</v>
      </c>
      <c r="K54" s="21">
        <f t="shared" si="3"/>
        <v>0</v>
      </c>
      <c r="L54" s="21">
        <f t="shared" si="3"/>
        <v>0</v>
      </c>
      <c r="M54" s="21">
        <f t="shared" si="3"/>
        <v>54.280429869023244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0.21417015604869094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267.07249613032644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10305.884951</v>
      </c>
      <c r="D10" s="689">
        <f ca="1">tertiair!C16</f>
        <v>0</v>
      </c>
      <c r="E10" s="689">
        <f ca="1">tertiair!D16</f>
        <v>19906.769069313003</v>
      </c>
      <c r="F10" s="689">
        <f>tertiair!E16</f>
        <v>21.944090345509146</v>
      </c>
      <c r="G10" s="689">
        <f ca="1">tertiair!F16</f>
        <v>1123.7641986483713</v>
      </c>
      <c r="H10" s="689">
        <f>tertiair!G16</f>
        <v>0</v>
      </c>
      <c r="I10" s="689">
        <f>tertiair!H16</f>
        <v>0</v>
      </c>
      <c r="J10" s="689">
        <f>tertiair!I16</f>
        <v>0</v>
      </c>
      <c r="K10" s="689">
        <f>tertiair!J16</f>
        <v>4.1762065856076509E-3</v>
      </c>
      <c r="L10" s="689">
        <f>tertiair!K16</f>
        <v>0</v>
      </c>
      <c r="M10" s="689">
        <f ca="1">tertiair!L16</f>
        <v>0</v>
      </c>
      <c r="N10" s="689">
        <f>tertiair!M16</f>
        <v>0</v>
      </c>
      <c r="O10" s="689">
        <f ca="1">tertiair!N16</f>
        <v>155.9437009663522</v>
      </c>
      <c r="P10" s="689">
        <f>tertiair!O16</f>
        <v>4.8972607658411542</v>
      </c>
      <c r="Q10" s="690">
        <f>tertiair!P16</f>
        <v>157.61741491948504</v>
      </c>
      <c r="R10" s="692">
        <f ca="1">SUM(C10:Q10)</f>
        <v>31676.824862165147</v>
      </c>
      <c r="S10" s="67"/>
    </row>
    <row r="11" spans="1:19" s="451" customFormat="1">
      <c r="A11" s="811" t="s">
        <v>224</v>
      </c>
      <c r="B11" s="816"/>
      <c r="C11" s="689">
        <f>huishoudens!B8</f>
        <v>15472.702507651062</v>
      </c>
      <c r="D11" s="689">
        <f>huishoudens!C8</f>
        <v>0</v>
      </c>
      <c r="E11" s="689">
        <f>huishoudens!D8</f>
        <v>54198.897937947186</v>
      </c>
      <c r="F11" s="689">
        <f>huishoudens!E8</f>
        <v>325.25152250195106</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2895.7681675483136</v>
      </c>
      <c r="P11" s="689">
        <f>huishoudens!O8</f>
        <v>91.26207809180346</v>
      </c>
      <c r="Q11" s="690">
        <f>huishoudens!P8</f>
        <v>326.5527385382357</v>
      </c>
      <c r="R11" s="692">
        <f>SUM(C11:Q11)</f>
        <v>73310.434952278549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23064.692344000003</v>
      </c>
      <c r="D13" s="689">
        <f>industrie!C18</f>
        <v>0</v>
      </c>
      <c r="E13" s="689">
        <f>industrie!D18</f>
        <v>53059.239580556998</v>
      </c>
      <c r="F13" s="689">
        <f>industrie!E18</f>
        <v>567.07841997651178</v>
      </c>
      <c r="G13" s="689">
        <f>industrie!F18</f>
        <v>2090.8677326904494</v>
      </c>
      <c r="H13" s="689">
        <f>industrie!G18</f>
        <v>0</v>
      </c>
      <c r="I13" s="689">
        <f>industrie!H18</f>
        <v>0</v>
      </c>
      <c r="J13" s="689">
        <f>industrie!I18</f>
        <v>0</v>
      </c>
      <c r="K13" s="689">
        <f>industrie!J18</f>
        <v>45.815520875874675</v>
      </c>
      <c r="L13" s="689">
        <f>industrie!K18</f>
        <v>0</v>
      </c>
      <c r="M13" s="689">
        <f>industrie!L18</f>
        <v>0</v>
      </c>
      <c r="N13" s="689">
        <f>industrie!M18</f>
        <v>0</v>
      </c>
      <c r="O13" s="689">
        <f>industrie!N18</f>
        <v>402.93797063018928</v>
      </c>
      <c r="P13" s="689">
        <f>industrie!O18</f>
        <v>0</v>
      </c>
      <c r="Q13" s="690">
        <f>industrie!P18</f>
        <v>0</v>
      </c>
      <c r="R13" s="692">
        <f>SUM(C13:Q13)</f>
        <v>79230.631568730008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48843.279802651065</v>
      </c>
      <c r="D16" s="725">
        <f t="shared" ref="D16:R16" ca="1" si="0">SUM(D9:D15)</f>
        <v>0</v>
      </c>
      <c r="E16" s="725">
        <f t="shared" ca="1" si="0"/>
        <v>127164.90658781718</v>
      </c>
      <c r="F16" s="725">
        <f t="shared" si="0"/>
        <v>914.27403282397199</v>
      </c>
      <c r="G16" s="725">
        <f t="shared" ca="1" si="0"/>
        <v>3214.6319313388208</v>
      </c>
      <c r="H16" s="725">
        <f t="shared" si="0"/>
        <v>0</v>
      </c>
      <c r="I16" s="725">
        <f t="shared" si="0"/>
        <v>0</v>
      </c>
      <c r="J16" s="725">
        <f t="shared" si="0"/>
        <v>0</v>
      </c>
      <c r="K16" s="725">
        <f t="shared" si="0"/>
        <v>45.81969708246028</v>
      </c>
      <c r="L16" s="725">
        <f t="shared" si="0"/>
        <v>0</v>
      </c>
      <c r="M16" s="725">
        <f t="shared" ca="1" si="0"/>
        <v>0</v>
      </c>
      <c r="N16" s="725">
        <f t="shared" si="0"/>
        <v>0</v>
      </c>
      <c r="O16" s="725">
        <f t="shared" ca="1" si="0"/>
        <v>3454.6498391448549</v>
      </c>
      <c r="P16" s="725">
        <f t="shared" si="0"/>
        <v>96.159338857644613</v>
      </c>
      <c r="Q16" s="725">
        <f t="shared" si="0"/>
        <v>484.17015345772074</v>
      </c>
      <c r="R16" s="725">
        <f t="shared" ca="1" si="0"/>
        <v>184217.8913831737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1000.2715210873649</v>
      </c>
      <c r="I19" s="689">
        <f>transport!H54</f>
        <v>0</v>
      </c>
      <c r="J19" s="689">
        <f>transport!I54</f>
        <v>0</v>
      </c>
      <c r="K19" s="689">
        <f>transport!J54</f>
        <v>0</v>
      </c>
      <c r="L19" s="689">
        <f>transport!K54</f>
        <v>0</v>
      </c>
      <c r="M19" s="689">
        <f>transport!L54</f>
        <v>0</v>
      </c>
      <c r="N19" s="689">
        <f>transport!M54</f>
        <v>54.280429869023244</v>
      </c>
      <c r="O19" s="689">
        <f>transport!N54</f>
        <v>0</v>
      </c>
      <c r="P19" s="689">
        <f>transport!O54</f>
        <v>0</v>
      </c>
      <c r="Q19" s="690">
        <f>transport!P54</f>
        <v>0</v>
      </c>
      <c r="R19" s="692">
        <f>SUM(C19:Q19)</f>
        <v>1054.5519509563883</v>
      </c>
      <c r="S19" s="67"/>
    </row>
    <row r="20" spans="1:19" s="451" customFormat="1">
      <c r="A20" s="811" t="s">
        <v>306</v>
      </c>
      <c r="B20" s="816"/>
      <c r="C20" s="689">
        <f>transport!B14</f>
        <v>23.646130151774429</v>
      </c>
      <c r="D20" s="689">
        <f>transport!C14</f>
        <v>0</v>
      </c>
      <c r="E20" s="689">
        <f>transport!D14</f>
        <v>88.108459274561696</v>
      </c>
      <c r="F20" s="689">
        <f>transport!E14</f>
        <v>47.706330237250114</v>
      </c>
      <c r="G20" s="689">
        <f>transport!F14</f>
        <v>0</v>
      </c>
      <c r="H20" s="689">
        <f>transport!G14</f>
        <v>22748.483243983424</v>
      </c>
      <c r="I20" s="689">
        <f>transport!H14</f>
        <v>5633.2451147045585</v>
      </c>
      <c r="J20" s="689">
        <f>transport!I14</f>
        <v>0</v>
      </c>
      <c r="K20" s="689">
        <f>transport!J14</f>
        <v>0</v>
      </c>
      <c r="L20" s="689">
        <f>transport!K14</f>
        <v>0</v>
      </c>
      <c r="M20" s="689">
        <f>transport!L14</f>
        <v>0</v>
      </c>
      <c r="N20" s="689">
        <f>transport!M14</f>
        <v>1672.374560278274</v>
      </c>
      <c r="O20" s="689">
        <f>transport!N14</f>
        <v>0</v>
      </c>
      <c r="P20" s="689">
        <f>transport!O14</f>
        <v>0</v>
      </c>
      <c r="Q20" s="690">
        <f>transport!P14</f>
        <v>0</v>
      </c>
      <c r="R20" s="692">
        <f>SUM(C20:Q20)</f>
        <v>30213.563838629841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23.646130151774429</v>
      </c>
      <c r="D22" s="814">
        <f t="shared" ref="D22:R22" si="1">SUM(D18:D21)</f>
        <v>0</v>
      </c>
      <c r="E22" s="814">
        <f t="shared" si="1"/>
        <v>88.108459274561696</v>
      </c>
      <c r="F22" s="814">
        <f t="shared" si="1"/>
        <v>47.706330237250114</v>
      </c>
      <c r="G22" s="814">
        <f t="shared" si="1"/>
        <v>0</v>
      </c>
      <c r="H22" s="814">
        <f t="shared" si="1"/>
        <v>23748.754765070789</v>
      </c>
      <c r="I22" s="814">
        <f t="shared" si="1"/>
        <v>5633.2451147045585</v>
      </c>
      <c r="J22" s="814">
        <f t="shared" si="1"/>
        <v>0</v>
      </c>
      <c r="K22" s="814">
        <f t="shared" si="1"/>
        <v>0</v>
      </c>
      <c r="L22" s="814">
        <f t="shared" si="1"/>
        <v>0</v>
      </c>
      <c r="M22" s="814">
        <f t="shared" si="1"/>
        <v>0</v>
      </c>
      <c r="N22" s="814">
        <f t="shared" si="1"/>
        <v>1726.6549901472972</v>
      </c>
      <c r="O22" s="814">
        <f t="shared" si="1"/>
        <v>0</v>
      </c>
      <c r="P22" s="814">
        <f t="shared" si="1"/>
        <v>0</v>
      </c>
      <c r="Q22" s="814">
        <f t="shared" si="1"/>
        <v>0</v>
      </c>
      <c r="R22" s="814">
        <f t="shared" si="1"/>
        <v>31268.115789586231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38.731152999999999</v>
      </c>
      <c r="D24" s="689">
        <f>+landbouw!C8</f>
        <v>0</v>
      </c>
      <c r="E24" s="689">
        <f>+landbouw!D8</f>
        <v>84.370665414000001</v>
      </c>
      <c r="F24" s="689">
        <f>+landbouw!E8</f>
        <v>1.4444031655158671</v>
      </c>
      <c r="G24" s="689">
        <f>+landbouw!F8</f>
        <v>125.65882663863886</v>
      </c>
      <c r="H24" s="689">
        <f>+landbouw!G8</f>
        <v>0</v>
      </c>
      <c r="I24" s="689">
        <f>+landbouw!H8</f>
        <v>0</v>
      </c>
      <c r="J24" s="689">
        <f>+landbouw!I8</f>
        <v>0</v>
      </c>
      <c r="K24" s="689">
        <f>+landbouw!J8</f>
        <v>10.167118874605537</v>
      </c>
      <c r="L24" s="689">
        <f>+landbouw!K8</f>
        <v>0</v>
      </c>
      <c r="M24" s="689">
        <f>+landbouw!L8</f>
        <v>0</v>
      </c>
      <c r="N24" s="689">
        <f>+landbouw!M8</f>
        <v>0</v>
      </c>
      <c r="O24" s="689">
        <f>+landbouw!N8</f>
        <v>0</v>
      </c>
      <c r="P24" s="689">
        <f>+landbouw!O8</f>
        <v>0</v>
      </c>
      <c r="Q24" s="690">
        <f>+landbouw!P8</f>
        <v>0</v>
      </c>
      <c r="R24" s="692">
        <f>SUM(C24:Q24)</f>
        <v>260.37216709276026</v>
      </c>
      <c r="S24" s="67"/>
    </row>
    <row r="25" spans="1:19" s="451" customFormat="1" ht="15" thickBot="1">
      <c r="A25" s="833" t="s">
        <v>714</v>
      </c>
      <c r="B25" s="947"/>
      <c r="C25" s="948">
        <f>IF(Onbekend_ele_kWh="---",0,Onbekend_ele_kWh)/1000+IF(REST_rest_ele_kWh="---",0,REST_rest_ele_kWh)/1000</f>
        <v>862.62473499999999</v>
      </c>
      <c r="D25" s="948"/>
      <c r="E25" s="948">
        <f>IF(onbekend_gas_kWh="---",0,onbekend_gas_kWh)/1000+IF(REST_rest_gas_kWh="---",0,REST_rest_gas_kWh)/1000</f>
        <v>979.43404799999996</v>
      </c>
      <c r="F25" s="948"/>
      <c r="G25" s="948"/>
      <c r="H25" s="948"/>
      <c r="I25" s="948"/>
      <c r="J25" s="948"/>
      <c r="K25" s="948"/>
      <c r="L25" s="948"/>
      <c r="M25" s="948"/>
      <c r="N25" s="948"/>
      <c r="O25" s="948"/>
      <c r="P25" s="948"/>
      <c r="Q25" s="949"/>
      <c r="R25" s="692">
        <f>SUM(C25:Q25)</f>
        <v>1842.0587829999999</v>
      </c>
      <c r="S25" s="67"/>
    </row>
    <row r="26" spans="1:19" s="451" customFormat="1" ht="15.75" thickBot="1">
      <c r="A26" s="697" t="s">
        <v>715</v>
      </c>
      <c r="B26" s="819"/>
      <c r="C26" s="814">
        <f>SUM(C24:C25)</f>
        <v>901.35588799999994</v>
      </c>
      <c r="D26" s="814">
        <f t="shared" ref="D26:R26" si="2">SUM(D24:D25)</f>
        <v>0</v>
      </c>
      <c r="E26" s="814">
        <f t="shared" si="2"/>
        <v>1063.8047134139999</v>
      </c>
      <c r="F26" s="814">
        <f t="shared" si="2"/>
        <v>1.4444031655158671</v>
      </c>
      <c r="G26" s="814">
        <f t="shared" si="2"/>
        <v>125.65882663863886</v>
      </c>
      <c r="H26" s="814">
        <f t="shared" si="2"/>
        <v>0</v>
      </c>
      <c r="I26" s="814">
        <f t="shared" si="2"/>
        <v>0</v>
      </c>
      <c r="J26" s="814">
        <f t="shared" si="2"/>
        <v>0</v>
      </c>
      <c r="K26" s="814">
        <f t="shared" si="2"/>
        <v>10.167118874605537</v>
      </c>
      <c r="L26" s="814">
        <f t="shared" si="2"/>
        <v>0</v>
      </c>
      <c r="M26" s="814">
        <f t="shared" si="2"/>
        <v>0</v>
      </c>
      <c r="N26" s="814">
        <f t="shared" si="2"/>
        <v>0</v>
      </c>
      <c r="O26" s="814">
        <f t="shared" si="2"/>
        <v>0</v>
      </c>
      <c r="P26" s="814">
        <f t="shared" si="2"/>
        <v>0</v>
      </c>
      <c r="Q26" s="814">
        <f t="shared" si="2"/>
        <v>0</v>
      </c>
      <c r="R26" s="814">
        <f t="shared" si="2"/>
        <v>2102.4309500927602</v>
      </c>
      <c r="S26" s="67"/>
    </row>
    <row r="27" spans="1:19" s="451" customFormat="1" ht="17.25" thickTop="1" thickBot="1">
      <c r="A27" s="698" t="s">
        <v>115</v>
      </c>
      <c r="B27" s="806"/>
      <c r="C27" s="699">
        <f ca="1">C22+C16+C26</f>
        <v>49768.28182080284</v>
      </c>
      <c r="D27" s="699">
        <f t="shared" ref="D27:R27" ca="1" si="3">D22+D16+D26</f>
        <v>0</v>
      </c>
      <c r="E27" s="699">
        <f t="shared" ca="1" si="3"/>
        <v>128316.81976050575</v>
      </c>
      <c r="F27" s="699">
        <f t="shared" si="3"/>
        <v>963.42476622673792</v>
      </c>
      <c r="G27" s="699">
        <f t="shared" ca="1" si="3"/>
        <v>3340.2907579774596</v>
      </c>
      <c r="H27" s="699">
        <f t="shared" si="3"/>
        <v>23748.754765070789</v>
      </c>
      <c r="I27" s="699">
        <f t="shared" si="3"/>
        <v>5633.2451147045585</v>
      </c>
      <c r="J27" s="699">
        <f t="shared" si="3"/>
        <v>0</v>
      </c>
      <c r="K27" s="699">
        <f t="shared" si="3"/>
        <v>55.986815957065815</v>
      </c>
      <c r="L27" s="699">
        <f t="shared" si="3"/>
        <v>0</v>
      </c>
      <c r="M27" s="699">
        <f t="shared" ca="1" si="3"/>
        <v>0</v>
      </c>
      <c r="N27" s="699">
        <f t="shared" si="3"/>
        <v>1726.6549901472972</v>
      </c>
      <c r="O27" s="699">
        <f t="shared" ca="1" si="3"/>
        <v>3454.6498391448549</v>
      </c>
      <c r="P27" s="699">
        <f t="shared" si="3"/>
        <v>96.159338857644613</v>
      </c>
      <c r="Q27" s="699">
        <f t="shared" si="3"/>
        <v>484.17015345772074</v>
      </c>
      <c r="R27" s="699">
        <f t="shared" ca="1" si="3"/>
        <v>217588.43812285271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2207.2129881755254</v>
      </c>
      <c r="D40" s="689">
        <f ca="1">tertiair!C20</f>
        <v>0</v>
      </c>
      <c r="E40" s="689">
        <f ca="1">tertiair!D20</f>
        <v>4021.1673520012268</v>
      </c>
      <c r="F40" s="689">
        <f>tertiair!E20</f>
        <v>4.9813085084305762</v>
      </c>
      <c r="G40" s="689">
        <f ca="1">tertiair!F20</f>
        <v>300.04504103911518</v>
      </c>
      <c r="H40" s="689">
        <f>tertiair!G20</f>
        <v>0</v>
      </c>
      <c r="I40" s="689">
        <f>tertiair!H20</f>
        <v>0</v>
      </c>
      <c r="J40" s="689">
        <f>tertiair!I20</f>
        <v>0</v>
      </c>
      <c r="K40" s="689">
        <f>tertiair!J20</f>
        <v>1.4783771313051084E-3</v>
      </c>
      <c r="L40" s="689">
        <f>tertiair!K20</f>
        <v>0</v>
      </c>
      <c r="M40" s="689">
        <f ca="1">tertiair!L20</f>
        <v>0</v>
      </c>
      <c r="N40" s="689">
        <f>tertiair!M20</f>
        <v>0</v>
      </c>
      <c r="O40" s="689">
        <f ca="1">tertiair!N20</f>
        <v>0</v>
      </c>
      <c r="P40" s="689">
        <f>tertiair!O20</f>
        <v>0</v>
      </c>
      <c r="Q40" s="772">
        <f>tertiair!P20</f>
        <v>0</v>
      </c>
      <c r="R40" s="852">
        <f t="shared" ca="1" si="4"/>
        <v>6533.4081681014295</v>
      </c>
    </row>
    <row r="41" spans="1:18">
      <c r="A41" s="824" t="s">
        <v>224</v>
      </c>
      <c r="B41" s="831"/>
      <c r="C41" s="689">
        <f ca="1">huishoudens!B12</f>
        <v>3313.7911105585995</v>
      </c>
      <c r="D41" s="689">
        <f ca="1">huishoudens!C12</f>
        <v>0</v>
      </c>
      <c r="E41" s="689">
        <f>huishoudens!D12</f>
        <v>10948.177383465332</v>
      </c>
      <c r="F41" s="689">
        <f>huishoudens!E12</f>
        <v>73.83209560794289</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14335.800589631874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4939.768758529528</v>
      </c>
      <c r="D43" s="689">
        <f ca="1">industrie!C22</f>
        <v>0</v>
      </c>
      <c r="E43" s="689">
        <f>industrie!D22</f>
        <v>10717.966395272515</v>
      </c>
      <c r="F43" s="689">
        <f>industrie!E22</f>
        <v>128.72680133466818</v>
      </c>
      <c r="G43" s="689">
        <f>industrie!F22</f>
        <v>558.26168462835005</v>
      </c>
      <c r="H43" s="689">
        <f>industrie!G22</f>
        <v>0</v>
      </c>
      <c r="I43" s="689">
        <f>industrie!H22</f>
        <v>0</v>
      </c>
      <c r="J43" s="689">
        <f>industrie!I22</f>
        <v>0</v>
      </c>
      <c r="K43" s="689">
        <f>industrie!J22</f>
        <v>16.218694390059635</v>
      </c>
      <c r="L43" s="689">
        <f>industrie!K22</f>
        <v>0</v>
      </c>
      <c r="M43" s="689">
        <f>industrie!L22</f>
        <v>0</v>
      </c>
      <c r="N43" s="689">
        <f>industrie!M22</f>
        <v>0</v>
      </c>
      <c r="O43" s="689">
        <f>industrie!N22</f>
        <v>0</v>
      </c>
      <c r="P43" s="689">
        <f>industrie!O22</f>
        <v>0</v>
      </c>
      <c r="Q43" s="772">
        <f>industrie!P22</f>
        <v>0</v>
      </c>
      <c r="R43" s="851">
        <f t="shared" ca="1" si="4"/>
        <v>16360.942334155121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10460.772857263653</v>
      </c>
      <c r="D46" s="725">
        <f t="shared" ref="D46:Q46" ca="1" si="5">SUM(D39:D45)</f>
        <v>0</v>
      </c>
      <c r="E46" s="725">
        <f t="shared" ca="1" si="5"/>
        <v>25687.311130739072</v>
      </c>
      <c r="F46" s="725">
        <f t="shared" si="5"/>
        <v>207.54020545104163</v>
      </c>
      <c r="G46" s="725">
        <f t="shared" ca="1" si="5"/>
        <v>858.30672566746523</v>
      </c>
      <c r="H46" s="725">
        <f t="shared" si="5"/>
        <v>0</v>
      </c>
      <c r="I46" s="725">
        <f t="shared" si="5"/>
        <v>0</v>
      </c>
      <c r="J46" s="725">
        <f t="shared" si="5"/>
        <v>0</v>
      </c>
      <c r="K46" s="725">
        <f t="shared" si="5"/>
        <v>16.220172767190942</v>
      </c>
      <c r="L46" s="725">
        <f t="shared" si="5"/>
        <v>0</v>
      </c>
      <c r="M46" s="725">
        <f t="shared" ca="1" si="5"/>
        <v>0</v>
      </c>
      <c r="N46" s="725">
        <f t="shared" si="5"/>
        <v>0</v>
      </c>
      <c r="O46" s="725">
        <f t="shared" ca="1" si="5"/>
        <v>0</v>
      </c>
      <c r="P46" s="725">
        <f t="shared" si="5"/>
        <v>0</v>
      </c>
      <c r="Q46" s="725">
        <f t="shared" si="5"/>
        <v>0</v>
      </c>
      <c r="R46" s="725">
        <f ca="1">SUM(R39:R45)</f>
        <v>37230.151091888423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267.07249613032644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267.07249613032644</v>
      </c>
    </row>
    <row r="50" spans="1:18">
      <c r="A50" s="827" t="s">
        <v>306</v>
      </c>
      <c r="B50" s="837"/>
      <c r="C50" s="695">
        <f ca="1">transport!B18</f>
        <v>5.0642953845531853</v>
      </c>
      <c r="D50" s="695">
        <f>transport!C18</f>
        <v>0</v>
      </c>
      <c r="E50" s="695">
        <f>transport!D18</f>
        <v>17.797908773461465</v>
      </c>
      <c r="F50" s="695">
        <f>transport!E18</f>
        <v>10.829336963855777</v>
      </c>
      <c r="G50" s="695">
        <f>transport!F18</f>
        <v>0</v>
      </c>
      <c r="H50" s="695">
        <f>transport!G18</f>
        <v>6073.8450261435746</v>
      </c>
      <c r="I50" s="695">
        <f>transport!H18</f>
        <v>1402.6780335614351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7510.2146008268801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5.0642953845531853</v>
      </c>
      <c r="D52" s="725">
        <f t="shared" ref="D52:Q52" ca="1" si="6">SUM(D48:D51)</f>
        <v>0</v>
      </c>
      <c r="E52" s="725">
        <f t="shared" si="6"/>
        <v>17.797908773461465</v>
      </c>
      <c r="F52" s="725">
        <f t="shared" si="6"/>
        <v>10.829336963855777</v>
      </c>
      <c r="G52" s="725">
        <f t="shared" si="6"/>
        <v>0</v>
      </c>
      <c r="H52" s="725">
        <f t="shared" si="6"/>
        <v>6340.9175222739013</v>
      </c>
      <c r="I52" s="725">
        <f t="shared" si="6"/>
        <v>1402.6780335614351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7777.2870969572068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8.2950570819557239</v>
      </c>
      <c r="D54" s="695">
        <f ca="1">+landbouw!C12</f>
        <v>0</v>
      </c>
      <c r="E54" s="695">
        <f>+landbouw!D12</f>
        <v>17.042874413628002</v>
      </c>
      <c r="F54" s="695">
        <f>+landbouw!E12</f>
        <v>0.32787951857210185</v>
      </c>
      <c r="G54" s="695">
        <f>+landbouw!F12</f>
        <v>33.550906712516579</v>
      </c>
      <c r="H54" s="695">
        <f>+landbouw!G12</f>
        <v>0</v>
      </c>
      <c r="I54" s="695">
        <f>+landbouw!H12</f>
        <v>0</v>
      </c>
      <c r="J54" s="695">
        <f>+landbouw!I12</f>
        <v>0</v>
      </c>
      <c r="K54" s="695">
        <f>+landbouw!J12</f>
        <v>3.5991600816103597</v>
      </c>
      <c r="L54" s="695">
        <f>+landbouw!K12</f>
        <v>0</v>
      </c>
      <c r="M54" s="695">
        <f>+landbouw!L12</f>
        <v>0</v>
      </c>
      <c r="N54" s="695">
        <f>+landbouw!M12</f>
        <v>0</v>
      </c>
      <c r="O54" s="695">
        <f>+landbouw!N12</f>
        <v>0</v>
      </c>
      <c r="P54" s="695">
        <f>+landbouw!O12</f>
        <v>0</v>
      </c>
      <c r="Q54" s="696">
        <f>+landbouw!P12</f>
        <v>0</v>
      </c>
      <c r="R54" s="724">
        <f ca="1">SUM(C54:Q54)</f>
        <v>62.815877808282757</v>
      </c>
    </row>
    <row r="55" spans="1:18" ht="15" thickBot="1">
      <c r="A55" s="827" t="s">
        <v>714</v>
      </c>
      <c r="B55" s="837"/>
      <c r="C55" s="695">
        <f ca="1">C25*'EF ele_warmte'!B12</f>
        <v>184.74847410641067</v>
      </c>
      <c r="D55" s="695"/>
      <c r="E55" s="695">
        <f>E25*EF_CO2_aardgas</f>
        <v>197.845677696</v>
      </c>
      <c r="F55" s="695"/>
      <c r="G55" s="695"/>
      <c r="H55" s="695"/>
      <c r="I55" s="695"/>
      <c r="J55" s="695"/>
      <c r="K55" s="695"/>
      <c r="L55" s="695"/>
      <c r="M55" s="695"/>
      <c r="N55" s="695"/>
      <c r="O55" s="695"/>
      <c r="P55" s="695"/>
      <c r="Q55" s="696"/>
      <c r="R55" s="724">
        <f ca="1">SUM(C55:Q55)</f>
        <v>382.59415180241069</v>
      </c>
    </row>
    <row r="56" spans="1:18" ht="15.75" thickBot="1">
      <c r="A56" s="825" t="s">
        <v>715</v>
      </c>
      <c r="B56" s="838"/>
      <c r="C56" s="725">
        <f ca="1">SUM(C54:C55)</f>
        <v>193.04353118836639</v>
      </c>
      <c r="D56" s="725">
        <f t="shared" ref="D56:Q56" ca="1" si="7">SUM(D54:D55)</f>
        <v>0</v>
      </c>
      <c r="E56" s="725">
        <f t="shared" si="7"/>
        <v>214.88855210962799</v>
      </c>
      <c r="F56" s="725">
        <f t="shared" si="7"/>
        <v>0.32787951857210185</v>
      </c>
      <c r="G56" s="725">
        <f t="shared" si="7"/>
        <v>33.550906712516579</v>
      </c>
      <c r="H56" s="725">
        <f t="shared" si="7"/>
        <v>0</v>
      </c>
      <c r="I56" s="725">
        <f t="shared" si="7"/>
        <v>0</v>
      </c>
      <c r="J56" s="725">
        <f t="shared" si="7"/>
        <v>0</v>
      </c>
      <c r="K56" s="725">
        <f t="shared" si="7"/>
        <v>3.5991600816103597</v>
      </c>
      <c r="L56" s="725">
        <f t="shared" si="7"/>
        <v>0</v>
      </c>
      <c r="M56" s="725">
        <f t="shared" si="7"/>
        <v>0</v>
      </c>
      <c r="N56" s="725">
        <f t="shared" si="7"/>
        <v>0</v>
      </c>
      <c r="O56" s="725">
        <f t="shared" si="7"/>
        <v>0</v>
      </c>
      <c r="P56" s="725">
        <f t="shared" si="7"/>
        <v>0</v>
      </c>
      <c r="Q56" s="726">
        <f t="shared" si="7"/>
        <v>0</v>
      </c>
      <c r="R56" s="727">
        <f ca="1">SUM(R54:R55)</f>
        <v>445.41002961069347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10658.880683836573</v>
      </c>
      <c r="D61" s="733">
        <f t="shared" ref="D61:Q61" ca="1" si="8">D46+D52+D56</f>
        <v>0</v>
      </c>
      <c r="E61" s="733">
        <f t="shared" ca="1" si="8"/>
        <v>25919.997591622159</v>
      </c>
      <c r="F61" s="733">
        <f t="shared" si="8"/>
        <v>218.69742193346951</v>
      </c>
      <c r="G61" s="733">
        <f t="shared" ca="1" si="8"/>
        <v>891.85763237998185</v>
      </c>
      <c r="H61" s="733">
        <f t="shared" si="8"/>
        <v>6340.9175222739013</v>
      </c>
      <c r="I61" s="733">
        <f t="shared" si="8"/>
        <v>1402.6780335614351</v>
      </c>
      <c r="J61" s="733">
        <f t="shared" si="8"/>
        <v>0</v>
      </c>
      <c r="K61" s="733">
        <f t="shared" si="8"/>
        <v>19.819332848801302</v>
      </c>
      <c r="L61" s="733">
        <f t="shared" si="8"/>
        <v>0</v>
      </c>
      <c r="M61" s="733">
        <f t="shared" ca="1" si="8"/>
        <v>0</v>
      </c>
      <c r="N61" s="733">
        <f t="shared" si="8"/>
        <v>0</v>
      </c>
      <c r="O61" s="733">
        <f t="shared" ca="1" si="8"/>
        <v>0</v>
      </c>
      <c r="P61" s="733">
        <f t="shared" si="8"/>
        <v>0</v>
      </c>
      <c r="Q61" s="733">
        <f t="shared" si="8"/>
        <v>0</v>
      </c>
      <c r="R61" s="733">
        <f ca="1">R46+R52+R56</f>
        <v>45452.848218456318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0.21417015604869094</v>
      </c>
      <c r="D63" s="779">
        <f t="shared" ca="1" si="9"/>
        <v>0</v>
      </c>
      <c r="E63" s="973">
        <f t="shared" ca="1" si="9"/>
        <v>0.20199999999999999</v>
      </c>
      <c r="F63" s="779">
        <f t="shared" si="9"/>
        <v>0.22700000000000001</v>
      </c>
      <c r="G63" s="779">
        <f t="shared" ca="1" si="9"/>
        <v>0.26700000000000002</v>
      </c>
      <c r="H63" s="779">
        <f t="shared" si="9"/>
        <v>0.26700000000000002</v>
      </c>
      <c r="I63" s="779">
        <f t="shared" si="9"/>
        <v>0.249</v>
      </c>
      <c r="J63" s="779">
        <f t="shared" si="9"/>
        <v>0</v>
      </c>
      <c r="K63" s="779">
        <f t="shared" si="9"/>
        <v>0.35400000000000009</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1538.0524821758142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1538.0524821758142</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1538.0524821758142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1538.0524821758142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15472.702507651062</v>
      </c>
      <c r="C4" s="455">
        <f>huishoudens!C8</f>
        <v>0</v>
      </c>
      <c r="D4" s="455">
        <f>huishoudens!D8</f>
        <v>54198.897937947186</v>
      </c>
      <c r="E4" s="455">
        <f>huishoudens!E8</f>
        <v>325.25152250195106</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2895.7681675483136</v>
      </c>
      <c r="O4" s="455">
        <f>huishoudens!O8</f>
        <v>91.26207809180346</v>
      </c>
      <c r="P4" s="456">
        <f>huishoudens!P8</f>
        <v>326.5527385382357</v>
      </c>
      <c r="Q4" s="457">
        <f>SUM(B4:P4)</f>
        <v>73310.434952278549</v>
      </c>
    </row>
    <row r="5" spans="1:17">
      <c r="A5" s="454" t="s">
        <v>155</v>
      </c>
      <c r="B5" s="455">
        <f ca="1">tertiair!B16</f>
        <v>9905.6179510000002</v>
      </c>
      <c r="C5" s="455">
        <f ca="1">tertiair!C16</f>
        <v>0</v>
      </c>
      <c r="D5" s="455">
        <f ca="1">tertiair!D16</f>
        <v>19906.769069313003</v>
      </c>
      <c r="E5" s="455">
        <f>tertiair!E16</f>
        <v>21.944090345509146</v>
      </c>
      <c r="F5" s="455">
        <f ca="1">tertiair!F16</f>
        <v>1123.7641986483713</v>
      </c>
      <c r="G5" s="455">
        <f>tertiair!G16</f>
        <v>0</v>
      </c>
      <c r="H5" s="455">
        <f>tertiair!H16</f>
        <v>0</v>
      </c>
      <c r="I5" s="455">
        <f>tertiair!I16</f>
        <v>0</v>
      </c>
      <c r="J5" s="455">
        <f>tertiair!J16</f>
        <v>4.1762065856076509E-3</v>
      </c>
      <c r="K5" s="455">
        <f>tertiair!K16</f>
        <v>0</v>
      </c>
      <c r="L5" s="455">
        <f ca="1">tertiair!L16</f>
        <v>0</v>
      </c>
      <c r="M5" s="455">
        <f>tertiair!M16</f>
        <v>0</v>
      </c>
      <c r="N5" s="455">
        <f ca="1">tertiair!N16</f>
        <v>155.9437009663522</v>
      </c>
      <c r="O5" s="455">
        <f>tertiair!O16</f>
        <v>4.8972607658411542</v>
      </c>
      <c r="P5" s="456">
        <f>tertiair!P16</f>
        <v>157.61741491948504</v>
      </c>
      <c r="Q5" s="454">
        <f t="shared" ref="Q5:Q14" ca="1" si="0">SUM(B5:P5)</f>
        <v>31276.557862165148</v>
      </c>
    </row>
    <row r="6" spans="1:17">
      <c r="A6" s="454" t="s">
        <v>193</v>
      </c>
      <c r="B6" s="455">
        <f>'openbare verlichting'!B8</f>
        <v>400.267</v>
      </c>
      <c r="C6" s="455"/>
      <c r="D6" s="455"/>
      <c r="E6" s="455"/>
      <c r="F6" s="455"/>
      <c r="G6" s="455"/>
      <c r="H6" s="455"/>
      <c r="I6" s="455"/>
      <c r="J6" s="455"/>
      <c r="K6" s="455"/>
      <c r="L6" s="455"/>
      <c r="M6" s="455"/>
      <c r="N6" s="455"/>
      <c r="O6" s="455"/>
      <c r="P6" s="456"/>
      <c r="Q6" s="454">
        <f t="shared" si="0"/>
        <v>400.267</v>
      </c>
    </row>
    <row r="7" spans="1:17">
      <c r="A7" s="454" t="s">
        <v>111</v>
      </c>
      <c r="B7" s="455">
        <f>landbouw!B8</f>
        <v>38.731152999999999</v>
      </c>
      <c r="C7" s="455">
        <f>landbouw!C8</f>
        <v>0</v>
      </c>
      <c r="D7" s="455">
        <f>landbouw!D8</f>
        <v>84.370665414000001</v>
      </c>
      <c r="E7" s="455">
        <f>landbouw!E8</f>
        <v>1.4444031655158671</v>
      </c>
      <c r="F7" s="455">
        <f>landbouw!F8</f>
        <v>125.65882663863886</v>
      </c>
      <c r="G7" s="455">
        <f>landbouw!G8</f>
        <v>0</v>
      </c>
      <c r="H7" s="455">
        <f>landbouw!H8</f>
        <v>0</v>
      </c>
      <c r="I7" s="455">
        <f>landbouw!I8</f>
        <v>0</v>
      </c>
      <c r="J7" s="455">
        <f>landbouw!J8</f>
        <v>10.167118874605537</v>
      </c>
      <c r="K7" s="455">
        <f>landbouw!K8</f>
        <v>0</v>
      </c>
      <c r="L7" s="455">
        <f>landbouw!L8</f>
        <v>0</v>
      </c>
      <c r="M7" s="455">
        <f>landbouw!M8</f>
        <v>0</v>
      </c>
      <c r="N7" s="455">
        <f>landbouw!N8</f>
        <v>0</v>
      </c>
      <c r="O7" s="455">
        <f>landbouw!O8</f>
        <v>0</v>
      </c>
      <c r="P7" s="456">
        <f>landbouw!P8</f>
        <v>0</v>
      </c>
      <c r="Q7" s="454">
        <f t="shared" si="0"/>
        <v>260.37216709276026</v>
      </c>
    </row>
    <row r="8" spans="1:17">
      <c r="A8" s="454" t="s">
        <v>626</v>
      </c>
      <c r="B8" s="455">
        <f>industrie!B18</f>
        <v>23064.692344000003</v>
      </c>
      <c r="C8" s="455">
        <f>industrie!C18</f>
        <v>0</v>
      </c>
      <c r="D8" s="455">
        <f>industrie!D18</f>
        <v>53059.239580556998</v>
      </c>
      <c r="E8" s="455">
        <f>industrie!E18</f>
        <v>567.07841997651178</v>
      </c>
      <c r="F8" s="455">
        <f>industrie!F18</f>
        <v>2090.8677326904494</v>
      </c>
      <c r="G8" s="455">
        <f>industrie!G18</f>
        <v>0</v>
      </c>
      <c r="H8" s="455">
        <f>industrie!H18</f>
        <v>0</v>
      </c>
      <c r="I8" s="455">
        <f>industrie!I18</f>
        <v>0</v>
      </c>
      <c r="J8" s="455">
        <f>industrie!J18</f>
        <v>45.815520875874675</v>
      </c>
      <c r="K8" s="455">
        <f>industrie!K18</f>
        <v>0</v>
      </c>
      <c r="L8" s="455">
        <f>industrie!L18</f>
        <v>0</v>
      </c>
      <c r="M8" s="455">
        <f>industrie!M18</f>
        <v>0</v>
      </c>
      <c r="N8" s="455">
        <f>industrie!N18</f>
        <v>402.93797063018928</v>
      </c>
      <c r="O8" s="455">
        <f>industrie!O18</f>
        <v>0</v>
      </c>
      <c r="P8" s="456">
        <f>industrie!P18</f>
        <v>0</v>
      </c>
      <c r="Q8" s="454">
        <f t="shared" si="0"/>
        <v>79230.631568730008</v>
      </c>
    </row>
    <row r="9" spans="1:17" s="460" customFormat="1">
      <c r="A9" s="458" t="s">
        <v>552</v>
      </c>
      <c r="B9" s="459">
        <f>transport!B14</f>
        <v>23.646130151774429</v>
      </c>
      <c r="C9" s="459">
        <f>transport!C14</f>
        <v>0</v>
      </c>
      <c r="D9" s="459">
        <f>transport!D14</f>
        <v>88.108459274561696</v>
      </c>
      <c r="E9" s="459">
        <f>transport!E14</f>
        <v>47.706330237250114</v>
      </c>
      <c r="F9" s="459">
        <f>transport!F14</f>
        <v>0</v>
      </c>
      <c r="G9" s="459">
        <f>transport!G14</f>
        <v>22748.483243983424</v>
      </c>
      <c r="H9" s="459">
        <f>transport!H14</f>
        <v>5633.2451147045585</v>
      </c>
      <c r="I9" s="459">
        <f>transport!I14</f>
        <v>0</v>
      </c>
      <c r="J9" s="459">
        <f>transport!J14</f>
        <v>0</v>
      </c>
      <c r="K9" s="459">
        <f>transport!K14</f>
        <v>0</v>
      </c>
      <c r="L9" s="459">
        <f>transport!L14</f>
        <v>0</v>
      </c>
      <c r="M9" s="459">
        <f>transport!M14</f>
        <v>1672.374560278274</v>
      </c>
      <c r="N9" s="459">
        <f>transport!N14</f>
        <v>0</v>
      </c>
      <c r="O9" s="459">
        <f>transport!O14</f>
        <v>0</v>
      </c>
      <c r="P9" s="459">
        <f>transport!P14</f>
        <v>0</v>
      </c>
      <c r="Q9" s="458">
        <f>SUM(B9:P9)</f>
        <v>30213.563838629841</v>
      </c>
    </row>
    <row r="10" spans="1:17">
      <c r="A10" s="454" t="s">
        <v>542</v>
      </c>
      <c r="B10" s="455">
        <f>transport!B54</f>
        <v>0</v>
      </c>
      <c r="C10" s="455">
        <f>transport!C54</f>
        <v>0</v>
      </c>
      <c r="D10" s="455">
        <f>transport!D54</f>
        <v>0</v>
      </c>
      <c r="E10" s="455">
        <f>transport!E54</f>
        <v>0</v>
      </c>
      <c r="F10" s="455">
        <f>transport!F54</f>
        <v>0</v>
      </c>
      <c r="G10" s="455">
        <f>transport!G54</f>
        <v>1000.2715210873649</v>
      </c>
      <c r="H10" s="455">
        <f>transport!H54</f>
        <v>0</v>
      </c>
      <c r="I10" s="455">
        <f>transport!I54</f>
        <v>0</v>
      </c>
      <c r="J10" s="455">
        <f>transport!J54</f>
        <v>0</v>
      </c>
      <c r="K10" s="455">
        <f>transport!K54</f>
        <v>0</v>
      </c>
      <c r="L10" s="455">
        <f>transport!L54</f>
        <v>0</v>
      </c>
      <c r="M10" s="455">
        <f>transport!M54</f>
        <v>54.280429869023244</v>
      </c>
      <c r="N10" s="455">
        <f>transport!N54</f>
        <v>0</v>
      </c>
      <c r="O10" s="455">
        <f>transport!O54</f>
        <v>0</v>
      </c>
      <c r="P10" s="456">
        <f>transport!P54</f>
        <v>0</v>
      </c>
      <c r="Q10" s="454">
        <f t="shared" si="0"/>
        <v>1054.5519509563883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862.62473499999999</v>
      </c>
      <c r="C14" s="462"/>
      <c r="D14" s="462">
        <f>'SEAP template'!E25</f>
        <v>979.43404799999996</v>
      </c>
      <c r="E14" s="462"/>
      <c r="F14" s="462"/>
      <c r="G14" s="462"/>
      <c r="H14" s="462"/>
      <c r="I14" s="462"/>
      <c r="J14" s="462"/>
      <c r="K14" s="462"/>
      <c r="L14" s="462"/>
      <c r="M14" s="462"/>
      <c r="N14" s="462"/>
      <c r="O14" s="462"/>
      <c r="P14" s="463"/>
      <c r="Q14" s="454">
        <f t="shared" si="0"/>
        <v>1842.0587829999999</v>
      </c>
    </row>
    <row r="15" spans="1:17" s="466" customFormat="1">
      <c r="A15" s="464" t="s">
        <v>546</v>
      </c>
      <c r="B15" s="465">
        <f ca="1">SUM(B4:B14)</f>
        <v>49768.28182080284</v>
      </c>
      <c r="C15" s="465">
        <f t="shared" ref="C15:Q15" ca="1" si="1">SUM(C4:C14)</f>
        <v>0</v>
      </c>
      <c r="D15" s="465">
        <f t="shared" ca="1" si="1"/>
        <v>128316.81976050574</v>
      </c>
      <c r="E15" s="465">
        <f t="shared" si="1"/>
        <v>963.42476622673803</v>
      </c>
      <c r="F15" s="465">
        <f t="shared" ca="1" si="1"/>
        <v>3340.2907579774596</v>
      </c>
      <c r="G15" s="465">
        <f t="shared" si="1"/>
        <v>23748.754765070789</v>
      </c>
      <c r="H15" s="465">
        <f t="shared" si="1"/>
        <v>5633.2451147045585</v>
      </c>
      <c r="I15" s="465">
        <f t="shared" si="1"/>
        <v>0</v>
      </c>
      <c r="J15" s="465">
        <f t="shared" si="1"/>
        <v>55.986815957065822</v>
      </c>
      <c r="K15" s="465">
        <f t="shared" si="1"/>
        <v>0</v>
      </c>
      <c r="L15" s="465">
        <f t="shared" ca="1" si="1"/>
        <v>0</v>
      </c>
      <c r="M15" s="465">
        <f t="shared" si="1"/>
        <v>1726.6549901472972</v>
      </c>
      <c r="N15" s="465">
        <f t="shared" ca="1" si="1"/>
        <v>3454.6498391448549</v>
      </c>
      <c r="O15" s="465">
        <f t="shared" si="1"/>
        <v>96.159338857644613</v>
      </c>
      <c r="P15" s="465">
        <f t="shared" si="1"/>
        <v>484.17015345772074</v>
      </c>
      <c r="Q15" s="465">
        <f t="shared" ca="1" si="1"/>
        <v>217588.43812285268</v>
      </c>
    </row>
    <row r="17" spans="1:17">
      <c r="A17" s="467" t="s">
        <v>547</v>
      </c>
      <c r="B17" s="784">
        <f ca="1">huishoudens!B10</f>
        <v>0.21417015604869094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3313.7911105585995</v>
      </c>
      <c r="C22" s="455">
        <f t="shared" ref="C22:C32" ca="1" si="3">C4*$C$17</f>
        <v>0</v>
      </c>
      <c r="D22" s="455">
        <f t="shared" ref="D22:D32" si="4">D4*$D$17</f>
        <v>10948.177383465332</v>
      </c>
      <c r="E22" s="455">
        <f t="shared" ref="E22:E32" si="5">E4*$E$17</f>
        <v>73.83209560794289</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14335.800589631874</v>
      </c>
    </row>
    <row r="23" spans="1:17">
      <c r="A23" s="454" t="s">
        <v>155</v>
      </c>
      <c r="B23" s="455">
        <f t="shared" ca="1" si="2"/>
        <v>2121.4877423243843</v>
      </c>
      <c r="C23" s="455">
        <f t="shared" ca="1" si="3"/>
        <v>0</v>
      </c>
      <c r="D23" s="455">
        <f t="shared" ca="1" si="4"/>
        <v>4021.1673520012268</v>
      </c>
      <c r="E23" s="455">
        <f t="shared" si="5"/>
        <v>4.9813085084305762</v>
      </c>
      <c r="F23" s="455">
        <f t="shared" ca="1" si="6"/>
        <v>300.04504103911518</v>
      </c>
      <c r="G23" s="455">
        <f t="shared" si="7"/>
        <v>0</v>
      </c>
      <c r="H23" s="455">
        <f t="shared" si="8"/>
        <v>0</v>
      </c>
      <c r="I23" s="455">
        <f t="shared" si="9"/>
        <v>0</v>
      </c>
      <c r="J23" s="455">
        <f t="shared" si="10"/>
        <v>1.4783771313051084E-3</v>
      </c>
      <c r="K23" s="455">
        <f t="shared" si="11"/>
        <v>0</v>
      </c>
      <c r="L23" s="455">
        <f t="shared" ca="1" si="12"/>
        <v>0</v>
      </c>
      <c r="M23" s="455">
        <f t="shared" si="13"/>
        <v>0</v>
      </c>
      <c r="N23" s="455">
        <f t="shared" ca="1" si="14"/>
        <v>0</v>
      </c>
      <c r="O23" s="455">
        <f t="shared" si="15"/>
        <v>0</v>
      </c>
      <c r="P23" s="456">
        <f t="shared" si="16"/>
        <v>0</v>
      </c>
      <c r="Q23" s="454">
        <f t="shared" ref="Q23:Q31" ca="1" si="17">SUM(B23:P23)</f>
        <v>6447.6829222502884</v>
      </c>
    </row>
    <row r="24" spans="1:17">
      <c r="A24" s="454" t="s">
        <v>193</v>
      </c>
      <c r="B24" s="455">
        <f t="shared" ca="1" si="2"/>
        <v>85.725245851141381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85.725245851141381</v>
      </c>
    </row>
    <row r="25" spans="1:17">
      <c r="A25" s="454" t="s">
        <v>111</v>
      </c>
      <c r="B25" s="455">
        <f t="shared" ca="1" si="2"/>
        <v>8.2950570819557239</v>
      </c>
      <c r="C25" s="455">
        <f t="shared" ca="1" si="3"/>
        <v>0</v>
      </c>
      <c r="D25" s="455">
        <f t="shared" si="4"/>
        <v>17.042874413628002</v>
      </c>
      <c r="E25" s="455">
        <f t="shared" si="5"/>
        <v>0.32787951857210185</v>
      </c>
      <c r="F25" s="455">
        <f t="shared" si="6"/>
        <v>33.550906712516579</v>
      </c>
      <c r="G25" s="455">
        <f t="shared" si="7"/>
        <v>0</v>
      </c>
      <c r="H25" s="455">
        <f t="shared" si="8"/>
        <v>0</v>
      </c>
      <c r="I25" s="455">
        <f t="shared" si="9"/>
        <v>0</v>
      </c>
      <c r="J25" s="455">
        <f t="shared" si="10"/>
        <v>3.5991600816103597</v>
      </c>
      <c r="K25" s="455">
        <f t="shared" si="11"/>
        <v>0</v>
      </c>
      <c r="L25" s="455">
        <f t="shared" si="12"/>
        <v>0</v>
      </c>
      <c r="M25" s="455">
        <f t="shared" si="13"/>
        <v>0</v>
      </c>
      <c r="N25" s="455">
        <f t="shared" si="14"/>
        <v>0</v>
      </c>
      <c r="O25" s="455">
        <f t="shared" si="15"/>
        <v>0</v>
      </c>
      <c r="P25" s="456">
        <f t="shared" si="16"/>
        <v>0</v>
      </c>
      <c r="Q25" s="454">
        <f t="shared" ca="1" si="17"/>
        <v>62.815877808282757</v>
      </c>
    </row>
    <row r="26" spans="1:17">
      <c r="A26" s="454" t="s">
        <v>626</v>
      </c>
      <c r="B26" s="455">
        <f t="shared" ca="1" si="2"/>
        <v>4939.768758529528</v>
      </c>
      <c r="C26" s="455">
        <f t="shared" ca="1" si="3"/>
        <v>0</v>
      </c>
      <c r="D26" s="455">
        <f t="shared" si="4"/>
        <v>10717.966395272515</v>
      </c>
      <c r="E26" s="455">
        <f t="shared" si="5"/>
        <v>128.72680133466818</v>
      </c>
      <c r="F26" s="455">
        <f t="shared" si="6"/>
        <v>558.26168462835005</v>
      </c>
      <c r="G26" s="455">
        <f t="shared" si="7"/>
        <v>0</v>
      </c>
      <c r="H26" s="455">
        <f t="shared" si="8"/>
        <v>0</v>
      </c>
      <c r="I26" s="455">
        <f t="shared" si="9"/>
        <v>0</v>
      </c>
      <c r="J26" s="455">
        <f t="shared" si="10"/>
        <v>16.218694390059635</v>
      </c>
      <c r="K26" s="455">
        <f t="shared" si="11"/>
        <v>0</v>
      </c>
      <c r="L26" s="455">
        <f t="shared" si="12"/>
        <v>0</v>
      </c>
      <c r="M26" s="455">
        <f t="shared" si="13"/>
        <v>0</v>
      </c>
      <c r="N26" s="455">
        <f t="shared" si="14"/>
        <v>0</v>
      </c>
      <c r="O26" s="455">
        <f t="shared" si="15"/>
        <v>0</v>
      </c>
      <c r="P26" s="456">
        <f t="shared" si="16"/>
        <v>0</v>
      </c>
      <c r="Q26" s="454">
        <f t="shared" ca="1" si="17"/>
        <v>16360.942334155121</v>
      </c>
    </row>
    <row r="27" spans="1:17" s="460" customFormat="1">
      <c r="A27" s="458" t="s">
        <v>552</v>
      </c>
      <c r="B27" s="778">
        <f t="shared" ca="1" si="2"/>
        <v>5.0642953845531853</v>
      </c>
      <c r="C27" s="459">
        <f t="shared" ca="1" si="3"/>
        <v>0</v>
      </c>
      <c r="D27" s="459">
        <f t="shared" si="4"/>
        <v>17.797908773461465</v>
      </c>
      <c r="E27" s="459">
        <f t="shared" si="5"/>
        <v>10.829336963855777</v>
      </c>
      <c r="F27" s="459">
        <f t="shared" si="6"/>
        <v>0</v>
      </c>
      <c r="G27" s="459">
        <f t="shared" si="7"/>
        <v>6073.8450261435746</v>
      </c>
      <c r="H27" s="459">
        <f t="shared" si="8"/>
        <v>1402.6780335614351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7510.2146008268801</v>
      </c>
    </row>
    <row r="28" spans="1:17" ht="16.5" customHeight="1">
      <c r="A28" s="454" t="s">
        <v>542</v>
      </c>
      <c r="B28" s="455">
        <f t="shared" ca="1" si="2"/>
        <v>0</v>
      </c>
      <c r="C28" s="455">
        <f t="shared" ca="1" si="3"/>
        <v>0</v>
      </c>
      <c r="D28" s="455">
        <f t="shared" si="4"/>
        <v>0</v>
      </c>
      <c r="E28" s="455">
        <f t="shared" si="5"/>
        <v>0</v>
      </c>
      <c r="F28" s="455">
        <f t="shared" si="6"/>
        <v>0</v>
      </c>
      <c r="G28" s="455">
        <f t="shared" si="7"/>
        <v>267.07249613032644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267.07249613032644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184.74847410641067</v>
      </c>
      <c r="C32" s="455">
        <f t="shared" ca="1" si="3"/>
        <v>0</v>
      </c>
      <c r="D32" s="455">
        <f t="shared" si="4"/>
        <v>197.845677696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382.59415180241069</v>
      </c>
    </row>
    <row r="33" spans="1:17" s="466" customFormat="1">
      <c r="A33" s="464" t="s">
        <v>546</v>
      </c>
      <c r="B33" s="465">
        <f ca="1">SUM(B22:B32)</f>
        <v>10658.880683836573</v>
      </c>
      <c r="C33" s="465">
        <f t="shared" ref="C33:Q33" ca="1" si="19">SUM(C22:C32)</f>
        <v>0</v>
      </c>
      <c r="D33" s="465">
        <f t="shared" ca="1" si="19"/>
        <v>25919.997591622163</v>
      </c>
      <c r="E33" s="465">
        <f t="shared" si="19"/>
        <v>218.69742193346951</v>
      </c>
      <c r="F33" s="465">
        <f t="shared" ca="1" si="19"/>
        <v>891.85763237998185</v>
      </c>
      <c r="G33" s="465">
        <f t="shared" si="19"/>
        <v>6340.9175222739013</v>
      </c>
      <c r="H33" s="465">
        <f t="shared" si="19"/>
        <v>1402.6780335614351</v>
      </c>
      <c r="I33" s="465">
        <f t="shared" si="19"/>
        <v>0</v>
      </c>
      <c r="J33" s="465">
        <f t="shared" si="19"/>
        <v>19.819332848801299</v>
      </c>
      <c r="K33" s="465">
        <f t="shared" si="19"/>
        <v>0</v>
      </c>
      <c r="L33" s="465">
        <f t="shared" ca="1" si="19"/>
        <v>0</v>
      </c>
      <c r="M33" s="465">
        <f t="shared" si="19"/>
        <v>0</v>
      </c>
      <c r="N33" s="465">
        <f t="shared" ca="1" si="19"/>
        <v>0</v>
      </c>
      <c r="O33" s="465">
        <f t="shared" si="19"/>
        <v>0</v>
      </c>
      <c r="P33" s="465">
        <f t="shared" si="19"/>
        <v>0</v>
      </c>
      <c r="Q33" s="465">
        <f t="shared" ca="1" si="19"/>
        <v>45452.848218456333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1538.0524821758142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1538.0524821758142</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0.21417015604869094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0.21417015604869094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2020-06-20T15:17:17Z</dcterms:modified>
</cp:coreProperties>
</file>