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4" i="18"/>
  <c r="V34" i="18"/>
  <c r="U34" i="18"/>
  <c r="T34" i="18"/>
  <c r="S34" i="18"/>
  <c r="R34" i="18"/>
  <c r="Q34" i="18"/>
  <c r="P34" i="18"/>
  <c r="D6" i="17" s="1"/>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9" i="20"/>
  <c r="C10" i="17"/>
  <c r="C12" i="17" s="1"/>
  <c r="D54" i="14" s="1"/>
  <c r="D56" i="14" s="1"/>
  <c r="C17" i="49"/>
  <c r="C18" i="15"/>
  <c r="C20" i="15" s="1"/>
  <c r="D40" i="14" s="1"/>
  <c r="C10" i="13"/>
  <c r="C12" i="13" s="1"/>
  <c r="D41" i="14" s="1"/>
  <c r="D46" i="14" s="1"/>
  <c r="D61" i="14" s="1"/>
  <c r="D63" i="14" s="1"/>
  <c r="C17" i="19"/>
  <c r="C19" i="19" s="1"/>
  <c r="D39" i="14" s="1"/>
  <c r="C20" i="16"/>
  <c r="C22" i="16" s="1"/>
  <c r="D43"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<sst xmlns="http://schemas.openxmlformats.org/spreadsheetml/2006/main" count="2420" uniqueCount="894">
  <si>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</si>
  <si>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</si>
  <si>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</si>
  <si>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</si>
  <si>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</si>
  <si>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</si>
  <si>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</si>
  <si>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</si>
  <si>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</si>
  <si>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</si>
  <si>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</si>
  <si>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</si>
  <si>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</si>
  <si>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</si>
  <si>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</si>
  <si>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</si>
  <si>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</si>
  <si>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</si>
  <si>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</si>
  <si>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</si>
  <si>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</si>
  <si>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</si>
  <si>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</si>
  <si>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</si>
  <si>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</si>
  <si>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</si>
  <si>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</si>
  <si>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</si>
  <si>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</si>
  <si>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</si>
  <si>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</si>
  <si>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</si>
  <si>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</si>
  <si>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</si>
  <si>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</si>
  <si>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</si>
  <si>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</si>
  <si>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</si>
  <si>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</si>
  <si>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</si>
  <si>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</si>
  <si>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</si>
  <si>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</si>
  <si>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</si>
  <si>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</si>
  <si>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</si>
  <si>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</si>
  <si>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</si>
  <si>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</si>
  <si>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</si>
  <si>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</si>
  <si>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</si>
  <si>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</si>
  <si>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</si>
  <si>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</si>
  <si>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</si>
  <si>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</si>
  <si>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</si>
  <si>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</si>
  <si>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</si>
  <si>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</si>
  <si>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</si>
  <si>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</si>
  <si>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</si>
  <si>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</si>
  <si>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</si>
  <si>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</si>
  <si>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</si>
  <si>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</si>
  <si>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</si>
  <si>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</si>
  <si>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</si>
  <si>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</si>
  <si>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</si>
  <si>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</si>
  <si>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</si>
  <si>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</si>
  <si>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</si>
  <si>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</si>
  <si>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</si>
  <si>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</si>
  <si>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</si>
  <si>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</si>
  <si>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</si>
  <si>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</si>
  <si>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</si>
  <si>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</si>
  <si>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</si>
  <si>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</si>
  <si>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</si>
  <si>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</si>
  <si>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</si>
  <si>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</si>
  <si>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</si>
  <si>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</si>
  <si>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</si>
  <si>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</si>
  <si>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</si>
  <si>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</si>
  <si>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</si>
  <si>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</si>
  <si>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</si>
  <si>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</si>
  <si>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</si>
  <si>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</si>
  <si>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</si>
  <si>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</si>
  <si>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</si>
  <si>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</si>
  <si>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</si>
  <si>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</si>
  <si>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</si>
  <si>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</si>
  <si>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</si>
  <si>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</si>
  <si>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</si>
  <si>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</si>
  <si>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</si>
  <si>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</si>
  <si>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</si>
  <si>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</si>
  <si>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</si>
  <si>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</si>
  <si>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</si>
  <si>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</si>
  <si>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</si>
  <si>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</si>
  <si>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</si>
  <si>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</si>
  <si>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</si>
  <si>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</si>
  <si>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</si>
  <si>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</si>
  <si>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</si>
  <si>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</si>
  <si>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</si>
  <si>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</si>
  <si>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</si>
  <si>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</si>
  <si>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</si>
  <si>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</si>
  <si>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</si>
  <si>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</si>
  <si>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</si>
  <si>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</si>
  <si>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</si>
  <si>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</si>
  <si>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</si>
  <si>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</si>
  <si>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</si>
  <si>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</si>
  <si>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</si>
  <si>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</si>
  <si>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</si>
  <si>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</si>
  <si>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</si>
  <si>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</si>
  <si>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</si>
  <si>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</si>
  <si>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</si>
  <si>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</si>
  <si>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</si>
  <si>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</si>
  <si>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</si>
  <si>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</si>
  <si>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</si>
  <si>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</si>
  <si>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</si>
  <si>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</si>
  <si>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</si>
  <si>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</si>
  <si>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</si>
  <si>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</si>
  <si>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</si>
  <si>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</si>
  <si>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</si>
  <si>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</si>
  <si>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</si>
  <si>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</si>
  <si>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</si>
  <si>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</si>
  <si>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</si>
  <si>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</si>
  <si>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</si>
  <si>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</si>
  <si>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</si>
  <si>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</si>
  <si>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</si>
  <si>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</si>
  <si>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</si>
  <si>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</si>
  <si>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</si>
  <si>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</si>
  <si>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</si>
  <si>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</si>
  <si>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</si>
  <si>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</si>
  <si>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</si>
  <si>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</si>
  <si>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</si>
  <si>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</si>
  <si>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</si>
  <si>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</si>
  <si>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</si>
  <si>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</si>
  <si>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</si>
  <si>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</si>
  <si>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</si>
  <si>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</si>
  <si>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</si>
  <si>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</si>
  <si>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</si>
  <si>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</si>
  <si>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</si>
  <si>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</si>
  <si>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</si>
  <si>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</si>
  <si>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</si>
  <si>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</si>
  <si>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</si>
  <si>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</si>
  <si>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</si>
  <si>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</si>
  <si>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</si>
  <si>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</si>
  <si>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</si>
  <si>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</si>
  <si>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</si>
  <si>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</si>
  <si>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</si>
  <si>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</si>
  <si>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</si>
  <si>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</si>
  <si>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</si>
  <si>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</si>
  <si>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</si>
  <si>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</si>
  <si>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</si>
  <si>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</si>
  <si>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</si>
  <si>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</si>
  <si>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</si>
  <si>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</si>
  <si>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</si>
  <si>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</si>
  <si>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</si>
  <si>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</si>
  <si>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</si>
  <si>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</si>
  <si>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</si>
  <si>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</si>
  <si>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</si>
  <si>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</si>
  <si>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</si>
  <si>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</si>
  <si>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</si>
  <si>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</si>
  <si>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</si>
  <si>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</si>
  <si>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</si>
  <si>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</si>
  <si>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</si>
  <si>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</si>
  <si>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</si>
  <si>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</si>
  <si>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</si>
  <si>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</si>
  <si>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</si>
  <si>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</si>
  <si>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</si>
  <si>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</si>
  <si>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</si>
  <si>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</si>
  <si>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</si>
  <si>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</si>
  <si>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</si>
  <si>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</si>
  <si>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</si>
  <si>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</si>
  <si>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</si>
  <si>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</si>
  <si>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</si>
  <si>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</si>
  <si>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</si>
  <si>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</si>
  <si>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</si>
  <si>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</si>
  <si>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</si>
  <si>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</si>
  <si>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</si>
  <si>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</si>
  <si>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</si>
  <si>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</si>
  <si>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</si>
  <si>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</si>
  <si>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</si>
  <si>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</si>
  <si>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</si>
  <si>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</si>
  <si>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</si>
  <si>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</si>
  <si>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</si>
  <si>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</si>
  <si>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</si>
  <si>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</si>
  <si>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</si>
  <si>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</si>
  <si>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</si>
  <si>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</si>
  <si>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</si>
  <si>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</si>
  <si>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</si>
  <si>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</si>
  <si>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</si>
  <si>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</si>
  <si>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</si>
  <si>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</si>
  <si>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</si>
  <si>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</si>
  <si>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</si>
  <si>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</si>
  <si>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</si>
  <si>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</si>
  <si>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</si>
  <si>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</si>
  <si>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</si>
  <si>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</si>
  <si>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</si>
  <si>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</si>
  <si>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</si>
  <si>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</si>
  <si>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</si>
  <si>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</si>
  <si>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</si>
  <si>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</si>
  <si>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</si>
  <si>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</si>
  <si>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</si>
  <si>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</si>
  <si>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</si>
  <si>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</si>
  <si>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</si>
  <si>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</si>
  <si>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</si>
  <si>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</si>
  <si>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</si>
  <si>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</si>
  <si>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</si>
  <si>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</si>
  <si>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</si>
  <si>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</si>
  <si>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</si>
  <si>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</si>
  <si>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</si>
  <si>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</si>
  <si>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</si>
  <si>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</si>
  <si>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</si>
  <si>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</si>
  <si>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</si>
  <si>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</si>
  <si>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</si>
  <si>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</si>
  <si>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</si>
  <si>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</si>
  <si>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</si>
  <si>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</si>
  <si>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</si>
  <si>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</si>
  <si>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</si>
  <si>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</si>
  <si>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</si>
  <si>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</si>
  <si>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</si>
  <si>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</si>
  <si>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</si>
  <si>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</si>
  <si>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</si>
  <si>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</si>
  <si>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</si>
  <si>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</si>
  <si>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</si>
  <si>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</si>
  <si>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</si>
  <si>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</si>
  <si>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</si>
  <si>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</si>
  <si>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</si>
  <si>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</si>
  <si>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</si>
  <si>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</si>
  <si>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</si>
  <si>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</si>
  <si>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</si>
  <si>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</si>
  <si>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</si>
  <si>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</si>
  <si>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</si>
  <si>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</si>
  <si>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</si>
  <si>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</si>
  <si>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</si>
  <si>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</si>
  <si>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</si>
  <si>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</si>
  <si>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</si>
  <si>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</si>
  <si>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</si>
  <si>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</si>
  <si>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</si>
  <si>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</si>
  <si>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</si>
  <si>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</si>
  <si>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</si>
  <si>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</si>
  <si>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</si>
  <si>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</si>
  <si>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</si>
  <si>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</si>
  <si>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</si>
  <si>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</si>
  <si>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</si>
  <si>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</si>
  <si>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</si>
  <si>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</si>
  <si>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</si>
  <si>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</si>
  <si>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</si>
  <si>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</si>
  <si>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</si>
  <si>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</si>
  <si>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</si>
  <si>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</si>
  <si>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</si>
  <si>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</si>
  <si>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</si>
  <si>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</si>
  <si>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</si>
  <si>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</si>
  <si>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</si>
  <si>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</si>
  <si>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</si>
  <si>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</si>
  <si>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</si>
  <si>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</si>
  <si>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</si>
  <si>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</si>
  <si>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</si>
  <si>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</si>
  <si>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</si>
  <si>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</si>
  <si>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</si>
  <si>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</si>
  <si>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</si>
  <si>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</si>
  <si>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</si>
  <si>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</si>
  <si>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</si>
  <si>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</si>
  <si>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</si>
  <si>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</si>
  <si>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</si>
  <si>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</si>
  <si>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</si>
  <si>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</si>
  <si>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</si>
  <si>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</si>
  <si>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</si>
  <si>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</si>
  <si>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</si>
  <si>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</si>
  <si>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</si>
  <si>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</si>
  <si>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</si>
  <si>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</si>
  <si>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</si>
  <si>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</si>
  <si>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</si>
  <si>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</si>
  <si>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</si>
  <si>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</si>
  <si>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</si>
  <si>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</si>
  <si>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</si>
  <si>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</si>
  <si>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</si>
  <si>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</si>
  <si>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</si>
  <si>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</si>
  <si>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</si>
  <si>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</si>
  <si>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</si>
  <si>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</si>
  <si>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</si>
  <si>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</si>
  <si>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</si>
  <si>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</si>
  <si>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</si>
  <si>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</si>
  <si>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</si>
  <si>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</si>
  <si>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</si>
  <si>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</si>
  <si>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</si>
  <si>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</si>
  <si>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</si>
  <si>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</si>
  <si>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</si>
  <si>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</si>
  <si>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</si>
  <si>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</si>
  <si>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</si>
  <si>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</si>
  <si>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</si>
  <si>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</si>
  <si>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</si>
  <si>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</si>
  <si>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</si>
  <si>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</si>
  <si>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</si>
  <si>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</si>
  <si>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</si>
  <si>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</si>
  <si>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</si>
  <si>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</si>
  <si>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</si>
  <si>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</si>
  <si>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</si>
  <si>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</si>
  <si>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</si>
  <si>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</si>
  <si>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</si>
  <si>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</si>
  <si>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</si>
  <si>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</si>
  <si>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</si>
  <si>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</si>
  <si>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</si>
  <si>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</si>
  <si>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</si>
  <si>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</si>
  <si>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</si>
  <si>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</si>
  <si>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</si>
  <si>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</si>
  <si>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</si>
  <si>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</si>
  <si>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</si>
  <si>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</si>
  <si>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</si>
  <si>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</si>
  <si>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</si>
  <si>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</si>
  <si>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</si>
  <si>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</si>
  <si>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</si>
  <si>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</si>
  <si>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</si>
  <si>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</si>
  <si>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</si>
  <si>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</si>
  <si>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</si>
  <si>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</si>
  <si>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</si>
  <si>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</si>
  <si>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</si>
  <si>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</si>
  <si>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</si>
  <si>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</si>
  <si>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</si>
  <si>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</si>
  <si>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</si>
  <si>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</si>
  <si>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</si>
  <si>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</si>
  <si>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</si>
  <si>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</si>
  <si>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</si>
  <si>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</si>
  <si>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</si>
  <si>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</si>
  <si>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</si>
  <si>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</si>
  <si>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</si>
  <si>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</si>
  <si>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</si>
  <si>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</si>
  <si>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</si>
  <si>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</si>
  <si>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</si>
  <si>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</si>
  <si>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</si>
  <si>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</si>
  <si>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</si>
  <si>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</si>
  <si>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</si>
  <si>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</si>
  <si>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</si>
  <si>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</si>
  <si>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</si>
  <si>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</si>
  <si>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</si>
  <si>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</si>
  <si>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</si>
  <si>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</si>
  <si>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</si>
  <si>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</si>
  <si>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</si>
  <si>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</si>
  <si>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</si>
  <si>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</si>
  <si>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</si>
  <si>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</si>
  <si>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</si>
  <si>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</si>
  <si>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</si>
  <si>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</si>
  <si>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</si>
  <si>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</si>
  <si>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</si>
  <si>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</si>
  <si>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</si>
  <si>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</si>
  <si>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</si>
  <si>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</si>
  <si>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</si>
  <si>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</si>
  <si>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</si>
  <si>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</si>
  <si>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</si>
  <si>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</si>
  <si>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</si>
  <si>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</si>
  <si>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</si>
  <si>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</si>
  <si>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</si>
  <si>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</si>
  <si>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</si>
  <si>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</si>
  <si>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</si>
  <si>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</si>
  <si>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</si>
  <si>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</si>
  <si>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</si>
  <si>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</si>
  <si>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</si>
  <si>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</si>
  <si>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</si>
  <si>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</si>
  <si>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</si>
  <si>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</si>
  <si>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</si>
  <si>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</si>
  <si>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</si>
  <si>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</si>
  <si>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</si>
  <si>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</si>
  <si>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</si>
  <si>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</si>
  <si>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</si>
  <si>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</si>
  <si>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</si>
  <si>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</si>
  <si>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</si>
  <si>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</si>
  <si>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</si>
  <si>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</si>
  <si>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</si>
  <si>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</si>
  <si>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</si>
  <si>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</si>
  <si>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</si>
  <si>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</si>
  <si>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</si>
  <si>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</si>
  <si>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</si>
  <si>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</si>
  <si>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</si>
  <si>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</si>
  <si>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</si>
  <si>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</si>
  <si>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</si>
  <si>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</si>
  <si>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</si>
  <si>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</si>
  <si>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</si>
  <si>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</si>
  <si>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</si>
  <si>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</si>
  <si>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</si>
  <si>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</si>
  <si>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</si>
  <si>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</si>
  <si>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</si>
  <si>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</si>
  <si>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</si>
  <si>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</si>
  <si>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</si>
  <si>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</si>
  <si>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</si>
  <si>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</si>
  <si>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</si>
  <si>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</si>
  <si>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</si>
  <si>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</si>
  <si>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</si>
  <si>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</si>
  <si>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</si>
  <si>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</si>
  <si>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</si>
  <si>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</si>
  <si>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</si>
  <si>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</si>
  <si>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</si>
  <si>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</si>
  <si>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</si>
  <si>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</si>
  <si>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</si>
  <si>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</si>
  <si>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</si>
  <si>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</si>
  <si>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</si>
  <si>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</si>
  <si>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</si>
  <si>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</si>
  <si>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</si>
  <si>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</si>
  <si>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</si>
  <si>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</si>
  <si>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</si>
  <si>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</si>
  <si>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</si>
  <si>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</si>
  <si>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</si>
  <si>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</si>
  <si>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</si>
  <si>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</si>
  <si>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</si>
  <si>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</si>
  <si>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</si>
  <si>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</si>
  <si>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</si>
  <si>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</si>
  <si>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</si>
  <si>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</si>
  <si>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</si>
  <si>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</si>
  <si>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</si>
  <si>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</si>
  <si>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</si>
  <si>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</si>
  <si>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</si>
  <si>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</si>
  <si>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</si>
  <si>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</si>
  <si>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</si>
  <si>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</si>
  <si>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</si>
  <si>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</si>
  <si>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</si>
  <si>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</si>
  <si>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</si>
  <si>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</si>
  <si>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</si>
  <si>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</si>
  <si>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</si>
  <si>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</si>
  <si>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</si>
  <si>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</si>
  <si>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</si>
  <si>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</si>
  <si>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</si>
  <si>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</si>
  <si>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</si>
  <si>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</si>
  <si>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</si>
  <si>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</si>
  <si>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</si>
  <si>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</si>
  <si>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</si>
  <si>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</si>
  <si>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</si>
  <si>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</si>
  <si>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</si>
  <si>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</si>
  <si>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</si>
  <si>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</si>
  <si>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</si>
  <si>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</si>
  <si>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</si>
  <si>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</si>
  <si>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</si>
  <si>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</si>
  <si>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</si>
  <si>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</si>
  <si>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</si>
  <si>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</si>
  <si>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</si>
  <si>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</si>
  <si>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</si>
  <si>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</si>
  <si>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</si>
  <si>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</si>
  <si>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</si>
  <si>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</si>
  <si>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</si>
  <si>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</si>
  <si>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</si>
  <si>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</si>
  <si>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</si>
  <si>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</si>
  <si>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</si>
  <si>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</si>
  <si>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</si>
  <si>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</si>
  <si>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</si>
  <si>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</si>
  <si>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</si>
  <si>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</si>
  <si>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</si>
  <si>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</si>
  <si>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</si>
  <si>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</si>
  <si>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</si>
  <si>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</si>
  <si>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</si>
  <si>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</si>
  <si>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</si>
  <si>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</si>
  <si>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</si>
  <si>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</si>
  <si>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</si>
  <si>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</si>
  <si>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</si>
  <si>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</si>
  <si>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</si>
  <si>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</si>
  <si>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</si>
  <si>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</si>
  <si>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</si>
  <si>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</si>
  <si>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</si>
  <si>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</si>
  <si>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</si>
  <si>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</si>
  <si>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</si>
  <si>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</si>
  <si>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</si>
  <si>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</si>
  <si>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</si>
  <si>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</si>
  <si>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</si>
  <si>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</si>
  <si>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</si>
  <si>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</si>
  <si>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</si>
  <si>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</si>
  <si>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</si>
  <si>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</si>
  <si>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</si>
  <si>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</si>
  <si>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</si>
  <si>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11009</t>
  </si>
  <si>
    <t>BRECHT</t>
  </si>
  <si>
    <t>referentietaak LNE (2017); Jaarverslag De Lijn</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</si>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</sst>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230256.90975409391</c:v>
                </c:pt>
                <c:pt idx="1">
                  <c:v>83967.972557827961</c:v>
                </c:pt>
                <c:pt idx="2">
                  <c:v>1223.152</c:v>
                </c:pt>
                <c:pt idx="3">
                  <c:v>30116.438731368245</c:v>
                </c:pt>
                <c:pt idx="4">
                  <c:v>69403.118680113315</c:v>
                </c:pt>
                <c:pt idx="5">
                  <c:v>372915.94416842202</c:v>
                </c:pt>
                <c:pt idx="6">
                  <c:v>3283.7662510282335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230256.90975409391</c:v>
                </c:pt>
                <c:pt idx="1">
                  <c:v>83967.972557827961</c:v>
                </c:pt>
                <c:pt idx="2">
                  <c:v>1223.152</c:v>
                </c:pt>
                <c:pt idx="3">
                  <c:v>30116.438731368245</c:v>
                </c:pt>
                <c:pt idx="4">
                  <c:v>69403.118680113315</c:v>
                </c:pt>
                <c:pt idx="5">
                  <c:v>372915.94416842202</c:v>
                </c:pt>
                <c:pt idx="6">
                  <c:v>3283.7662510282335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37099.030211101992</c:v>
                </c:pt>
                <c:pt idx="1">
                  <c:v>15038.777778482572</c:v>
                </c:pt>
                <c:pt idx="2">
                  <c:v>187.53202616695182</c:v>
                </c:pt>
                <c:pt idx="3">
                  <c:v>7330.4893626926441</c:v>
                </c:pt>
                <c:pt idx="4">
                  <c:v>13284.099081321267</c:v>
                </c:pt>
                <c:pt idx="5">
                  <c:v>93041.529847268175</c:v>
                </c:pt>
                <c:pt idx="6">
                  <c:v>831.63626844108285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37099.030211101992</c:v>
                </c:pt>
                <c:pt idx="1">
                  <c:v>15038.777778482572</c:v>
                </c:pt>
                <c:pt idx="2">
                  <c:v>187.53202616695182</c:v>
                </c:pt>
                <c:pt idx="3">
                  <c:v>7330.4893626926441</c:v>
                </c:pt>
                <c:pt idx="4">
                  <c:v>13284.099081321267</c:v>
                </c:pt>
                <c:pt idx="5">
                  <c:v>93041.529847268175</c:v>
                </c:pt>
                <c:pt idx="6">
                  <c:v>831.63626844108285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11009</v>
      </c>
      <c r="B6" s="392"/>
      <c r="C6" s="393"/>
    </row>
    <row r="7" spans="1:7" s="390" customFormat="1" ht="15.75" customHeight="1">
      <c r="A7" s="394" t="str">
        <f>txtMunicipality</f>
        <v>BRECHT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0.15331866045017448</v>
      </c>
      <c r="C17" s="504">
        <f ca="1">'EF ele_warmte'!B22</f>
        <v>0.2337675965707724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0.15331866045017448</v>
      </c>
      <c r="C29" s="505">
        <f ca="1">'EF ele_warmte'!B22</f>
        <v>0.2337675965707724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11654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4469.58</v>
      </c>
      <c r="C14" s="332"/>
      <c r="D14" s="332"/>
      <c r="E14" s="332"/>
      <c r="F14" s="332"/>
    </row>
    <row r="15" spans="1:6">
      <c r="A15" s="1310" t="s">
        <v>183</v>
      </c>
      <c r="B15" s="1311">
        <v>7126</v>
      </c>
      <c r="C15" s="332"/>
      <c r="D15" s="332"/>
      <c r="E15" s="332"/>
      <c r="F15" s="332"/>
    </row>
    <row r="16" spans="1:6">
      <c r="A16" s="1310" t="s">
        <v>6</v>
      </c>
      <c r="B16" s="1311">
        <v>5016</v>
      </c>
      <c r="C16" s="332"/>
      <c r="D16" s="332"/>
      <c r="E16" s="332"/>
      <c r="F16" s="332"/>
    </row>
    <row r="17" spans="1:6">
      <c r="A17" s="1310" t="s">
        <v>7</v>
      </c>
      <c r="B17" s="1311">
        <v>759</v>
      </c>
      <c r="C17" s="332"/>
      <c r="D17" s="332"/>
      <c r="E17" s="332"/>
      <c r="F17" s="332"/>
    </row>
    <row r="18" spans="1:6">
      <c r="A18" s="1310" t="s">
        <v>8</v>
      </c>
      <c r="B18" s="1311">
        <v>2657</v>
      </c>
      <c r="C18" s="332"/>
      <c r="D18" s="332"/>
      <c r="E18" s="332"/>
      <c r="F18" s="332"/>
    </row>
    <row r="19" spans="1:6">
      <c r="A19" s="1310" t="s">
        <v>9</v>
      </c>
      <c r="B19" s="1311">
        <v>2488</v>
      </c>
      <c r="C19" s="332"/>
      <c r="D19" s="332"/>
      <c r="E19" s="332"/>
      <c r="F19" s="332"/>
    </row>
    <row r="20" spans="1:6">
      <c r="A20" s="1310" t="s">
        <v>10</v>
      </c>
      <c r="B20" s="1311">
        <v>1544</v>
      </c>
      <c r="C20" s="332"/>
      <c r="D20" s="332"/>
      <c r="E20" s="332"/>
      <c r="F20" s="332"/>
    </row>
    <row r="21" spans="1:6">
      <c r="A21" s="1310" t="s">
        <v>11</v>
      </c>
      <c r="B21" s="1311">
        <v>8645</v>
      </c>
      <c r="C21" s="332"/>
      <c r="D21" s="332"/>
      <c r="E21" s="332"/>
      <c r="F21" s="332"/>
    </row>
    <row r="22" spans="1:6">
      <c r="A22" s="1310" t="s">
        <v>12</v>
      </c>
      <c r="B22" s="1311">
        <v>36022</v>
      </c>
      <c r="C22" s="332"/>
      <c r="D22" s="332"/>
      <c r="E22" s="332"/>
      <c r="F22" s="332"/>
    </row>
    <row r="23" spans="1:6">
      <c r="A23" s="1310" t="s">
        <v>13</v>
      </c>
      <c r="B23" s="1311">
        <v>820</v>
      </c>
      <c r="C23" s="332"/>
      <c r="D23" s="332"/>
      <c r="E23" s="332"/>
      <c r="F23" s="332"/>
    </row>
    <row r="24" spans="1:6">
      <c r="A24" s="1310" t="s">
        <v>14</v>
      </c>
      <c r="B24" s="1311">
        <v>26</v>
      </c>
      <c r="C24" s="332"/>
      <c r="D24" s="332"/>
      <c r="E24" s="332"/>
      <c r="F24" s="332"/>
    </row>
    <row r="25" spans="1:6">
      <c r="A25" s="1310" t="s">
        <v>15</v>
      </c>
      <c r="B25" s="1311">
        <v>2693</v>
      </c>
      <c r="C25" s="332"/>
      <c r="D25" s="332"/>
      <c r="E25" s="332"/>
      <c r="F25" s="332"/>
    </row>
    <row r="26" spans="1:6">
      <c r="A26" s="1310" t="s">
        <v>16</v>
      </c>
      <c r="B26" s="1311">
        <v>172</v>
      </c>
      <c r="C26" s="332"/>
      <c r="D26" s="332"/>
      <c r="E26" s="332"/>
      <c r="F26" s="332"/>
    </row>
    <row r="27" spans="1:6">
      <c r="A27" s="1310" t="s">
        <v>17</v>
      </c>
      <c r="B27" s="1311">
        <v>2776</v>
      </c>
      <c r="C27" s="332"/>
      <c r="D27" s="332"/>
      <c r="E27" s="332"/>
      <c r="F27" s="332"/>
    </row>
    <row r="28" spans="1:6" s="43" customFormat="1">
      <c r="A28" s="1312" t="s">
        <v>18</v>
      </c>
      <c r="B28" s="1313">
        <v>744882</v>
      </c>
      <c r="C28" s="338"/>
      <c r="D28" s="338"/>
      <c r="E28" s="338"/>
      <c r="F28" s="338"/>
    </row>
    <row r="29" spans="1:6">
      <c r="A29" s="1312" t="s">
        <v>699</v>
      </c>
      <c r="B29" s="1313">
        <v>656</v>
      </c>
      <c r="C29" s="338"/>
      <c r="D29" s="338"/>
      <c r="E29" s="338"/>
      <c r="F29" s="338"/>
    </row>
    <row r="30" spans="1:6">
      <c r="A30" s="1305" t="s">
        <v>700</v>
      </c>
      <c r="B30" s="1314">
        <v>170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6</v>
      </c>
      <c r="F35" s="1311">
        <v>47956.576978932302</v>
      </c>
    </row>
    <row r="36" spans="1:6">
      <c r="A36" s="1310" t="s">
        <v>24</v>
      </c>
      <c r="B36" s="1310" t="s">
        <v>26</v>
      </c>
      <c r="C36" s="1311">
        <v>0</v>
      </c>
      <c r="D36" s="1311">
        <v>0</v>
      </c>
      <c r="E36" s="1311">
        <v>10</v>
      </c>
      <c r="F36" s="1311">
        <v>94307.226577134003</v>
      </c>
    </row>
    <row r="37" spans="1:6">
      <c r="A37" s="1310" t="s">
        <v>24</v>
      </c>
      <c r="B37" s="1310" t="s">
        <v>27</v>
      </c>
      <c r="C37" s="1311">
        <v>0</v>
      </c>
      <c r="D37" s="1311">
        <v>0</v>
      </c>
      <c r="E37" s="1311">
        <v>0</v>
      </c>
      <c r="F37" s="1311">
        <v>0</v>
      </c>
    </row>
    <row r="38" spans="1:6">
      <c r="A38" s="1310" t="s">
        <v>24</v>
      </c>
      <c r="B38" s="1310" t="s">
        <v>28</v>
      </c>
      <c r="C38" s="1311">
        <v>2</v>
      </c>
      <c r="D38" s="1311">
        <v>44478.5008663275</v>
      </c>
      <c r="E38" s="1311">
        <v>0</v>
      </c>
      <c r="F38" s="1311">
        <v>0</v>
      </c>
    </row>
    <row r="39" spans="1:6">
      <c r="A39" s="1310" t="s">
        <v>29</v>
      </c>
      <c r="B39" s="1310" t="s">
        <v>30</v>
      </c>
      <c r="C39" s="1311">
        <v>8023</v>
      </c>
      <c r="D39" s="1311">
        <v>138720866.761379</v>
      </c>
      <c r="E39" s="1311">
        <v>11319</v>
      </c>
      <c r="F39" s="1311">
        <v>49635366.784276202</v>
      </c>
    </row>
    <row r="40" spans="1:6">
      <c r="A40" s="1310" t="s">
        <v>29</v>
      </c>
      <c r="B40" s="1310" t="s">
        <v>28</v>
      </c>
      <c r="C40" s="1311">
        <v>0</v>
      </c>
      <c r="D40" s="1311">
        <v>0</v>
      </c>
      <c r="E40" s="1311">
        <v>0</v>
      </c>
      <c r="F40" s="1311">
        <v>0</v>
      </c>
    </row>
    <row r="41" spans="1:6">
      <c r="A41" s="1310" t="s">
        <v>31</v>
      </c>
      <c r="B41" s="1310" t="s">
        <v>32</v>
      </c>
      <c r="C41" s="1311">
        <v>139</v>
      </c>
      <c r="D41" s="1311">
        <v>3541998.8142723399</v>
      </c>
      <c r="E41" s="1311">
        <v>304</v>
      </c>
      <c r="F41" s="1311">
        <v>23833671.657872502</v>
      </c>
    </row>
    <row r="42" spans="1:6">
      <c r="A42" s="1310" t="s">
        <v>31</v>
      </c>
      <c r="B42" s="1310" t="s">
        <v>33</v>
      </c>
      <c r="C42" s="1311">
        <v>3</v>
      </c>
      <c r="D42" s="1311">
        <v>101674.235462588</v>
      </c>
      <c r="E42" s="1311">
        <v>5</v>
      </c>
      <c r="F42" s="1311">
        <v>40844.684082063999</v>
      </c>
    </row>
    <row r="43" spans="1:6">
      <c r="A43" s="1310" t="s">
        <v>31</v>
      </c>
      <c r="B43" s="1310" t="s">
        <v>34</v>
      </c>
      <c r="C43" s="1311">
        <v>0</v>
      </c>
      <c r="D43" s="1311">
        <v>0</v>
      </c>
      <c r="E43" s="1311">
        <v>0</v>
      </c>
      <c r="F43" s="1311">
        <v>0</v>
      </c>
    </row>
    <row r="44" spans="1:6">
      <c r="A44" s="1310" t="s">
        <v>31</v>
      </c>
      <c r="B44" s="1310" t="s">
        <v>35</v>
      </c>
      <c r="C44" s="1311">
        <v>20</v>
      </c>
      <c r="D44" s="1311">
        <v>892436.79979595903</v>
      </c>
      <c r="E44" s="1311">
        <v>53</v>
      </c>
      <c r="F44" s="1311">
        <v>1612461.67028777</v>
      </c>
    </row>
    <row r="45" spans="1:6">
      <c r="A45" s="1310" t="s">
        <v>31</v>
      </c>
      <c r="B45" s="1310" t="s">
        <v>36</v>
      </c>
      <c r="C45" s="1311">
        <v>3</v>
      </c>
      <c r="D45" s="1311">
        <v>21184180.035608198</v>
      </c>
      <c r="E45" s="1311">
        <v>16</v>
      </c>
      <c r="F45" s="1311">
        <v>2100037.5073066601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22862.600882717099</v>
      </c>
      <c r="E48" s="1311">
        <v>3</v>
      </c>
      <c r="F48" s="1311">
        <v>17443.556786100999</v>
      </c>
    </row>
    <row r="49" spans="1:6">
      <c r="A49" s="1310" t="s">
        <v>31</v>
      </c>
      <c r="B49" s="1310" t="s">
        <v>39</v>
      </c>
      <c r="C49" s="1311">
        <v>5</v>
      </c>
      <c r="D49" s="1311">
        <v>53729.4108403387</v>
      </c>
      <c r="E49" s="1311">
        <v>5</v>
      </c>
      <c r="F49" s="1311">
        <v>3720.0999144633001</v>
      </c>
    </row>
    <row r="50" spans="1:6">
      <c r="A50" s="1310" t="s">
        <v>31</v>
      </c>
      <c r="B50" s="1310" t="s">
        <v>40</v>
      </c>
      <c r="C50" s="1311">
        <v>11</v>
      </c>
      <c r="D50" s="1311">
        <v>843995.40392711898</v>
      </c>
      <c r="E50" s="1311">
        <v>14</v>
      </c>
      <c r="F50" s="1311">
        <v>1410273.0983915699</v>
      </c>
    </row>
    <row r="51" spans="1:6">
      <c r="A51" s="1310" t="s">
        <v>41</v>
      </c>
      <c r="B51" s="1310" t="s">
        <v>42</v>
      </c>
      <c r="C51" s="1311">
        <v>24</v>
      </c>
      <c r="D51" s="1311">
        <v>12228793.2653515</v>
      </c>
      <c r="E51" s="1311">
        <v>210</v>
      </c>
      <c r="F51" s="1311">
        <v>4946261.5099296104</v>
      </c>
    </row>
    <row r="52" spans="1:6">
      <c r="A52" s="1310" t="s">
        <v>41</v>
      </c>
      <c r="B52" s="1310" t="s">
        <v>28</v>
      </c>
      <c r="C52" s="1311">
        <v>0</v>
      </c>
      <c r="D52" s="1311">
        <v>0</v>
      </c>
      <c r="E52" s="1311">
        <v>0</v>
      </c>
      <c r="F52" s="1311">
        <v>0</v>
      </c>
    </row>
    <row r="53" spans="1:6">
      <c r="A53" s="1310" t="s">
        <v>43</v>
      </c>
      <c r="B53" s="1310" t="s">
        <v>44</v>
      </c>
      <c r="C53" s="1311">
        <v>164</v>
      </c>
      <c r="D53" s="1311">
        <v>2782192.13541327</v>
      </c>
      <c r="E53" s="1311">
        <v>366</v>
      </c>
      <c r="F53" s="1311">
        <v>1158176.8273139601</v>
      </c>
    </row>
    <row r="54" spans="1:6">
      <c r="A54" s="1310" t="s">
        <v>45</v>
      </c>
      <c r="B54" s="1310" t="s">
        <v>46</v>
      </c>
      <c r="C54" s="1311">
        <v>0</v>
      </c>
      <c r="D54" s="1311">
        <v>0</v>
      </c>
      <c r="E54" s="1311">
        <v>1</v>
      </c>
      <c r="F54" s="1311">
        <v>1223152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101</v>
      </c>
      <c r="D57" s="1311">
        <v>5700030.6760757603</v>
      </c>
      <c r="E57" s="1311">
        <v>260</v>
      </c>
      <c r="F57" s="1311">
        <v>4537277.0375641799</v>
      </c>
    </row>
    <row r="58" spans="1:6">
      <c r="A58" s="1310" t="s">
        <v>48</v>
      </c>
      <c r="B58" s="1310" t="s">
        <v>50</v>
      </c>
      <c r="C58" s="1311">
        <v>43</v>
      </c>
      <c r="D58" s="1311">
        <v>3013031.81152514</v>
      </c>
      <c r="E58" s="1311">
        <v>104</v>
      </c>
      <c r="F58" s="1311">
        <v>1228151.3747733</v>
      </c>
    </row>
    <row r="59" spans="1:6">
      <c r="A59" s="1310" t="s">
        <v>48</v>
      </c>
      <c r="B59" s="1310" t="s">
        <v>51</v>
      </c>
      <c r="C59" s="1311">
        <v>198</v>
      </c>
      <c r="D59" s="1311">
        <v>8787347.6266942509</v>
      </c>
      <c r="E59" s="1311">
        <v>349</v>
      </c>
      <c r="F59" s="1311">
        <v>10891213.184428399</v>
      </c>
    </row>
    <row r="60" spans="1:6">
      <c r="A60" s="1310" t="s">
        <v>48</v>
      </c>
      <c r="B60" s="1310" t="s">
        <v>52</v>
      </c>
      <c r="C60" s="1311">
        <v>82</v>
      </c>
      <c r="D60" s="1311">
        <v>10611698.7473145</v>
      </c>
      <c r="E60" s="1311">
        <v>119</v>
      </c>
      <c r="F60" s="1311">
        <v>3943013.33726777</v>
      </c>
    </row>
    <row r="61" spans="1:6">
      <c r="A61" s="1310" t="s">
        <v>48</v>
      </c>
      <c r="B61" s="1310" t="s">
        <v>53</v>
      </c>
      <c r="C61" s="1311">
        <v>225</v>
      </c>
      <c r="D61" s="1311">
        <v>8867151.5454235207</v>
      </c>
      <c r="E61" s="1311">
        <v>523</v>
      </c>
      <c r="F61" s="1311">
        <v>6839563.1244105399</v>
      </c>
    </row>
    <row r="62" spans="1:6">
      <c r="A62" s="1310" t="s">
        <v>48</v>
      </c>
      <c r="B62" s="1310" t="s">
        <v>54</v>
      </c>
      <c r="C62" s="1311">
        <v>9</v>
      </c>
      <c r="D62" s="1311">
        <v>832058.46204737097</v>
      </c>
      <c r="E62" s="1311">
        <v>16</v>
      </c>
      <c r="F62" s="1311">
        <v>161788.392355394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3</v>
      </c>
      <c r="D66" s="1311">
        <v>101538.92342792801</v>
      </c>
      <c r="E66" s="1311">
        <v>22</v>
      </c>
      <c r="F66" s="1311">
        <v>255375.16720808001</v>
      </c>
    </row>
    <row r="67" spans="1:6">
      <c r="A67" s="1312" t="s">
        <v>55</v>
      </c>
      <c r="B67" s="1312" t="s">
        <v>58</v>
      </c>
      <c r="C67" s="1311">
        <v>0</v>
      </c>
      <c r="D67" s="1311">
        <v>0</v>
      </c>
      <c r="E67" s="1311">
        <v>0</v>
      </c>
      <c r="F67" s="1311">
        <v>0</v>
      </c>
    </row>
    <row r="68" spans="1:6">
      <c r="A68" s="1305" t="s">
        <v>55</v>
      </c>
      <c r="B68" s="1305" t="s">
        <v>59</v>
      </c>
      <c r="C68" s="1314">
        <v>10</v>
      </c>
      <c r="D68" s="1314">
        <v>374721.60972330603</v>
      </c>
      <c r="E68" s="1314">
        <v>35</v>
      </c>
      <c r="F68" s="1314">
        <v>300680.14943978802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120112099</v>
      </c>
      <c r="E73" s="453"/>
      <c r="F73" s="332"/>
    </row>
    <row r="74" spans="1:6">
      <c r="A74" s="1310" t="s">
        <v>63</v>
      </c>
      <c r="B74" s="1310" t="s">
        <v>648</v>
      </c>
      <c r="C74" s="1324" t="s">
        <v>650</v>
      </c>
      <c r="D74" s="1325">
        <v>9863426.4980341494</v>
      </c>
      <c r="E74" s="453"/>
      <c r="F74" s="332"/>
    </row>
    <row r="75" spans="1:6">
      <c r="A75" s="1310" t="s">
        <v>64</v>
      </c>
      <c r="B75" s="1310" t="s">
        <v>647</v>
      </c>
      <c r="C75" s="1324" t="s">
        <v>651</v>
      </c>
      <c r="D75" s="1325">
        <v>16962251</v>
      </c>
      <c r="E75" s="453"/>
      <c r="F75" s="332"/>
    </row>
    <row r="76" spans="1:6">
      <c r="A76" s="1310" t="s">
        <v>64</v>
      </c>
      <c r="B76" s="1310" t="s">
        <v>648</v>
      </c>
      <c r="C76" s="1324" t="s">
        <v>652</v>
      </c>
      <c r="D76" s="1325">
        <v>325701.498034149</v>
      </c>
      <c r="E76" s="453"/>
      <c r="F76" s="332"/>
    </row>
    <row r="77" spans="1:6">
      <c r="A77" s="1310" t="s">
        <v>65</v>
      </c>
      <c r="B77" s="1310" t="s">
        <v>647</v>
      </c>
      <c r="C77" s="1324" t="s">
        <v>653</v>
      </c>
      <c r="D77" s="1325">
        <v>185913905</v>
      </c>
      <c r="E77" s="453"/>
      <c r="F77" s="332"/>
    </row>
    <row r="78" spans="1:6">
      <c r="A78" s="1305" t="s">
        <v>65</v>
      </c>
      <c r="B78" s="1305" t="s">
        <v>648</v>
      </c>
      <c r="C78" s="1305" t="s">
        <v>654</v>
      </c>
      <c r="D78" s="1326">
        <v>49361559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910837.003931702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11190.43567878051</v>
      </c>
      <c r="C90" s="332"/>
      <c r="D90" s="332"/>
      <c r="E90" s="332"/>
      <c r="F90" s="332"/>
    </row>
    <row r="91" spans="1:6">
      <c r="A91" s="1310" t="s">
        <v>67</v>
      </c>
      <c r="B91" s="1311">
        <v>9594.3551171890758</v>
      </c>
      <c r="C91" s="332"/>
      <c r="D91" s="332"/>
      <c r="E91" s="332"/>
      <c r="F91" s="332"/>
    </row>
    <row r="92" spans="1:6">
      <c r="A92" s="1305" t="s">
        <v>68</v>
      </c>
      <c r="B92" s="1306">
        <v>5575.673385729764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4748</v>
      </c>
      <c r="C97" s="332"/>
      <c r="D97" s="332"/>
      <c r="E97" s="332"/>
      <c r="F97" s="332"/>
    </row>
    <row r="98" spans="1:6">
      <c r="A98" s="1310" t="s">
        <v>71</v>
      </c>
      <c r="B98" s="1311">
        <v>10</v>
      </c>
      <c r="C98" s="332"/>
      <c r="D98" s="332"/>
      <c r="E98" s="332"/>
      <c r="F98" s="332"/>
    </row>
    <row r="99" spans="1:6">
      <c r="A99" s="1310" t="s">
        <v>72</v>
      </c>
      <c r="B99" s="1311">
        <v>189</v>
      </c>
      <c r="C99" s="332"/>
      <c r="D99" s="332"/>
      <c r="E99" s="332"/>
      <c r="F99" s="332"/>
    </row>
    <row r="100" spans="1:6">
      <c r="A100" s="1310" t="s">
        <v>73</v>
      </c>
      <c r="B100" s="1311">
        <v>1489</v>
      </c>
      <c r="C100" s="332"/>
      <c r="D100" s="332"/>
      <c r="E100" s="332"/>
      <c r="F100" s="332"/>
    </row>
    <row r="101" spans="1:6">
      <c r="A101" s="1310" t="s">
        <v>74</v>
      </c>
      <c r="B101" s="1311">
        <v>259</v>
      </c>
      <c r="C101" s="332"/>
      <c r="D101" s="332"/>
      <c r="E101" s="332"/>
      <c r="F101" s="332"/>
    </row>
    <row r="102" spans="1:6">
      <c r="A102" s="1310" t="s">
        <v>75</v>
      </c>
      <c r="B102" s="1311">
        <v>107</v>
      </c>
      <c r="C102" s="332"/>
      <c r="D102" s="332"/>
      <c r="E102" s="332"/>
      <c r="F102" s="332"/>
    </row>
    <row r="103" spans="1:6">
      <c r="A103" s="1310" t="s">
        <v>76</v>
      </c>
      <c r="B103" s="1311">
        <v>243</v>
      </c>
      <c r="C103" s="332"/>
      <c r="D103" s="332"/>
      <c r="E103" s="332"/>
      <c r="F103" s="332"/>
    </row>
    <row r="104" spans="1:6">
      <c r="A104" s="1310" t="s">
        <v>77</v>
      </c>
      <c r="B104" s="1311">
        <v>2196</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0</v>
      </c>
      <c r="C122" s="1311">
        <v>0</v>
      </c>
      <c r="D122" s="332"/>
      <c r="E122" s="332"/>
      <c r="F122" s="332"/>
    </row>
    <row r="123" spans="1:6">
      <c r="A123" s="1310" t="s">
        <v>87</v>
      </c>
      <c r="B123" s="1311">
        <v>150</v>
      </c>
      <c r="C123" s="1311">
        <v>117</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256</v>
      </c>
      <c r="C129" s="332"/>
      <c r="D129" s="332"/>
      <c r="E129" s="332"/>
      <c r="F129" s="332"/>
    </row>
    <row r="130" spans="1:6">
      <c r="A130" s="1310" t="s">
        <v>294</v>
      </c>
      <c r="B130" s="1311">
        <v>9</v>
      </c>
      <c r="C130" s="332"/>
      <c r="D130" s="332"/>
      <c r="E130" s="332"/>
      <c r="F130" s="332"/>
    </row>
    <row r="131" spans="1:6">
      <c r="A131" s="1310" t="s">
        <v>295</v>
      </c>
      <c r="B131" s="1311">
        <v>3</v>
      </c>
      <c r="C131" s="332"/>
      <c r="D131" s="332"/>
      <c r="E131" s="332"/>
      <c r="F131" s="332"/>
    </row>
    <row r="132" spans="1:6">
      <c r="A132" s="1305" t="s">
        <v>296</v>
      </c>
      <c r="B132" s="1306">
        <v>71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140314.95378756669</v>
      </c>
      <c r="C3" s="43" t="s">
        <v>169</v>
      </c>
      <c r="D3" s="43"/>
      <c r="E3" s="154"/>
      <c r="F3" s="43"/>
      <c r="G3" s="43"/>
      <c r="H3" s="43"/>
      <c r="I3" s="43"/>
      <c r="J3" s="43"/>
      <c r="K3" s="96"/>
    </row>
    <row r="4" spans="1:11">
      <c r="A4" s="360" t="s">
        <v>170</v>
      </c>
      <c r="B4" s="49">
        <f>IF(ISERROR('SEAP template'!B78+'SEAP template'!C78),0,'SEAP template'!B78+'SEAP template'!C78)</f>
        <v>48628.264181699349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1250.1423529411763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0.15331866045017448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1785.9176470588238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7639.7142857142862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0.2337675965707724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1223.152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1223.152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0.15331866045017448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187.53202616695182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49635.366784276201</v>
      </c>
      <c r="C5" s="17">
        <f>IF(ISERROR('Eigen informatie GS &amp; warmtenet'!B59),0,'Eigen informatie GS &amp; warmtenet'!B59)</f>
        <v>0</v>
      </c>
      <c r="D5" s="30">
        <f>(SUM(HH_hh_gas_kWh,HH_rest_gas_kWh)/1000)*0.903</f>
        <v>125264.94268552524</v>
      </c>
      <c r="E5" s="17">
        <f>B46*B57</f>
        <v>11958.106466329858</v>
      </c>
      <c r="F5" s="17">
        <f>B51*B62</f>
        <v>0</v>
      </c>
      <c r="G5" s="18"/>
      <c r="H5" s="17"/>
      <c r="I5" s="17"/>
      <c r="J5" s="17">
        <f>B50*B61+C50*C61</f>
        <v>0</v>
      </c>
      <c r="K5" s="17"/>
      <c r="L5" s="17"/>
      <c r="M5" s="17"/>
      <c r="N5" s="17">
        <f>B48*B59+C48*C59</f>
        <v>30715.049359328419</v>
      </c>
      <c r="O5" s="17">
        <f>B69*B70*B71</f>
        <v>740.01641583136279</v>
      </c>
      <c r="P5" s="17">
        <f>B77*B78*B79/1000-B77*B78*B79/1000/B80</f>
        <v>2349.0729256137602</v>
      </c>
    </row>
    <row r="6" spans="1:16">
      <c r="A6" s="16" t="s">
        <v>612</v>
      </c>
      <c r="B6" s="786">
        <f>kWh_PV_kleiner_dan_10kW</f>
        <v>9594.3551171890758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59229.72190146528</v>
      </c>
      <c r="C8" s="21">
        <f>C5</f>
        <v>0</v>
      </c>
      <c r="D8" s="21">
        <f>D5</f>
        <v>125264.94268552524</v>
      </c>
      <c r="E8" s="21">
        <f>E5</f>
        <v>11958.106466329858</v>
      </c>
      <c r="F8" s="21">
        <f>F5</f>
        <v>0</v>
      </c>
      <c r="G8" s="21"/>
      <c r="H8" s="21"/>
      <c r="I8" s="21"/>
      <c r="J8" s="21">
        <f>J5</f>
        <v>0</v>
      </c>
      <c r="K8" s="21"/>
      <c r="L8" s="21">
        <f>L5</f>
        <v>0</v>
      </c>
      <c r="M8" s="21">
        <f>M5</f>
        <v>0</v>
      </c>
      <c r="N8" s="21">
        <f>N5</f>
        <v>30715.049359328419</v>
      </c>
      <c r="O8" s="21">
        <f>O5</f>
        <v>740.01641583136279</v>
      </c>
      <c r="P8" s="21">
        <f>P5</f>
        <v>2349.0729256137602</v>
      </c>
    </row>
    <row r="9" spans="1:16">
      <c r="B9" s="19"/>
      <c r="C9" s="19"/>
      <c r="D9" s="258"/>
      <c r="E9" s="19"/>
      <c r="F9" s="19"/>
      <c r="G9" s="19"/>
      <c r="H9" s="19"/>
      <c r="I9" s="19"/>
      <c r="J9" s="19"/>
      <c r="K9" s="19"/>
      <c r="L9" s="19"/>
      <c r="M9" s="19"/>
      <c r="N9" s="19"/>
      <c r="O9" s="19"/>
      <c r="P9" s="19"/>
    </row>
    <row r="10" spans="1:16">
      <c r="A10" s="24" t="s">
        <v>213</v>
      </c>
      <c r="B10" s="25">
        <f ca="1">'EF ele_warmte'!B12</f>
        <v>0.15331866045017448</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9081.0216207690173</v>
      </c>
      <c r="C12" s="23">
        <f ca="1">C10*C8</f>
        <v>0</v>
      </c>
      <c r="D12" s="23">
        <f>D8*D10</f>
        <v>25303.5184224761</v>
      </c>
      <c r="E12" s="23">
        <f>E10*E8</f>
        <v>2714.4901678568781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11654</v>
      </c>
      <c r="C28" s="36"/>
      <c r="D28" s="228"/>
    </row>
    <row r="29" spans="1:7" s="15" customFormat="1">
      <c r="A29" s="230" t="s">
        <v>839</v>
      </c>
      <c r="B29" s="37">
        <f>SUM(HH_hh_gas_aantal,HH_rest_gas_aantal)</f>
        <v>8023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8023</v>
      </c>
      <c r="C32" s="167">
        <f>IF(ISERROR(B32/SUM($B$32,$B$34,$B$35,$B$36,$B$38,$B$39)*100),0,B32/SUM($B$32,$B$34,$B$35,$B$36,$B$38,$B$39)*100)</f>
        <v>70.186335403726702</v>
      </c>
      <c r="D32" s="233"/>
      <c r="G32" s="15"/>
    </row>
    <row r="33" spans="1:7">
      <c r="A33" s="171" t="s">
        <v>71</v>
      </c>
      <c r="B33" s="34" t="s">
        <v>110</v>
      </c>
      <c r="C33" s="167"/>
      <c r="D33" s="233"/>
      <c r="G33" s="15"/>
    </row>
    <row r="34" spans="1:7">
      <c r="A34" s="171" t="s">
        <v>72</v>
      </c>
      <c r="B34" s="33">
        <f>IF((($B$28-$B$32-$B$39-$B$77-$B$38)*C20/100)&lt;0,0,($B$28-$B$32-$B$39-$B$77-$B$38)*C20/100)</f>
        <v>332.5307176045431</v>
      </c>
      <c r="C34" s="167">
        <f>IF(ISERROR(B34/SUM($B$32,$B$34,$B$35,$B$36,$B$38,$B$39)*100),0,B34/SUM($B$32,$B$34,$B$35,$B$36,$B$38,$B$39)*100)</f>
        <v>2.9090256110973942</v>
      </c>
      <c r="D34" s="233"/>
      <c r="G34" s="15"/>
    </row>
    <row r="35" spans="1:7">
      <c r="A35" s="171" t="s">
        <v>73</v>
      </c>
      <c r="B35" s="33">
        <f>IF((($B$28-$B$32-$B$39-$B$77-$B$38)*C21/100)&lt;0,0,($B$28-$B$32-$B$39-$B$77-$B$38)*C21/100)</f>
        <v>2619.7790397521944</v>
      </c>
      <c r="C35" s="167">
        <f>IF(ISERROR(B35/SUM($B$32,$B$34,$B$35,$B$36,$B$38,$B$39)*100),0,B35/SUM($B$32,$B$34,$B$35,$B$36,$B$38,$B$39)*100)</f>
        <v>22.918196481079473</v>
      </c>
      <c r="D35" s="233"/>
      <c r="G35" s="15"/>
    </row>
    <row r="36" spans="1:7">
      <c r="A36" s="171" t="s">
        <v>74</v>
      </c>
      <c r="B36" s="33">
        <f>IF((($B$28-$B$32-$B$39-$B$77-$B$38)*C22/100)&lt;0,0,($B$28-$B$32-$B$39-$B$77-$B$38)*C22/100)</f>
        <v>455.69024264326276</v>
      </c>
      <c r="C36" s="167">
        <f>IF(ISERROR(B36/SUM($B$32,$B$34,$B$35,$B$36,$B$38,$B$39)*100),0,B36/SUM($B$32,$B$34,$B$35,$B$36,$B$38,$B$39)*100)</f>
        <v>3.9864425040964289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8023</v>
      </c>
      <c r="C44" s="34" t="s">
        <v>110</v>
      </c>
      <c r="D44" s="174"/>
    </row>
    <row r="45" spans="1:7">
      <c r="A45" s="171" t="s">
        <v>71</v>
      </c>
      <c r="B45" s="33" t="str">
        <f t="shared" si="0"/>
        <v>-</v>
      </c>
      <c r="C45" s="34" t="s">
        <v>110</v>
      </c>
      <c r="D45" s="174"/>
    </row>
    <row r="46" spans="1:7">
      <c r="A46" s="171" t="s">
        <v>72</v>
      </c>
      <c r="B46" s="33">
        <f t="shared" si="0"/>
        <v>332.5307176045431</v>
      </c>
      <c r="C46" s="34" t="s">
        <v>110</v>
      </c>
      <c r="D46" s="174"/>
    </row>
    <row r="47" spans="1:7">
      <c r="A47" s="171" t="s">
        <v>73</v>
      </c>
      <c r="B47" s="33">
        <f t="shared" si="0"/>
        <v>2619.7790397521944</v>
      </c>
      <c r="C47" s="34" t="s">
        <v>110</v>
      </c>
      <c r="D47" s="174"/>
    </row>
    <row r="48" spans="1:7">
      <c r="A48" s="171" t="s">
        <v>74</v>
      </c>
      <c r="B48" s="33">
        <f t="shared" si="0"/>
        <v>455.69024264326276</v>
      </c>
      <c r="C48" s="33">
        <f>B48*10</f>
        <v>4556.9024264326272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27601.006450799581</v>
      </c>
      <c r="C5" s="17">
        <f>IF(ISERROR('Eigen informatie GS &amp; warmtenet'!B60),0,'Eigen informatie GS &amp; warmtenet'!B60)</f>
        <v>0</v>
      </c>
      <c r="D5" s="30">
        <f>SUM(D6:D12)</f>
        <v>34143.620938779728</v>
      </c>
      <c r="E5" s="17">
        <f>SUM(E6:E12)</f>
        <v>104.89908070092778</v>
      </c>
      <c r="F5" s="17">
        <f>SUM(F6:F12)</f>
        <v>4839.0911014843832</v>
      </c>
      <c r="G5" s="18"/>
      <c r="H5" s="17"/>
      <c r="I5" s="17"/>
      <c r="J5" s="17">
        <f>SUM(J6:J12)</f>
        <v>4.4809331799101633E-2</v>
      </c>
      <c r="K5" s="17"/>
      <c r="L5" s="17"/>
      <c r="M5" s="17"/>
      <c r="N5" s="17">
        <f>SUM(N6:N12)</f>
        <v>1637.5251900269177</v>
      </c>
      <c r="O5" s="17">
        <f>B38*B39*B40</f>
        <v>44.075346892570387</v>
      </c>
      <c r="P5" s="17">
        <f>B46*B47*B48/1000-B46*B47*B48/1000/B49</f>
        <v>315.23482983897009</v>
      </c>
      <c r="R5" s="32"/>
    </row>
    <row r="6" spans="1:18">
      <c r="A6" s="32" t="s">
        <v>53</v>
      </c>
      <c r="B6" s="37">
        <f>B26</f>
        <v>6839.5631244105398</v>
      </c>
      <c r="C6" s="33"/>
      <c r="D6" s="37">
        <f>IF(ISERROR(TER_kantoor_gas_kWh/1000),0,TER_kantoor_gas_kWh/1000)*0.903</f>
        <v>8007.0378455174405</v>
      </c>
      <c r="E6" s="33">
        <f>$C$26*'E Balans VL '!I12/100/3.6*1000000</f>
        <v>1.6385967507989223</v>
      </c>
      <c r="F6" s="33">
        <f>$C$26*('E Balans VL '!L12+'E Balans VL '!N12)/100/3.6*1000000</f>
        <v>648.58773780635886</v>
      </c>
      <c r="G6" s="34"/>
      <c r="H6" s="33"/>
      <c r="I6" s="33"/>
      <c r="J6" s="33">
        <f>$C$26*('E Balans VL '!D12+'E Balans VL '!E12)/100/3.6*1000000</f>
        <v>0</v>
      </c>
      <c r="K6" s="33"/>
      <c r="L6" s="33"/>
      <c r="M6" s="33"/>
      <c r="N6" s="33">
        <f>$C$26*'E Balans VL '!Y12/100/3.6*1000000</f>
        <v>3.4741442997179282</v>
      </c>
      <c r="O6" s="33"/>
      <c r="P6" s="33"/>
      <c r="R6" s="32"/>
    </row>
    <row r="7" spans="1:18">
      <c r="A7" s="32" t="s">
        <v>52</v>
      </c>
      <c r="B7" s="37">
        <f t="shared" ref="B7:B12" si="0">B27</f>
        <v>3943.0133372677701</v>
      </c>
      <c r="C7" s="33"/>
      <c r="D7" s="37">
        <f>IF(ISERROR(TER_horeca_gas_kWh/1000),0,TER_horeca_gas_kWh/1000)*0.903</f>
        <v>9582.3639688249932</v>
      </c>
      <c r="E7" s="33">
        <f>$C$27*'E Balans VL '!I9/100/3.6*1000000</f>
        <v>0</v>
      </c>
      <c r="F7" s="33">
        <f>$C$27*('E Balans VL '!L9+'E Balans VL '!N9)/100/3.6*1000000</f>
        <v>323.31782485670192</v>
      </c>
      <c r="G7" s="34"/>
      <c r="H7" s="33"/>
      <c r="I7" s="33"/>
      <c r="J7" s="33">
        <f>$C$27*('E Balans VL '!D9+'E Balans VL '!E9)/100/3.6*1000000</f>
        <v>0</v>
      </c>
      <c r="K7" s="33"/>
      <c r="L7" s="33"/>
      <c r="M7" s="33"/>
      <c r="N7" s="33">
        <f>$C$27*'E Balans VL '!Y9/100/3.6*1000000</f>
        <v>1.2086920065310396</v>
      </c>
      <c r="O7" s="33"/>
      <c r="P7" s="33"/>
      <c r="R7" s="32"/>
    </row>
    <row r="8" spans="1:18">
      <c r="A8" s="6" t="s">
        <v>51</v>
      </c>
      <c r="B8" s="37">
        <f t="shared" si="0"/>
        <v>10891.213184428399</v>
      </c>
      <c r="C8" s="33"/>
      <c r="D8" s="37">
        <f>IF(ISERROR(TER_handel_gas_kWh/1000),0,TER_handel_gas_kWh/1000)*0.903</f>
        <v>7934.9749069049085</v>
      </c>
      <c r="E8" s="33">
        <f>$C$28*'E Balans VL '!I13/100/3.6*1000000</f>
        <v>38.276661716911583</v>
      </c>
      <c r="F8" s="33">
        <f>$C$28*('E Balans VL '!L13+'E Balans VL '!N13)/100/3.6*1000000</f>
        <v>996.52644758167048</v>
      </c>
      <c r="G8" s="34"/>
      <c r="H8" s="33"/>
      <c r="I8" s="33"/>
      <c r="J8" s="33">
        <f>$C$28*('E Balans VL '!D13+'E Balans VL '!E13)/100/3.6*1000000</f>
        <v>0</v>
      </c>
      <c r="K8" s="33"/>
      <c r="L8" s="33"/>
      <c r="M8" s="33"/>
      <c r="N8" s="33">
        <f>$C$28*'E Balans VL '!Y13/100/3.6*1000000</f>
        <v>3.9443285311245537</v>
      </c>
      <c r="O8" s="33"/>
      <c r="P8" s="33"/>
      <c r="R8" s="32"/>
    </row>
    <row r="9" spans="1:18">
      <c r="A9" s="32" t="s">
        <v>50</v>
      </c>
      <c r="B9" s="37">
        <f t="shared" si="0"/>
        <v>1228.1513747732999</v>
      </c>
      <c r="C9" s="33"/>
      <c r="D9" s="37">
        <f>IF(ISERROR(TER_gezond_gas_kWh/1000),0,TER_gezond_gas_kWh/1000)*0.903</f>
        <v>2720.7677258072013</v>
      </c>
      <c r="E9" s="33">
        <f>$C$29*'E Balans VL '!I10/100/3.6*1000000</f>
        <v>0</v>
      </c>
      <c r="F9" s="33">
        <f>$C$29*('E Balans VL '!L10+'E Balans VL '!N10)/100/3.6*1000000</f>
        <v>150.5488060670319</v>
      </c>
      <c r="G9" s="34"/>
      <c r="H9" s="33"/>
      <c r="I9" s="33"/>
      <c r="J9" s="33">
        <f>$C$29*('E Balans VL '!D10+'E Balans VL '!E10)/100/3.6*1000000</f>
        <v>0</v>
      </c>
      <c r="K9" s="33"/>
      <c r="L9" s="33"/>
      <c r="M9" s="33"/>
      <c r="N9" s="33">
        <f>$C$29*'E Balans VL '!Y10/100/3.6*1000000</f>
        <v>9.0567605457290625</v>
      </c>
      <c r="O9" s="33"/>
      <c r="P9" s="33"/>
      <c r="R9" s="32"/>
    </row>
    <row r="10" spans="1:18">
      <c r="A10" s="32" t="s">
        <v>49</v>
      </c>
      <c r="B10" s="37">
        <f t="shared" si="0"/>
        <v>4537.2770375641794</v>
      </c>
      <c r="C10" s="33"/>
      <c r="D10" s="37">
        <f>IF(ISERROR(TER_ander_gas_kWh/1000),0,TER_ander_gas_kWh/1000)*0.903</f>
        <v>5147.1277004964113</v>
      </c>
      <c r="E10" s="33">
        <f>$C$30*'E Balans VL '!I14/100/3.6*1000000</f>
        <v>64.983822233217282</v>
      </c>
      <c r="F10" s="33">
        <f>$C$30*('E Balans VL '!L14+'E Balans VL '!N14)/100/3.6*1000000</f>
        <v>2701.1952954633139</v>
      </c>
      <c r="G10" s="34"/>
      <c r="H10" s="33"/>
      <c r="I10" s="33"/>
      <c r="J10" s="33">
        <f>$C$30*('E Balans VL '!D14+'E Balans VL '!E14)/100/3.6*1000000</f>
        <v>4.4809331799101633E-2</v>
      </c>
      <c r="K10" s="33"/>
      <c r="L10" s="33"/>
      <c r="M10" s="33"/>
      <c r="N10" s="33">
        <f>$C$30*'E Balans VL '!Y14/100/3.6*1000000</f>
        <v>1619.3856871093003</v>
      </c>
      <c r="O10" s="33"/>
      <c r="P10" s="33"/>
      <c r="R10" s="32"/>
    </row>
    <row r="11" spans="1:18">
      <c r="A11" s="32" t="s">
        <v>54</v>
      </c>
      <c r="B11" s="37">
        <f t="shared" si="0"/>
        <v>161.788392355394</v>
      </c>
      <c r="C11" s="33"/>
      <c r="D11" s="37">
        <f>IF(ISERROR(TER_onderwijs_gas_kWh/1000),0,TER_onderwijs_gas_kWh/1000)*0.903</f>
        <v>751.34879122877601</v>
      </c>
      <c r="E11" s="33">
        <f>$C$31*'E Balans VL '!I11/100/3.6*1000000</f>
        <v>0</v>
      </c>
      <c r="F11" s="33">
        <f>$C$31*('E Balans VL '!L11+'E Balans VL '!N11)/100/3.6*1000000</f>
        <v>18.914989709306091</v>
      </c>
      <c r="G11" s="34"/>
      <c r="H11" s="33"/>
      <c r="I11" s="33"/>
      <c r="J11" s="33">
        <f>$C$31*('E Balans VL '!D11+'E Balans VL '!E11)/100/3.6*1000000</f>
        <v>0</v>
      </c>
      <c r="K11" s="33"/>
      <c r="L11" s="33"/>
      <c r="M11" s="33"/>
      <c r="N11" s="33">
        <f>$C$31*'E Balans VL '!Y11/100/3.6*1000000</f>
        <v>0.45557753451475191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energieproductie'!N42+'lokale energieproductie'!N33</f>
        <v>16920</v>
      </c>
      <c r="C13" s="247">
        <f ca="1">'lokale energieproductie'!O42+'lokale energieproductie'!O33</f>
        <v>0</v>
      </c>
      <c r="D13" s="310">
        <f ca="1">('lokale energieproductie'!P33+'lokale energieproductie'!P42)*(-1)</f>
        <v>0</v>
      </c>
      <c r="E13" s="248"/>
      <c r="F13" s="310">
        <f ca="1">('lokale energieproductie'!S33+'lokale energieproductie'!S42)*(-1)</f>
        <v>0</v>
      </c>
      <c r="G13" s="249"/>
      <c r="H13" s="248"/>
      <c r="I13" s="248"/>
      <c r="J13" s="248"/>
      <c r="K13" s="248"/>
      <c r="L13" s="310">
        <f ca="1">('lokale energieproductie'!U33+'lokale energieproductie'!T33+'lokale energieproductie'!U42+'lokale energieproductie'!T42)*(-1)</f>
        <v>0</v>
      </c>
      <c r="M13" s="248"/>
      <c r="N13" s="310">
        <f ca="1">('lokale energieproductie'!Q33+'lokale energieproductie'!R33+'lokale energieproductie'!V33+'lokale energieproductie'!Q42+'lokale energieproductie'!R42+'lokale energieproductie'!V42)*(-1)</f>
        <v>-48342.857142857152</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44521.006450799585</v>
      </c>
      <c r="C16" s="21">
        <f t="shared" ca="1" si="1"/>
        <v>0</v>
      </c>
      <c r="D16" s="21">
        <f t="shared" ca="1" si="1"/>
        <v>34143.620938779728</v>
      </c>
      <c r="E16" s="21">
        <f t="shared" si="1"/>
        <v>104.89908070092778</v>
      </c>
      <c r="F16" s="21">
        <f t="shared" ca="1" si="1"/>
        <v>4839.0911014843832</v>
      </c>
      <c r="G16" s="21">
        <f t="shared" si="1"/>
        <v>0</v>
      </c>
      <c r="H16" s="21">
        <f t="shared" si="1"/>
        <v>0</v>
      </c>
      <c r="I16" s="21">
        <f t="shared" si="1"/>
        <v>0</v>
      </c>
      <c r="J16" s="21">
        <f t="shared" si="1"/>
        <v>4.4809331799101633E-2</v>
      </c>
      <c r="K16" s="21">
        <f t="shared" si="1"/>
        <v>0</v>
      </c>
      <c r="L16" s="21">
        <f t="shared" ca="1" si="1"/>
        <v>0</v>
      </c>
      <c r="M16" s="21">
        <f t="shared" si="1"/>
        <v>0</v>
      </c>
      <c r="N16" s="21">
        <f t="shared" ca="1" si="1"/>
        <v>0</v>
      </c>
      <c r="O16" s="21">
        <f>O5</f>
        <v>44.075346892570387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0.15331866045017448</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6825.9010709301692</v>
      </c>
      <c r="C20" s="23">
        <f t="shared" ref="C20:P20" ca="1" si="2">C16*C18</f>
        <v>0</v>
      </c>
      <c r="D20" s="23">
        <f t="shared" ca="1" si="2"/>
        <v>6897.0114296335059</v>
      </c>
      <c r="E20" s="23">
        <f t="shared" si="2"/>
        <v>23.812091319110607</v>
      </c>
      <c r="F20" s="23">
        <f t="shared" ca="1" si="2"/>
        <v>1292.0373240963304</v>
      </c>
      <c r="G20" s="23">
        <f t="shared" si="2"/>
        <v>0</v>
      </c>
      <c r="H20" s="23">
        <f t="shared" si="2"/>
        <v>0</v>
      </c>
      <c r="I20" s="23">
        <f t="shared" si="2"/>
        <v>0</v>
      </c>
      <c r="J20" s="23">
        <f t="shared" si="2"/>
        <v>1.5862503456881977E-2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6839.5631244105398</v>
      </c>
      <c r="C26" s="39">
        <f>IF(ISERROR(B26*3.6/1000000/'E Balans VL '!Z12*100),0,B26*3.6/1000000/'E Balans VL '!Z12*100)</f>
        <v>0.19289379218854849</v>
      </c>
      <c r="D26" s="237" t="s">
        <v>702</v>
      </c>
      <c r="F26" s="6"/>
    </row>
    <row r="27" spans="1:18">
      <c r="A27" s="231" t="s">
        <v>52</v>
      </c>
      <c r="B27" s="33">
        <f>IF(ISERROR(TER_horeca_ele_kWh/1000),0,TER_horeca_ele_kWh/1000)</f>
        <v>3943.0133372677701</v>
      </c>
      <c r="C27" s="39">
        <f>IF(ISERROR(B27*3.6/1000000/'E Balans VL '!Z9*100),0,B27*3.6/1000000/'E Balans VL '!Z9*100)</f>
        <v>0.29232600031224198</v>
      </c>
      <c r="D27" s="237" t="s">
        <v>702</v>
      </c>
      <c r="F27" s="6"/>
    </row>
    <row r="28" spans="1:18">
      <c r="A28" s="171" t="s">
        <v>51</v>
      </c>
      <c r="B28" s="33">
        <f>IF(ISERROR(TER_handel_ele_kWh/1000),0,TER_handel_ele_kWh/1000)</f>
        <v>10891.213184428399</v>
      </c>
      <c r="C28" s="39">
        <f>IF(ISERROR(B28*3.6/1000000/'E Balans VL '!Z13*100),0,B28*3.6/1000000/'E Balans VL '!Z13*100)</f>
        <v>0.32627485217932484</v>
      </c>
      <c r="D28" s="237" t="s">
        <v>702</v>
      </c>
      <c r="F28" s="6"/>
    </row>
    <row r="29" spans="1:18">
      <c r="A29" s="231" t="s">
        <v>50</v>
      </c>
      <c r="B29" s="33">
        <f>IF(ISERROR(TER_gezond_ele_kWh/1000),0,TER_gezond_ele_kWh/1000)</f>
        <v>1228.1513747732999</v>
      </c>
      <c r="C29" s="39">
        <f>IF(ISERROR(B29*3.6/1000000/'E Balans VL '!Z10*100),0,B29*3.6/1000000/'E Balans VL '!Z10*100)</f>
        <v>0.12144008930919636</v>
      </c>
      <c r="D29" s="237" t="s">
        <v>702</v>
      </c>
      <c r="F29" s="6"/>
    </row>
    <row r="30" spans="1:18">
      <c r="A30" s="231" t="s">
        <v>49</v>
      </c>
      <c r="B30" s="33">
        <f>IF(ISERROR(TER_ander_ele_kWh/1000),0,TER_ander_ele_kWh/1000)</f>
        <v>4537.2770375641794</v>
      </c>
      <c r="C30" s="39">
        <f>IF(ISERROR(B30*3.6/1000000/'E Balans VL '!Z14*100),0,B30*3.6/1000000/'E Balans VL '!Z14*100)</f>
        <v>0.18351944764137187</v>
      </c>
      <c r="D30" s="237" t="s">
        <v>702</v>
      </c>
      <c r="F30" s="6"/>
    </row>
    <row r="31" spans="1:18">
      <c r="A31" s="231" t="s">
        <v>54</v>
      </c>
      <c r="B31" s="33">
        <f>IF(ISERROR(TER_onderwijs_ele_kWh/1000),0,TER_onderwijs_ele_kWh/1000)</f>
        <v>161.788392355394</v>
      </c>
      <c r="C31" s="39">
        <f>IF(ISERROR(B31*3.6/1000000/'E Balans VL '!Z11*100),0,B31*3.6/1000000/'E Balans VL '!Z11*100)</f>
        <v>4.4450347136481647E-2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9</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29018.452274641128</v>
      </c>
      <c r="C5" s="17">
        <f>IF(ISERROR('Eigen informatie GS &amp; warmtenet'!B61),0,'Eigen informatie GS &amp; warmtenet'!B61)</f>
        <v>0</v>
      </c>
      <c r="D5" s="30">
        <f>SUM(D6:D15)</f>
        <v>24056.7122026127</v>
      </c>
      <c r="E5" s="17">
        <f>SUM(E6:E15)</f>
        <v>97.428493068455197</v>
      </c>
      <c r="F5" s="17">
        <f>SUM(F6:F15)</f>
        <v>14805.011377111297</v>
      </c>
      <c r="G5" s="18"/>
      <c r="H5" s="17"/>
      <c r="I5" s="17"/>
      <c r="J5" s="17">
        <f>SUM(J6:J15)</f>
        <v>1.4651968727351978</v>
      </c>
      <c r="K5" s="17"/>
      <c r="L5" s="17"/>
      <c r="M5" s="17"/>
      <c r="N5" s="17">
        <f>SUM(N6:N15)</f>
        <v>1424.0491358069935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1612.4616702877699</v>
      </c>
      <c r="C8" s="33"/>
      <c r="D8" s="37">
        <f>IF( ISERROR(IND_metaal_Gas_kWH/1000),0,IND_metaal_Gas_kWH/1000)*0.903</f>
        <v>805.87043021575107</v>
      </c>
      <c r="E8" s="33">
        <f>C30*'E Balans VL '!I18/100/3.6*1000000</f>
        <v>8.1303130828160608</v>
      </c>
      <c r="F8" s="33">
        <f>C30*'E Balans VL '!L18/100/3.6*1000000+C30*'E Balans VL '!N18/100/3.6*1000000</f>
        <v>110.16667630051698</v>
      </c>
      <c r="G8" s="34"/>
      <c r="H8" s="33"/>
      <c r="I8" s="33"/>
      <c r="J8" s="40">
        <f>C30*'E Balans VL '!D18/100/3.6*1000000+C30*'E Balans VL '!E18/100/3.6*1000000</f>
        <v>1.429584815462501</v>
      </c>
      <c r="K8" s="33"/>
      <c r="L8" s="33"/>
      <c r="M8" s="33"/>
      <c r="N8" s="33">
        <f>C30*'E Balans VL '!Y18/100/3.6*1000000</f>
        <v>21.429625167322254</v>
      </c>
      <c r="O8" s="33"/>
      <c r="P8" s="33"/>
      <c r="R8" s="32"/>
    </row>
    <row r="9" spans="1:18">
      <c r="A9" s="6" t="s">
        <v>32</v>
      </c>
      <c r="B9" s="37">
        <f t="shared" si="0"/>
        <v>23833.671657872503</v>
      </c>
      <c r="C9" s="33"/>
      <c r="D9" s="37">
        <f>IF( ISERROR(IND_andere_gas_kWh/1000),0,IND_andere_gas_kWh/1000)*0.903</f>
        <v>3198.4249292879231</v>
      </c>
      <c r="E9" s="33">
        <f>C31*'E Balans VL '!I19/100/3.6*1000000</f>
        <v>75.129365994356448</v>
      </c>
      <c r="F9" s="33">
        <f>C31*'E Balans VL '!L19/100/3.6*1000000+C31*'E Balans VL '!N19/100/3.6*1000000</f>
        <v>14589.971375431554</v>
      </c>
      <c r="G9" s="34"/>
      <c r="H9" s="33"/>
      <c r="I9" s="33"/>
      <c r="J9" s="40">
        <f>C31*'E Balans VL '!D19/100/3.6*1000000+C31*'E Balans VL '!E19/100/3.6*1000000</f>
        <v>0</v>
      </c>
      <c r="K9" s="33"/>
      <c r="L9" s="33"/>
      <c r="M9" s="33"/>
      <c r="N9" s="33">
        <f>C31*'E Balans VL '!Y19/100/3.6*1000000</f>
        <v>999.37821447122531</v>
      </c>
      <c r="O9" s="33"/>
      <c r="P9" s="33"/>
      <c r="R9" s="32"/>
    </row>
    <row r="10" spans="1:18">
      <c r="A10" s="6" t="s">
        <v>40</v>
      </c>
      <c r="B10" s="37">
        <f t="shared" si="0"/>
        <v>1410.2730983915699</v>
      </c>
      <c r="C10" s="33"/>
      <c r="D10" s="37">
        <f>IF( ISERROR(IND_voed_gas_kWh/1000),0,IND_voed_gas_kWh/1000)*0.903</f>
        <v>762.12784974618853</v>
      </c>
      <c r="E10" s="33">
        <f>C32*'E Balans VL '!I20/100/3.6*1000000</f>
        <v>2.247579253218265</v>
      </c>
      <c r="F10" s="33">
        <f>C32*'E Balans VL '!L20/100/3.6*1000000+C32*'E Balans VL '!N20/100/3.6*1000000</f>
        <v>22.913511907162412</v>
      </c>
      <c r="G10" s="34"/>
      <c r="H10" s="33"/>
      <c r="I10" s="33"/>
      <c r="J10" s="40">
        <f>C32*'E Balans VL '!D20/100/3.6*1000000+C32*'E Balans VL '!E20/100/3.6*1000000</f>
        <v>0</v>
      </c>
      <c r="K10" s="33"/>
      <c r="L10" s="33"/>
      <c r="M10" s="33"/>
      <c r="N10" s="33">
        <f>C32*'E Balans VL '!Y20/100/3.6*1000000</f>
        <v>44.543467875569846</v>
      </c>
      <c r="O10" s="33"/>
      <c r="P10" s="33"/>
      <c r="R10" s="32"/>
    </row>
    <row r="11" spans="1:18">
      <c r="A11" s="6" t="s">
        <v>39</v>
      </c>
      <c r="B11" s="37">
        <f t="shared" si="0"/>
        <v>3.7200999144633</v>
      </c>
      <c r="C11" s="33"/>
      <c r="D11" s="37">
        <f>IF( ISERROR(IND_textiel_gas_kWh/1000),0,IND_textiel_gas_kWh/1000)*0.903</f>
        <v>48.517657988825846</v>
      </c>
      <c r="E11" s="33">
        <f>C33*'E Balans VL '!I21/100/3.6*1000000</f>
        <v>5.3971852070761406E-3</v>
      </c>
      <c r="F11" s="33">
        <f>C33*'E Balans VL '!L21/100/3.6*1000000+C33*'E Balans VL '!N21/100/3.6*1000000</f>
        <v>7.2804745554085018E-2</v>
      </c>
      <c r="G11" s="34"/>
      <c r="H11" s="33"/>
      <c r="I11" s="33"/>
      <c r="J11" s="40">
        <f>C33*'E Balans VL '!D21/100/3.6*1000000+C33*'E Balans VL '!E21/100/3.6*1000000</f>
        <v>0</v>
      </c>
      <c r="K11" s="33"/>
      <c r="L11" s="33"/>
      <c r="M11" s="33"/>
      <c r="N11" s="33">
        <f>C33*'E Balans VL '!Y21/100/3.6*1000000</f>
        <v>0.18123482490573808</v>
      </c>
      <c r="O11" s="33"/>
      <c r="P11" s="33"/>
      <c r="R11" s="32"/>
    </row>
    <row r="12" spans="1:18">
      <c r="A12" s="6" t="s">
        <v>36</v>
      </c>
      <c r="B12" s="37">
        <f t="shared" si="0"/>
        <v>2100.0375073066602</v>
      </c>
      <c r="C12" s="33"/>
      <c r="D12" s="37">
        <f>IF( ISERROR(IND_min_gas_kWh/1000),0,IND_min_gas_kWh/1000)*0.903</f>
        <v>19129.314572154202</v>
      </c>
      <c r="E12" s="33">
        <f>C34*'E Balans VL '!I22/100/3.6*1000000</f>
        <v>9.0874309511913385</v>
      </c>
      <c r="F12" s="33">
        <f>C34*'E Balans VL '!L22/100/3.6*1000000+C34*'E Balans VL '!N22/100/3.6*1000000</f>
        <v>80.182024376897161</v>
      </c>
      <c r="G12" s="34"/>
      <c r="H12" s="33"/>
      <c r="I12" s="33"/>
      <c r="J12" s="40">
        <f>C34*'E Balans VL '!D22/100/3.6*1000000+C34*'E Balans VL '!E22/100/3.6*1000000</f>
        <v>0</v>
      </c>
      <c r="K12" s="33"/>
      <c r="L12" s="33"/>
      <c r="M12" s="33"/>
      <c r="N12" s="33">
        <f>C34*'E Balans VL '!Y22/100/3.6*1000000</f>
        <v>358.21909240699</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40.844684082063999</v>
      </c>
      <c r="C14" s="33"/>
      <c r="D14" s="37">
        <f>IF( ISERROR(IND_chemie_gas_kWh/1000),0,IND_chemie_gas_kWh/1000)*0.903</f>
        <v>91.811834622716972</v>
      </c>
      <c r="E14" s="33">
        <f>C36*'E Balans VL '!I24/100/3.6*1000000</f>
        <v>2.3887280433644609</v>
      </c>
      <c r="F14" s="33">
        <f>C36*'E Balans VL '!L24/100/3.6*1000000+C36*'E Balans VL '!N24/100/3.6*1000000</f>
        <v>0.28889339519673191</v>
      </c>
      <c r="G14" s="34"/>
      <c r="H14" s="33"/>
      <c r="I14" s="33"/>
      <c r="J14" s="40">
        <f>C36*'E Balans VL '!D24/100/3.6*1000000+C36*'E Balans VL '!E24/100/3.6*1000000</f>
        <v>0</v>
      </c>
      <c r="K14" s="33"/>
      <c r="L14" s="33"/>
      <c r="M14" s="33"/>
      <c r="N14" s="33">
        <f>C36*'E Balans VL '!Y24/100/3.6*1000000</f>
        <v>2.7527738357662661E-3</v>
      </c>
      <c r="O14" s="33"/>
      <c r="P14" s="33"/>
      <c r="R14" s="32"/>
    </row>
    <row r="15" spans="1:18">
      <c r="A15" s="6" t="s">
        <v>269</v>
      </c>
      <c r="B15" s="37">
        <f t="shared" si="0"/>
        <v>17.443556786100999</v>
      </c>
      <c r="C15" s="33"/>
      <c r="D15" s="37">
        <f>IF( ISERROR(IND_rest_gas_kWh/1000),0,IND_rest_gas_kWh/1000)*0.903</f>
        <v>20.644928597093543</v>
      </c>
      <c r="E15" s="33">
        <f>C37*'E Balans VL '!I15/100/3.6*1000000</f>
        <v>0.43967855830155478</v>
      </c>
      <c r="F15" s="33">
        <f>C37*'E Balans VL '!L15/100/3.6*1000000+C37*'E Balans VL '!N15/100/3.6*1000000</f>
        <v>1.4160909544147824</v>
      </c>
      <c r="G15" s="34"/>
      <c r="H15" s="33"/>
      <c r="I15" s="33"/>
      <c r="J15" s="40">
        <f>C37*'E Balans VL '!D15/100/3.6*1000000+C37*'E Balans VL '!E15/100/3.6*1000000</f>
        <v>3.5612057272696875E-2</v>
      </c>
      <c r="K15" s="33"/>
      <c r="L15" s="33"/>
      <c r="M15" s="33"/>
      <c r="N15" s="33">
        <f>C37*'E Balans VL '!Y15/100/3.6*1000000</f>
        <v>0.29474828714449008</v>
      </c>
      <c r="O15" s="33"/>
      <c r="P15" s="33"/>
      <c r="R15" s="32"/>
    </row>
    <row r="16" spans="1:18">
      <c r="A16" s="16" t="s">
        <v>479</v>
      </c>
      <c r="B16" s="247">
        <f>'lokale energieproductie'!N41+'lokale energieproductie'!N32</f>
        <v>0</v>
      </c>
      <c r="C16" s="247">
        <f>'lokale energieproductie'!O41+'lokale energieproductie'!O32</f>
        <v>0</v>
      </c>
      <c r="D16" s="310">
        <f>('lokale energieproductie'!P32+'lokale energieproductie'!P41)*(-1)</f>
        <v>0</v>
      </c>
      <c r="E16" s="248"/>
      <c r="F16" s="310">
        <f>('lokale energieproductie'!S32+'lokale energieproductie'!S41)*(-1)</f>
        <v>0</v>
      </c>
      <c r="G16" s="249"/>
      <c r="H16" s="248"/>
      <c r="I16" s="248"/>
      <c r="J16" s="248"/>
      <c r="K16" s="248"/>
      <c r="L16" s="310">
        <f>('lokale energieproductie'!T32+'lokale energieproductie'!U32+'lokale energieproductie'!T41+'lokale energieproductie'!U41)*(-1)</f>
        <v>0</v>
      </c>
      <c r="M16" s="248"/>
      <c r="N16" s="310">
        <f>('lokale energieproductie'!Q32+'lokale energieproductie'!R32+'lokale energieproductie'!V32+'lokale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29018.452274641128</v>
      </c>
      <c r="C18" s="21">
        <f>C5+C16</f>
        <v>0</v>
      </c>
      <c r="D18" s="21">
        <f>MAX((D5+D16),0)</f>
        <v>24056.7122026127</v>
      </c>
      <c r="E18" s="21">
        <f>MAX((E5+E16),0)</f>
        <v>97.428493068455197</v>
      </c>
      <c r="F18" s="21">
        <f>MAX((F5+F16),0)</f>
        <v>14805.011377111297</v>
      </c>
      <c r="G18" s="21"/>
      <c r="H18" s="21"/>
      <c r="I18" s="21"/>
      <c r="J18" s="21">
        <f>MAX((J5+J16),0)</f>
        <v>1.4651968727351978</v>
      </c>
      <c r="K18" s="21"/>
      <c r="L18" s="21">
        <f>MAX((L5+L16),0)</f>
        <v>0</v>
      </c>
      <c r="M18" s="21"/>
      <c r="N18" s="21">
        <f>MAX((N5+N16),0)</f>
        <v>1424.0491358069935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0.15331866045017448</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4449.0702310852967</v>
      </c>
      <c r="C22" s="23">
        <f ca="1">C18*C20</f>
        <v>0</v>
      </c>
      <c r="D22" s="23">
        <f>D18*D20</f>
        <v>4859.455864927766</v>
      </c>
      <c r="E22" s="23">
        <f>E18*E20</f>
        <v>22.116267926539329</v>
      </c>
      <c r="F22" s="23">
        <f>F18*F20</f>
        <v>3952.9380376887166</v>
      </c>
      <c r="G22" s="23"/>
      <c r="H22" s="23"/>
      <c r="I22" s="23"/>
      <c r="J22" s="23">
        <f>J18*J20</f>
        <v>0.51867969294826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1612.4616702877699</v>
      </c>
      <c r="C30" s="39">
        <f>IF(ISERROR(B30*3.6/1000000/'E Balans VL '!Z18*100),0,B30*3.6/1000000/'E Balans VL '!Z18*100)</f>
        <v>8.0038963229626572E-2</v>
      </c>
      <c r="D30" s="237" t="s">
        <v>702</v>
      </c>
    </row>
    <row r="31" spans="1:18">
      <c r="A31" s="6" t="s">
        <v>32</v>
      </c>
      <c r="B31" s="37">
        <f>IF( ISERROR(IND_ander_ele_kWh/1000),0,IND_ander_ele_kWh/1000)</f>
        <v>23833.671657872503</v>
      </c>
      <c r="C31" s="39">
        <f>IF(ISERROR(B31*3.6/1000000/'E Balans VL '!Z19*100),0,B31*3.6/1000000/'E Balans VL '!Z19*100)</f>
        <v>0.80426428716274589</v>
      </c>
      <c r="D31" s="237" t="s">
        <v>702</v>
      </c>
    </row>
    <row r="32" spans="1:18">
      <c r="A32" s="171" t="s">
        <v>40</v>
      </c>
      <c r="B32" s="37">
        <f>IF( ISERROR(IND_voed_ele_kWh/1000),0,IND_voed_ele_kWh/1000)</f>
        <v>1410.2730983915699</v>
      </c>
      <c r="C32" s="39">
        <f>IF(ISERROR(B32*3.6/1000000/'E Balans VL '!Z20*100),0,B32*3.6/1000000/'E Balans VL '!Z20*100)</f>
        <v>3.3119294971332862E-2</v>
      </c>
      <c r="D32" s="237" t="s">
        <v>702</v>
      </c>
    </row>
    <row r="33" spans="1:5">
      <c r="A33" s="171" t="s">
        <v>39</v>
      </c>
      <c r="B33" s="37">
        <f>IF( ISERROR(IND_textiel_ele_kWh/1000),0,IND_textiel_ele_kWh/1000)</f>
        <v>3.7200999144633</v>
      </c>
      <c r="C33" s="39">
        <f>IF(ISERROR(B33*3.6/1000000/'E Balans VL '!Z21*100),0,B33*3.6/1000000/'E Balans VL '!Z21*100)</f>
        <v>4.0827625016755844E-4</v>
      </c>
      <c r="D33" s="237" t="s">
        <v>702</v>
      </c>
    </row>
    <row r="34" spans="1:5">
      <c r="A34" s="171" t="s">
        <v>36</v>
      </c>
      <c r="B34" s="37">
        <f>IF( ISERROR(IND_min_ele_kWh/1000),0,IND_min_ele_kWh/1000)</f>
        <v>2100.0375073066602</v>
      </c>
      <c r="C34" s="39">
        <f>IF(ISERROR(B34*3.6/1000000/'E Balans VL '!Z22*100),0,B34*3.6/1000000/'E Balans VL '!Z22*100)</f>
        <v>0.29793391414287895</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40.844684082063999</v>
      </c>
      <c r="C36" s="39">
        <f>IF(ISERROR(B36*3.6/1000000/'E Balans VL '!Z24*100),0,B36*3.6/1000000/'E Balans VL '!Z24*100)</f>
        <v>3.7297650766874235E-4</v>
      </c>
      <c r="D36" s="237" t="s">
        <v>702</v>
      </c>
    </row>
    <row r="37" spans="1:5">
      <c r="A37" s="171" t="s">
        <v>269</v>
      </c>
      <c r="B37" s="37">
        <f>IF( ISERROR(IND_rest_ele_kWh/1000),0,IND_rest_ele_kWh/1000)</f>
        <v>17.443556786100999</v>
      </c>
      <c r="C37" s="39">
        <f>IF(ISERROR(B37*3.6/1000000/'E Balans VL '!Z15*100),0,B37*3.6/1000000/'E Balans VL '!Z15*100)</f>
        <v>6.537023845468195E-5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4946.2615099296108</v>
      </c>
      <c r="C5" s="17">
        <f>'Eigen informatie GS &amp; warmtenet'!B62</f>
        <v>0</v>
      </c>
      <c r="D5" s="30">
        <f>IF(ISERROR(SUM(LB_lb_gas_kWh,LB_rest_gas_kWh)/1000),0,SUM(LB_lb_gas_kWh,LB_rest_gas_kWh)/1000)*0.903</f>
        <v>11042.600318612405</v>
      </c>
      <c r="E5" s="17">
        <f>B17*'E Balans VL '!I25/3.6*1000000/100</f>
        <v>184.4612212399569</v>
      </c>
      <c r="F5" s="17">
        <f>B17*('E Balans VL '!L25/3.6*1000000+'E Balans VL '!N25/3.6*1000000)/100</f>
        <v>16047.583648894135</v>
      </c>
      <c r="G5" s="18"/>
      <c r="H5" s="17"/>
      <c r="I5" s="17"/>
      <c r="J5" s="17">
        <f>('E Balans VL '!D25+'E Balans VL '!E25)/3.6*1000000*landbouw!B17/100</f>
        <v>1298.4180655902558</v>
      </c>
      <c r="K5" s="17"/>
      <c r="L5" s="17">
        <f>L6*(-1)</f>
        <v>0</v>
      </c>
      <c r="M5" s="17"/>
      <c r="N5" s="17">
        <f>N6*(-1)</f>
        <v>249.42857142857139</v>
      </c>
      <c r="O5" s="17"/>
      <c r="P5" s="17"/>
      <c r="R5" s="32"/>
    </row>
    <row r="6" spans="1:18">
      <c r="A6" s="16" t="s">
        <v>479</v>
      </c>
      <c r="B6" s="17" t="s">
        <v>210</v>
      </c>
      <c r="C6" s="17">
        <f>'lokale energieproductie'!O43+'lokale energieproductie'!O34</f>
        <v>7639.7142857142862</v>
      </c>
      <c r="D6" s="310">
        <f>('lokale energieproductie'!P34+'lokale energieproductie'!P43)*(-1)</f>
        <v>-15030.000000000002</v>
      </c>
      <c r="E6" s="248"/>
      <c r="F6" s="310">
        <f>('lokale energieproductie'!S34+'lokale energieproductie'!S43)*(-1)</f>
        <v>0</v>
      </c>
      <c r="G6" s="249"/>
      <c r="H6" s="248"/>
      <c r="I6" s="248"/>
      <c r="J6" s="248"/>
      <c r="K6" s="248"/>
      <c r="L6" s="310">
        <f>('lokale energieproductie'!T34+'lokale energieproductie'!U34+'lokale energieproductie'!T43+'lokale energieproductie'!U43)*(-1)</f>
        <v>0</v>
      </c>
      <c r="M6" s="248"/>
      <c r="N6" s="310">
        <f>('lokale energieproductie'!V34+'lokale energieproductie'!R34+'lokale energieproductie'!Q34+'lokale energieproductie'!Q43+'lokale energieproductie'!R43+'lokale energieproductie'!V43)*(-1)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4946.2615099296108</v>
      </c>
      <c r="C8" s="21">
        <f>C5+C6</f>
        <v>7639.7142857142862</v>
      </c>
      <c r="D8" s="21">
        <f>MAX((D5+D6),0)</f>
        <v>0</v>
      </c>
      <c r="E8" s="21">
        <f>MAX((E5+E6),0)</f>
        <v>184.4612212399569</v>
      </c>
      <c r="F8" s="21">
        <f>MAX((F5+F6),0)</f>
        <v>16047.583648894135</v>
      </c>
      <c r="G8" s="21"/>
      <c r="H8" s="21"/>
      <c r="I8" s="21"/>
      <c r="J8" s="21">
        <f>MAX((J5+J6),0)</f>
        <v>1298.4180655902558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0.15331866045017448</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758.35418893866529</v>
      </c>
      <c r="C12" s="23">
        <f ca="1">C8*C10</f>
        <v>1785.9176470588238</v>
      </c>
      <c r="D12" s="23">
        <f>D8*D10</f>
        <v>0</v>
      </c>
      <c r="E12" s="23">
        <f>E8*E10</f>
        <v>41.872697221470219</v>
      </c>
      <c r="F12" s="23">
        <f>F8*F10</f>
        <v>4284.7048342547341</v>
      </c>
      <c r="G12" s="23"/>
      <c r="H12" s="23"/>
      <c r="I12" s="23"/>
      <c r="J12" s="23">
        <f>J8*J10</f>
        <v>459.6399952189505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0.6793561110286378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1263.4144372699416</v>
      </c>
      <c r="C26" s="247">
        <f>B26*'GWP N2O_CH4'!B5</f>
        <v>26531.703182668774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493.84520940659911</v>
      </c>
      <c r="C27" s="247">
        <f>B27*'GWP N2O_CH4'!B5</f>
        <v>10370.749397538581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20.163960498257509</v>
      </c>
      <c r="C28" s="247">
        <f>B28*'GWP N2O_CH4'!B4</f>
        <v>6250.8277544598277</v>
      </c>
      <c r="D28" s="50"/>
    </row>
    <row r="29" spans="1:4">
      <c r="A29" s="41" t="s">
        <v>276</v>
      </c>
      <c r="B29" s="247">
        <f>B34*'ha_N2O bodem landbouw'!B4</f>
        <v>29.015127128456363</v>
      </c>
      <c r="C29" s="247">
        <f>B29*'GWP N2O_CH4'!B4</f>
        <v>8994.6894098214725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6.6126303343198474E-3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7.854581643016998E-4</v>
      </c>
      <c r="C5" s="440" t="s">
        <v>210</v>
      </c>
      <c r="D5" s="425">
        <f>SUM(D6:D11)</f>
        <v>2.9471280975774381E-3</v>
      </c>
      <c r="E5" s="425">
        <f>SUM(E6:E11)</f>
        <v>1.814169187535848E-3</v>
      </c>
      <c r="F5" s="438" t="s">
        <v>210</v>
      </c>
      <c r="G5" s="425">
        <f>SUM(G6:G11)</f>
        <v>1.0703343873236828</v>
      </c>
      <c r="H5" s="425">
        <f>SUM(H6:H11)</f>
        <v>0.19294242714807419</v>
      </c>
      <c r="I5" s="440" t="s">
        <v>210</v>
      </c>
      <c r="J5" s="440" t="s">
        <v>210</v>
      </c>
      <c r="K5" s="440" t="s">
        <v>210</v>
      </c>
      <c r="L5" s="440" t="s">
        <v>210</v>
      </c>
      <c r="M5" s="425">
        <f>SUM(M6:M11)</f>
        <v>7.3673829085147122E-2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2.9209430166729755E-4</v>
      </c>
      <c r="C6" s="426"/>
      <c r="D6" s="893">
        <f>vkm_GW_PW*SUMIFS(TableVerdeelsleutelVkm[CNG],TableVerdeelsleutelVkm[Voertuigtype],"Lichte voertuigen")*SUMIFS(TableECFTransport[EnergieConsumptieFactor (PJ per km)],TableECFTransport[Index],CONCATENATE($A6,"_CNG_CNG"))</f>
        <v>1.0549554792410312E-3</v>
      </c>
      <c r="E6" s="893">
        <f>vkm_GW_PW*SUMIFS(TableVerdeelsleutelVkm[LPG],TableVerdeelsleutelVkm[Voertuigtype],"Lichte voertuigen")*SUMIFS(TableECFTransport[EnergieConsumptieFactor (PJ per km)],TableECFTransport[Index],CONCATENATE($A6,"_LPG_LPG"))</f>
        <v>5.7334122365482318E-4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0.17842025624984159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6.7524903065764461E-2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1.4739453912738627E-2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9.4223383844961719E-2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9.9194072993509708E-7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5.3049240962266073E-3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4.1249606840609946E-5</v>
      </c>
      <c r="C8" s="426"/>
      <c r="D8" s="428">
        <f>vkm_NGW_PW*SUMIFS(TableVerdeelsleutelVkm[CNG],TableVerdeelsleutelVkm[Voertuigtype],"Lichte voertuigen")*SUMIFS(TableECFTransport[EnergieConsumptieFactor (PJ per km)],TableECFTransport[Index],CONCATENATE($A8,"_CNG_CNG"))</f>
        <v>2.5253249309221227E-4</v>
      </c>
      <c r="E8" s="428">
        <f>vkm_NGW_PW*SUMIFS(TableVerdeelsleutelVkm[LPG],TableVerdeelsleutelVkm[Voertuigtype],"Lichte voertuigen")*SUMIFS(TableECFTransport[EnergieConsumptieFactor (PJ per km)],TableECFTransport[Index],CONCATENATE($A8,"_LPG_LPG"))</f>
        <v>1.3041935228564854E-4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3.7769476610707509E-2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1.5917849368725291E-2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3.2330415097556547E-3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3.7504210791699448E-3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5.7346902877402876E-8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2.1115582308295895E-4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4.5211425579379222E-4</v>
      </c>
      <c r="C10" s="426"/>
      <c r="D10" s="428">
        <f>vkm_SW_PW*SUMIFS(TableVerdeelsleutelVkm[CNG],TableVerdeelsleutelVkm[Voertuigtype],"Lichte voertuigen")*SUMIFS(TableECFTransport[EnergieConsumptieFactor (PJ per km)],TableECFTransport[Index],CONCATENATE($A10,"_CNG_CNG"))</f>
        <v>1.6396401252441947E-3</v>
      </c>
      <c r="E10" s="428">
        <f>vkm_SW_PW*SUMIFS(TableVerdeelsleutelVkm[LPG],TableVerdeelsleutelVkm[Voertuigtype],"Lichte voertuigen")*SUMIFS(TableECFTransport[EnergieConsumptieFactor (PJ per km)],TableECFTransport[Index],CONCATENATE($A10,"_LPG_LPG"))</f>
        <v>1.1104086115953764E-3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0.30707340015212375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0.10949361850422414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2.49003445063012E-2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0.44909744938687823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5.0069217274941489E-6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2.5284909237042075E-2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218.18282341713885</v>
      </c>
      <c r="C14" s="21"/>
      <c r="D14" s="21">
        <f t="shared" ref="D14:M14" si="0">((D5)*10^9/3600)+D12</f>
        <v>818.64669377151063</v>
      </c>
      <c r="E14" s="21">
        <f t="shared" si="0"/>
        <v>503.93588542662445</v>
      </c>
      <c r="F14" s="21"/>
      <c r="G14" s="21">
        <f t="shared" si="0"/>
        <v>297315.1075899119</v>
      </c>
      <c r="H14" s="21">
        <f t="shared" si="0"/>
        <v>53595.118652242825</v>
      </c>
      <c r="I14" s="21"/>
      <c r="J14" s="21"/>
      <c r="K14" s="21"/>
      <c r="L14" s="21"/>
      <c r="M14" s="21">
        <f t="shared" si="0"/>
        <v>20464.95252365198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0.15331866045017448</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33.45149821955269</v>
      </c>
      <c r="C18" s="23"/>
      <c r="D18" s="23">
        <f t="shared" ref="D18:M18" si="1">D14*D16</f>
        <v>165.36663214184514</v>
      </c>
      <c r="E18" s="23">
        <f t="shared" si="1"/>
        <v>114.39344599184375</v>
      </c>
      <c r="F18" s="23"/>
      <c r="G18" s="23">
        <f t="shared" si="1"/>
        <v>79383.133726506479</v>
      </c>
      <c r="H18" s="23">
        <f t="shared" si="1"/>
        <v>13345.184544408463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1.1213073282351679E-2</v>
      </c>
      <c r="H50" s="321">
        <f t="shared" si="2"/>
        <v>0</v>
      </c>
      <c r="I50" s="321">
        <f t="shared" si="2"/>
        <v>0</v>
      </c>
      <c r="J50" s="321">
        <f t="shared" si="2"/>
        <v>0</v>
      </c>
      <c r="K50" s="321">
        <f t="shared" si="2"/>
        <v>0</v>
      </c>
      <c r="L50" s="321">
        <f t="shared" si="2"/>
        <v>0</v>
      </c>
      <c r="M50" s="321">
        <f t="shared" si="2"/>
        <v>6.0848522134996209E-4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1.1213073282351679E-2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6.0848522134996209E-4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3114.7425784310217</v>
      </c>
      <c r="H54" s="21">
        <f t="shared" si="3"/>
        <v>0</v>
      </c>
      <c r="I54" s="21">
        <f t="shared" si="3"/>
        <v>0</v>
      </c>
      <c r="J54" s="21">
        <f t="shared" si="3"/>
        <v>0</v>
      </c>
      <c r="K54" s="21">
        <f t="shared" si="3"/>
        <v>0</v>
      </c>
      <c r="L54" s="21">
        <f t="shared" si="3"/>
        <v>0</v>
      </c>
      <c r="M54" s="21">
        <f t="shared" si="3"/>
        <v>169.02367259721169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0.15331866045017448</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831.63626844108285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45744.158450799587</v>
      </c>
      <c r="D10" s="689">
        <f ca="1">tertiair!C16</f>
        <v>0</v>
      </c>
      <c r="E10" s="689">
        <f ca="1">tertiair!D16</f>
        <v>34143.620938779728</v>
      </c>
      <c r="F10" s="689">
        <f>tertiair!E16</f>
        <v>104.89908070092778</v>
      </c>
      <c r="G10" s="689">
        <f ca="1">tertiair!F16</f>
        <v>4839.0911014843832</v>
      </c>
      <c r="H10" s="689">
        <f>tertiair!G16</f>
        <v>0</v>
      </c>
      <c r="I10" s="689">
        <f>tertiair!H16</f>
        <v>0</v>
      </c>
      <c r="J10" s="689">
        <f>tertiair!I16</f>
        <v>0</v>
      </c>
      <c r="K10" s="689">
        <f>tertiair!J16</f>
        <v>4.4809331799101633E-2</v>
      </c>
      <c r="L10" s="689">
        <f>tertiair!K16</f>
        <v>0</v>
      </c>
      <c r="M10" s="689">
        <f ca="1">tertiair!L16</f>
        <v>0</v>
      </c>
      <c r="N10" s="689">
        <f>tertiair!M16</f>
        <v>0</v>
      </c>
      <c r="O10" s="689">
        <f ca="1">tertiair!N16</f>
        <v>0</v>
      </c>
      <c r="P10" s="689">
        <f>tertiair!O16</f>
        <v>44.075346892570387</v>
      </c>
      <c r="Q10" s="690">
        <f>tertiair!P16</f>
        <v>315.23482983897009</v>
      </c>
      <c r="R10" s="692">
        <f ca="1">SUM(C10:Q10)</f>
        <v>85191.124557827963</v>
      </c>
      <c r="S10" s="67"/>
    </row>
    <row r="11" spans="1:19" s="451" customFormat="1">
      <c r="A11" s="811" t="s">
        <v>224</v>
      </c>
      <c r="B11" s="816"/>
      <c r="C11" s="689">
        <f>huishoudens!B8</f>
        <v>59229.72190146528</v>
      </c>
      <c r="D11" s="689">
        <f>huishoudens!C8</f>
        <v>0</v>
      </c>
      <c r="E11" s="689">
        <f>huishoudens!D8</f>
        <v>125264.94268552524</v>
      </c>
      <c r="F11" s="689">
        <f>huishoudens!E8</f>
        <v>11958.106466329858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30715.049359328419</v>
      </c>
      <c r="P11" s="689">
        <f>huishoudens!O8</f>
        <v>740.01641583136279</v>
      </c>
      <c r="Q11" s="690">
        <f>huishoudens!P8</f>
        <v>2349.0729256137602</v>
      </c>
      <c r="R11" s="692">
        <f>SUM(C11:Q11)</f>
        <v>230256.90975409391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29018.452274641128</v>
      </c>
      <c r="D13" s="689">
        <f>industrie!C18</f>
        <v>0</v>
      </c>
      <c r="E13" s="689">
        <f>industrie!D18</f>
        <v>24056.7122026127</v>
      </c>
      <c r="F13" s="689">
        <f>industrie!E18</f>
        <v>97.428493068455197</v>
      </c>
      <c r="G13" s="689">
        <f>industrie!F18</f>
        <v>14805.011377111297</v>
      </c>
      <c r="H13" s="689">
        <f>industrie!G18</f>
        <v>0</v>
      </c>
      <c r="I13" s="689">
        <f>industrie!H18</f>
        <v>0</v>
      </c>
      <c r="J13" s="689">
        <f>industrie!I18</f>
        <v>0</v>
      </c>
      <c r="K13" s="689">
        <f>industrie!J18</f>
        <v>1.4651968727351978</v>
      </c>
      <c r="L13" s="689">
        <f>industrie!K18</f>
        <v>0</v>
      </c>
      <c r="M13" s="689">
        <f>industrie!L18</f>
        <v>0</v>
      </c>
      <c r="N13" s="689">
        <f>industrie!M18</f>
        <v>0</v>
      </c>
      <c r="O13" s="689">
        <f>industrie!N18</f>
        <v>1424.0491358069935</v>
      </c>
      <c r="P13" s="689">
        <f>industrie!O18</f>
        <v>0</v>
      </c>
      <c r="Q13" s="690">
        <f>industrie!P18</f>
        <v>0</v>
      </c>
      <c r="R13" s="692">
        <f>SUM(C13:Q13)</f>
        <v>69403.118680113315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133992.33262690599</v>
      </c>
      <c r="D16" s="725">
        <f t="shared" ref="D16:R16" ca="1" si="0">SUM(D9:D15)</f>
        <v>0</v>
      </c>
      <c r="E16" s="725">
        <f t="shared" ca="1" si="0"/>
        <v>183465.27582691764</v>
      </c>
      <c r="F16" s="725">
        <f t="shared" si="0"/>
        <v>12160.434040099242</v>
      </c>
      <c r="G16" s="725">
        <f t="shared" ca="1" si="0"/>
        <v>19644.10247859568</v>
      </c>
      <c r="H16" s="725">
        <f t="shared" si="0"/>
        <v>0</v>
      </c>
      <c r="I16" s="725">
        <f t="shared" si="0"/>
        <v>0</v>
      </c>
      <c r="J16" s="725">
        <f t="shared" si="0"/>
        <v>0</v>
      </c>
      <c r="K16" s="725">
        <f t="shared" si="0"/>
        <v>1.5100062045342995</v>
      </c>
      <c r="L16" s="725">
        <f t="shared" si="0"/>
        <v>0</v>
      </c>
      <c r="M16" s="725">
        <f t="shared" ca="1" si="0"/>
        <v>0</v>
      </c>
      <c r="N16" s="725">
        <f t="shared" si="0"/>
        <v>0</v>
      </c>
      <c r="O16" s="725">
        <f t="shared" ca="1" si="0"/>
        <v>32139.098495135411</v>
      </c>
      <c r="P16" s="725">
        <f t="shared" si="0"/>
        <v>784.09176272393313</v>
      </c>
      <c r="Q16" s="725">
        <f t="shared" si="0"/>
        <v>2664.3077554527304</v>
      </c>
      <c r="R16" s="725">
        <f t="shared" ca="1" si="0"/>
        <v>384851.15299203515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3114.7425784310217</v>
      </c>
      <c r="I19" s="689">
        <f>transport!H54</f>
        <v>0</v>
      </c>
      <c r="J19" s="689">
        <f>transport!I54</f>
        <v>0</v>
      </c>
      <c r="K19" s="689">
        <f>transport!J54</f>
        <v>0</v>
      </c>
      <c r="L19" s="689">
        <f>transport!K54</f>
        <v>0</v>
      </c>
      <c r="M19" s="689">
        <f>transport!L54</f>
        <v>0</v>
      </c>
      <c r="N19" s="689">
        <f>transport!M54</f>
        <v>169.02367259721169</v>
      </c>
      <c r="O19" s="689">
        <f>transport!N54</f>
        <v>0</v>
      </c>
      <c r="P19" s="689">
        <f>transport!O54</f>
        <v>0</v>
      </c>
      <c r="Q19" s="690">
        <f>transport!P54</f>
        <v>0</v>
      </c>
      <c r="R19" s="692">
        <f>SUM(C19:Q19)</f>
        <v>3283.7662510282335</v>
      </c>
      <c r="S19" s="67"/>
    </row>
    <row r="20" spans="1:19" s="451" customFormat="1">
      <c r="A20" s="811" t="s">
        <v>306</v>
      </c>
      <c r="B20" s="816"/>
      <c r="C20" s="689">
        <f>transport!B14</f>
        <v>218.18282341713885</v>
      </c>
      <c r="D20" s="689">
        <f>transport!C14</f>
        <v>0</v>
      </c>
      <c r="E20" s="689">
        <f>transport!D14</f>
        <v>818.64669377151063</v>
      </c>
      <c r="F20" s="689">
        <f>transport!E14</f>
        <v>503.93588542662445</v>
      </c>
      <c r="G20" s="689">
        <f>transport!F14</f>
        <v>0</v>
      </c>
      <c r="H20" s="689">
        <f>transport!G14</f>
        <v>297315.1075899119</v>
      </c>
      <c r="I20" s="689">
        <f>transport!H14</f>
        <v>53595.118652242825</v>
      </c>
      <c r="J20" s="689">
        <f>transport!I14</f>
        <v>0</v>
      </c>
      <c r="K20" s="689">
        <f>transport!J14</f>
        <v>0</v>
      </c>
      <c r="L20" s="689">
        <f>transport!K14</f>
        <v>0</v>
      </c>
      <c r="M20" s="689">
        <f>transport!L14</f>
        <v>0</v>
      </c>
      <c r="N20" s="689">
        <f>transport!M14</f>
        <v>20464.95252365198</v>
      </c>
      <c r="O20" s="689">
        <f>transport!N14</f>
        <v>0</v>
      </c>
      <c r="P20" s="689">
        <f>transport!O14</f>
        <v>0</v>
      </c>
      <c r="Q20" s="690">
        <f>transport!P14</f>
        <v>0</v>
      </c>
      <c r="R20" s="692">
        <f>SUM(C20:Q20)</f>
        <v>372915.94416842202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218.18282341713885</v>
      </c>
      <c r="D22" s="814">
        <f t="shared" ref="D22:R22" si="1">SUM(D18:D21)</f>
        <v>0</v>
      </c>
      <c r="E22" s="814">
        <f t="shared" si="1"/>
        <v>818.64669377151063</v>
      </c>
      <c r="F22" s="814">
        <f t="shared" si="1"/>
        <v>503.93588542662445</v>
      </c>
      <c r="G22" s="814">
        <f t="shared" si="1"/>
        <v>0</v>
      </c>
      <c r="H22" s="814">
        <f t="shared" si="1"/>
        <v>300429.85016834293</v>
      </c>
      <c r="I22" s="814">
        <f t="shared" si="1"/>
        <v>53595.118652242825</v>
      </c>
      <c r="J22" s="814">
        <f t="shared" si="1"/>
        <v>0</v>
      </c>
      <c r="K22" s="814">
        <f t="shared" si="1"/>
        <v>0</v>
      </c>
      <c r="L22" s="814">
        <f t="shared" si="1"/>
        <v>0</v>
      </c>
      <c r="M22" s="814">
        <f t="shared" si="1"/>
        <v>0</v>
      </c>
      <c r="N22" s="814">
        <f t="shared" si="1"/>
        <v>20633.97619624919</v>
      </c>
      <c r="O22" s="814">
        <f t="shared" si="1"/>
        <v>0</v>
      </c>
      <c r="P22" s="814">
        <f t="shared" si="1"/>
        <v>0</v>
      </c>
      <c r="Q22" s="814">
        <f t="shared" si="1"/>
        <v>0</v>
      </c>
      <c r="R22" s="814">
        <f t="shared" si="1"/>
        <v>376199.71041945025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4946.2615099296108</v>
      </c>
      <c r="D24" s="689">
        <f>+landbouw!C8</f>
        <v>7639.7142857142862</v>
      </c>
      <c r="E24" s="689">
        <f>+landbouw!D8</f>
        <v>0</v>
      </c>
      <c r="F24" s="689">
        <f>+landbouw!E8</f>
        <v>184.4612212399569</v>
      </c>
      <c r="G24" s="689">
        <f>+landbouw!F8</f>
        <v>16047.583648894135</v>
      </c>
      <c r="H24" s="689">
        <f>+landbouw!G8</f>
        <v>0</v>
      </c>
      <c r="I24" s="689">
        <f>+landbouw!H8</f>
        <v>0</v>
      </c>
      <c r="J24" s="689">
        <f>+landbouw!I8</f>
        <v>0</v>
      </c>
      <c r="K24" s="689">
        <f>+landbouw!J8</f>
        <v>1298.4180655902558</v>
      </c>
      <c r="L24" s="689">
        <f>+landbouw!K8</f>
        <v>0</v>
      </c>
      <c r="M24" s="689">
        <f>+landbouw!L8</f>
        <v>0</v>
      </c>
      <c r="N24" s="689">
        <f>+landbouw!M8</f>
        <v>0</v>
      </c>
      <c r="O24" s="689">
        <f>+landbouw!N8</f>
        <v>0</v>
      </c>
      <c r="P24" s="689">
        <f>+landbouw!O8</f>
        <v>0</v>
      </c>
      <c r="Q24" s="690">
        <f>+landbouw!P8</f>
        <v>0</v>
      </c>
      <c r="R24" s="692">
        <f>SUM(C24:Q24)</f>
        <v>30116.438731368245</v>
      </c>
      <c r="S24" s="67"/>
    </row>
    <row r="25" spans="1:19" s="451" customFormat="1" ht="15" thickBot="1">
      <c r="A25" s="833" t="s">
        <v>714</v>
      </c>
      <c r="B25" s="947"/>
      <c r="C25" s="948">
        <f>IF(Onbekend_ele_kWh="---",0,Onbekend_ele_kWh)/1000+IF(REST_rest_ele_kWh="---",0,REST_rest_ele_kWh)/1000</f>
        <v>1158.1768273139601</v>
      </c>
      <c r="D25" s="948"/>
      <c r="E25" s="948">
        <f>IF(onbekend_gas_kWh="---",0,onbekend_gas_kWh)/1000+IF(REST_rest_gas_kWh="---",0,REST_rest_gas_kWh)/1000</f>
        <v>2782.1921354132701</v>
      </c>
      <c r="F25" s="948"/>
      <c r="G25" s="948"/>
      <c r="H25" s="948"/>
      <c r="I25" s="948"/>
      <c r="J25" s="948"/>
      <c r="K25" s="948"/>
      <c r="L25" s="948"/>
      <c r="M25" s="948"/>
      <c r="N25" s="948"/>
      <c r="O25" s="948"/>
      <c r="P25" s="948"/>
      <c r="Q25" s="949"/>
      <c r="R25" s="692">
        <f>SUM(C25:Q25)</f>
        <v>3940.3689627272302</v>
      </c>
      <c r="S25" s="67"/>
    </row>
    <row r="26" spans="1:19" s="451" customFormat="1" ht="15.75" thickBot="1">
      <c r="A26" s="697" t="s">
        <v>715</v>
      </c>
      <c r="B26" s="819"/>
      <c r="C26" s="814">
        <f>SUM(C24:C25)</f>
        <v>6104.4383372435714</v>
      </c>
      <c r="D26" s="814">
        <f t="shared" ref="D26:R26" si="2">SUM(D24:D25)</f>
        <v>7639.7142857142862</v>
      </c>
      <c r="E26" s="814">
        <f t="shared" si="2"/>
        <v>2782.1921354132701</v>
      </c>
      <c r="F26" s="814">
        <f t="shared" si="2"/>
        <v>184.4612212399569</v>
      </c>
      <c r="G26" s="814">
        <f t="shared" si="2"/>
        <v>16047.583648894135</v>
      </c>
      <c r="H26" s="814">
        <f t="shared" si="2"/>
        <v>0</v>
      </c>
      <c r="I26" s="814">
        <f t="shared" si="2"/>
        <v>0</v>
      </c>
      <c r="J26" s="814">
        <f t="shared" si="2"/>
        <v>0</v>
      </c>
      <c r="K26" s="814">
        <f t="shared" si="2"/>
        <v>1298.4180655902558</v>
      </c>
      <c r="L26" s="814">
        <f t="shared" si="2"/>
        <v>0</v>
      </c>
      <c r="M26" s="814">
        <f t="shared" si="2"/>
        <v>0</v>
      </c>
      <c r="N26" s="814">
        <f t="shared" si="2"/>
        <v>0</v>
      </c>
      <c r="O26" s="814">
        <f t="shared" si="2"/>
        <v>0</v>
      </c>
      <c r="P26" s="814">
        <f t="shared" si="2"/>
        <v>0</v>
      </c>
      <c r="Q26" s="814">
        <f t="shared" si="2"/>
        <v>0</v>
      </c>
      <c r="R26" s="814">
        <f t="shared" si="2"/>
        <v>34056.807694095478</v>
      </c>
      <c r="S26" s="67"/>
    </row>
    <row r="27" spans="1:19" s="451" customFormat="1" ht="17.25" thickTop="1" thickBot="1">
      <c r="A27" s="698" t="s">
        <v>115</v>
      </c>
      <c r="B27" s="806"/>
      <c r="C27" s="699">
        <f ca="1">C22+C16+C26</f>
        <v>140314.95378756669</v>
      </c>
      <c r="D27" s="699">
        <f t="shared" ref="D27:R27" ca="1" si="3">D22+D16+D26</f>
        <v>7639.7142857142862</v>
      </c>
      <c r="E27" s="699">
        <f t="shared" ca="1" si="3"/>
        <v>187066.11465610241</v>
      </c>
      <c r="F27" s="699">
        <f t="shared" si="3"/>
        <v>12848.831146765824</v>
      </c>
      <c r="G27" s="699">
        <f t="shared" ca="1" si="3"/>
        <v>35691.686127489811</v>
      </c>
      <c r="H27" s="699">
        <f t="shared" si="3"/>
        <v>300429.85016834293</v>
      </c>
      <c r="I27" s="699">
        <f t="shared" si="3"/>
        <v>53595.118652242825</v>
      </c>
      <c r="J27" s="699">
        <f t="shared" si="3"/>
        <v>0</v>
      </c>
      <c r="K27" s="699">
        <f t="shared" si="3"/>
        <v>1299.92807179479</v>
      </c>
      <c r="L27" s="699">
        <f t="shared" si="3"/>
        <v>0</v>
      </c>
      <c r="M27" s="699">
        <f t="shared" ca="1" si="3"/>
        <v>0</v>
      </c>
      <c r="N27" s="699">
        <f t="shared" si="3"/>
        <v>20633.97619624919</v>
      </c>
      <c r="O27" s="699">
        <f t="shared" ca="1" si="3"/>
        <v>32139.098495135411</v>
      </c>
      <c r="P27" s="699">
        <f t="shared" si="3"/>
        <v>784.09176272393313</v>
      </c>
      <c r="Q27" s="699">
        <f t="shared" si="3"/>
        <v>2664.3077554527304</v>
      </c>
      <c r="R27" s="699">
        <f t="shared" ca="1" si="3"/>
        <v>795107.67110558087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7013.4330970971214</v>
      </c>
      <c r="D40" s="689">
        <f ca="1">tertiair!C20</f>
        <v>0</v>
      </c>
      <c r="E40" s="689">
        <f ca="1">tertiair!D20</f>
        <v>6897.0114296335059</v>
      </c>
      <c r="F40" s="689">
        <f>tertiair!E20</f>
        <v>23.812091319110607</v>
      </c>
      <c r="G40" s="689">
        <f ca="1">tertiair!F20</f>
        <v>1292.0373240963304</v>
      </c>
      <c r="H40" s="689">
        <f>tertiair!G20</f>
        <v>0</v>
      </c>
      <c r="I40" s="689">
        <f>tertiair!H20</f>
        <v>0</v>
      </c>
      <c r="J40" s="689">
        <f>tertiair!I20</f>
        <v>0</v>
      </c>
      <c r="K40" s="689">
        <f>tertiair!J20</f>
        <v>1.5862503456881977E-2</v>
      </c>
      <c r="L40" s="689">
        <f>tertiair!K20</f>
        <v>0</v>
      </c>
      <c r="M40" s="689">
        <f ca="1">tertiair!L20</f>
        <v>0</v>
      </c>
      <c r="N40" s="689">
        <f>tertiair!M20</f>
        <v>0</v>
      </c>
      <c r="O40" s="689">
        <f ca="1">tertiair!N20</f>
        <v>0</v>
      </c>
      <c r="P40" s="689">
        <f>tertiair!O20</f>
        <v>0</v>
      </c>
      <c r="Q40" s="772">
        <f>tertiair!P20</f>
        <v>0</v>
      </c>
      <c r="R40" s="852">
        <f t="shared" ca="1" si="4"/>
        <v>15226.309804649525</v>
      </c>
    </row>
    <row r="41" spans="1:18">
      <c r="A41" s="824" t="s">
        <v>224</v>
      </c>
      <c r="B41" s="831"/>
      <c r="C41" s="689">
        <f ca="1">huishoudens!B12</f>
        <v>9081.0216207690173</v>
      </c>
      <c r="D41" s="689">
        <f ca="1">huishoudens!C12</f>
        <v>0</v>
      </c>
      <c r="E41" s="689">
        <f>huishoudens!D12</f>
        <v>25303.5184224761</v>
      </c>
      <c r="F41" s="689">
        <f>huishoudens!E12</f>
        <v>2714.4901678568781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37099.030211101992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4449.0702310852967</v>
      </c>
      <c r="D43" s="689">
        <f ca="1">industrie!C22</f>
        <v>0</v>
      </c>
      <c r="E43" s="689">
        <f>industrie!D22</f>
        <v>4859.455864927766</v>
      </c>
      <c r="F43" s="689">
        <f>industrie!E22</f>
        <v>22.116267926539329</v>
      </c>
      <c r="G43" s="689">
        <f>industrie!F22</f>
        <v>3952.9380376887166</v>
      </c>
      <c r="H43" s="689">
        <f>industrie!G22</f>
        <v>0</v>
      </c>
      <c r="I43" s="689">
        <f>industrie!H22</f>
        <v>0</v>
      </c>
      <c r="J43" s="689">
        <f>industrie!I22</f>
        <v>0</v>
      </c>
      <c r="K43" s="689">
        <f>industrie!J22</f>
        <v>0.51867969294826</v>
      </c>
      <c r="L43" s="689">
        <f>industrie!K22</f>
        <v>0</v>
      </c>
      <c r="M43" s="689">
        <f>industrie!L22</f>
        <v>0</v>
      </c>
      <c r="N43" s="689">
        <f>industrie!M22</f>
        <v>0</v>
      </c>
      <c r="O43" s="689">
        <f>industrie!N22</f>
        <v>0</v>
      </c>
      <c r="P43" s="689">
        <f>industrie!O22</f>
        <v>0</v>
      </c>
      <c r="Q43" s="772">
        <f>industrie!P22</f>
        <v>0</v>
      </c>
      <c r="R43" s="851">
        <f t="shared" ca="1" si="4"/>
        <v>13284.099081321267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20543.524948951435</v>
      </c>
      <c r="D46" s="725">
        <f t="shared" ref="D46:Q46" ca="1" si="5">SUM(D39:D45)</f>
        <v>0</v>
      </c>
      <c r="E46" s="725">
        <f t="shared" ca="1" si="5"/>
        <v>37059.985717037373</v>
      </c>
      <c r="F46" s="725">
        <f t="shared" si="5"/>
        <v>2760.4185271025281</v>
      </c>
      <c r="G46" s="725">
        <f t="shared" ca="1" si="5"/>
        <v>5244.9753617850474</v>
      </c>
      <c r="H46" s="725">
        <f t="shared" si="5"/>
        <v>0</v>
      </c>
      <c r="I46" s="725">
        <f t="shared" si="5"/>
        <v>0</v>
      </c>
      <c r="J46" s="725">
        <f t="shared" si="5"/>
        <v>0</v>
      </c>
      <c r="K46" s="725">
        <f t="shared" si="5"/>
        <v>0.534542196405142</v>
      </c>
      <c r="L46" s="725">
        <f t="shared" si="5"/>
        <v>0</v>
      </c>
      <c r="M46" s="725">
        <f t="shared" ca="1" si="5"/>
        <v>0</v>
      </c>
      <c r="N46" s="725">
        <f t="shared" si="5"/>
        <v>0</v>
      </c>
      <c r="O46" s="725">
        <f t="shared" ca="1" si="5"/>
        <v>0</v>
      </c>
      <c r="P46" s="725">
        <f t="shared" si="5"/>
        <v>0</v>
      </c>
      <c r="Q46" s="725">
        <f t="shared" si="5"/>
        <v>0</v>
      </c>
      <c r="R46" s="725">
        <f ca="1">SUM(R39:R45)</f>
        <v>65609.439097072784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831.63626844108285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831.63626844108285</v>
      </c>
    </row>
    <row r="50" spans="1:18">
      <c r="A50" s="827" t="s">
        <v>306</v>
      </c>
      <c r="B50" s="837"/>
      <c r="C50" s="695">
        <f ca="1">transport!B18</f>
        <v>33.45149821955269</v>
      </c>
      <c r="D50" s="695">
        <f>transport!C18</f>
        <v>0</v>
      </c>
      <c r="E50" s="695">
        <f>transport!D18</f>
        <v>165.36663214184514</v>
      </c>
      <c r="F50" s="695">
        <f>transport!E18</f>
        <v>114.39344599184375</v>
      </c>
      <c r="G50" s="695">
        <f>transport!F18</f>
        <v>0</v>
      </c>
      <c r="H50" s="695">
        <f>transport!G18</f>
        <v>79383.133726506479</v>
      </c>
      <c r="I50" s="695">
        <f>transport!H18</f>
        <v>13345.184544408463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93041.529847268175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33.45149821955269</v>
      </c>
      <c r="D52" s="725">
        <f t="shared" ref="D52:Q52" ca="1" si="6">SUM(D48:D51)</f>
        <v>0</v>
      </c>
      <c r="E52" s="725">
        <f t="shared" si="6"/>
        <v>165.36663214184514</v>
      </c>
      <c r="F52" s="725">
        <f t="shared" si="6"/>
        <v>114.39344599184375</v>
      </c>
      <c r="G52" s="725">
        <f t="shared" si="6"/>
        <v>0</v>
      </c>
      <c r="H52" s="725">
        <f t="shared" si="6"/>
        <v>80214.769994947565</v>
      </c>
      <c r="I52" s="725">
        <f t="shared" si="6"/>
        <v>13345.184544408463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93873.16611570926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758.35418893866529</v>
      </c>
      <c r="D54" s="695">
        <f ca="1">+landbouw!C12</f>
        <v>1785.9176470588238</v>
      </c>
      <c r="E54" s="695">
        <f>+landbouw!D12</f>
        <v>0</v>
      </c>
      <c r="F54" s="695">
        <f>+landbouw!E12</f>
        <v>41.872697221470219</v>
      </c>
      <c r="G54" s="695">
        <f>+landbouw!F12</f>
        <v>4284.7048342547341</v>
      </c>
      <c r="H54" s="695">
        <f>+landbouw!G12</f>
        <v>0</v>
      </c>
      <c r="I54" s="695">
        <f>+landbouw!H12</f>
        <v>0</v>
      </c>
      <c r="J54" s="695">
        <f>+landbouw!I12</f>
        <v>0</v>
      </c>
      <c r="K54" s="695">
        <f>+landbouw!J12</f>
        <v>459.6399952189505</v>
      </c>
      <c r="L54" s="695">
        <f>+landbouw!K12</f>
        <v>0</v>
      </c>
      <c r="M54" s="695">
        <f>+landbouw!L12</f>
        <v>0</v>
      </c>
      <c r="N54" s="695">
        <f>+landbouw!M12</f>
        <v>0</v>
      </c>
      <c r="O54" s="695">
        <f>+landbouw!N12</f>
        <v>0</v>
      </c>
      <c r="P54" s="695">
        <f>+landbouw!O12</f>
        <v>0</v>
      </c>
      <c r="Q54" s="696">
        <f>+landbouw!P12</f>
        <v>0</v>
      </c>
      <c r="R54" s="724">
        <f ca="1">SUM(C54:Q54)</f>
        <v>7330.4893626926441</v>
      </c>
    </row>
    <row r="55" spans="1:18" ht="15" thickBot="1">
      <c r="A55" s="827" t="s">
        <v>714</v>
      </c>
      <c r="B55" s="837"/>
      <c r="C55" s="695">
        <f ca="1">C25*'EF ele_warmte'!B12</f>
        <v>177.57011972820939</v>
      </c>
      <c r="D55" s="695"/>
      <c r="E55" s="695">
        <f>E25*EF_CO2_aardgas</f>
        <v>562.00281135348064</v>
      </c>
      <c r="F55" s="695"/>
      <c r="G55" s="695"/>
      <c r="H55" s="695"/>
      <c r="I55" s="695"/>
      <c r="J55" s="695"/>
      <c r="K55" s="695"/>
      <c r="L55" s="695"/>
      <c r="M55" s="695"/>
      <c r="N55" s="695"/>
      <c r="O55" s="695"/>
      <c r="P55" s="695"/>
      <c r="Q55" s="696"/>
      <c r="R55" s="724">
        <f ca="1">SUM(C55:Q55)</f>
        <v>739.57293108169006</v>
      </c>
    </row>
    <row r="56" spans="1:18" ht="15.75" thickBot="1">
      <c r="A56" s="825" t="s">
        <v>715</v>
      </c>
      <c r="B56" s="838"/>
      <c r="C56" s="725">
        <f ca="1">SUM(C54:C55)</f>
        <v>935.92430866687471</v>
      </c>
      <c r="D56" s="725">
        <f t="shared" ref="D56:Q56" ca="1" si="7">SUM(D54:D55)</f>
        <v>1785.9176470588238</v>
      </c>
      <c r="E56" s="725">
        <f t="shared" si="7"/>
        <v>562.00281135348064</v>
      </c>
      <c r="F56" s="725">
        <f t="shared" si="7"/>
        <v>41.872697221470219</v>
      </c>
      <c r="G56" s="725">
        <f t="shared" si="7"/>
        <v>4284.7048342547341</v>
      </c>
      <c r="H56" s="725">
        <f t="shared" si="7"/>
        <v>0</v>
      </c>
      <c r="I56" s="725">
        <f t="shared" si="7"/>
        <v>0</v>
      </c>
      <c r="J56" s="725">
        <f t="shared" si="7"/>
        <v>0</v>
      </c>
      <c r="K56" s="725">
        <f t="shared" si="7"/>
        <v>459.6399952189505</v>
      </c>
      <c r="L56" s="725">
        <f t="shared" si="7"/>
        <v>0</v>
      </c>
      <c r="M56" s="725">
        <f t="shared" si="7"/>
        <v>0</v>
      </c>
      <c r="N56" s="725">
        <f t="shared" si="7"/>
        <v>0</v>
      </c>
      <c r="O56" s="725">
        <f t="shared" si="7"/>
        <v>0</v>
      </c>
      <c r="P56" s="725">
        <f t="shared" si="7"/>
        <v>0</v>
      </c>
      <c r="Q56" s="726">
        <f t="shared" si="7"/>
        <v>0</v>
      </c>
      <c r="R56" s="727">
        <f ca="1">SUM(R54:R55)</f>
        <v>8070.0622937743337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21512.900755837865</v>
      </c>
      <c r="D61" s="733">
        <f t="shared" ref="D61:Q61" ca="1" si="8">D46+D52+D56</f>
        <v>1785.9176470588238</v>
      </c>
      <c r="E61" s="733">
        <f t="shared" ca="1" si="8"/>
        <v>37787.355160532694</v>
      </c>
      <c r="F61" s="733">
        <f t="shared" si="8"/>
        <v>2916.6846703158421</v>
      </c>
      <c r="G61" s="733">
        <f t="shared" ca="1" si="8"/>
        <v>9529.6801960397825</v>
      </c>
      <c r="H61" s="733">
        <f t="shared" si="8"/>
        <v>80214.769994947565</v>
      </c>
      <c r="I61" s="733">
        <f t="shared" si="8"/>
        <v>13345.184544408463</v>
      </c>
      <c r="J61" s="733">
        <f t="shared" si="8"/>
        <v>0</v>
      </c>
      <c r="K61" s="733">
        <f t="shared" si="8"/>
        <v>460.17453741535564</v>
      </c>
      <c r="L61" s="733">
        <f t="shared" si="8"/>
        <v>0</v>
      </c>
      <c r="M61" s="733">
        <f t="shared" ca="1" si="8"/>
        <v>0</v>
      </c>
      <c r="N61" s="733">
        <f t="shared" si="8"/>
        <v>0</v>
      </c>
      <c r="O61" s="733">
        <f t="shared" ca="1" si="8"/>
        <v>0</v>
      </c>
      <c r="P61" s="733">
        <f t="shared" si="8"/>
        <v>0</v>
      </c>
      <c r="Q61" s="733">
        <f t="shared" si="8"/>
        <v>0</v>
      </c>
      <c r="R61" s="733">
        <f ca="1">R46+R52+R56</f>
        <v>167552.66750655638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0.1533186604501745</v>
      </c>
      <c r="D63" s="779">
        <f t="shared" ca="1" si="9"/>
        <v>0.2337675965707724</v>
      </c>
      <c r="E63" s="973">
        <f t="shared" ca="1" si="9"/>
        <v>0.20200000000000004</v>
      </c>
      <c r="F63" s="779">
        <f t="shared" si="9"/>
        <v>0.22700000000000001</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11190.43567878051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15170.02850291884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87.299999999999969</v>
      </c>
      <c r="C76" s="746">
        <f>'lokale energieproductie'!B8*IFERROR(SUM(D76:H76)/SUM(D76:O76),0)</f>
        <v>5260.4999999999991</v>
      </c>
      <c r="D76" s="956">
        <f>'lokale energieproductie'!C8</f>
        <v>6188.823529411764</v>
      </c>
      <c r="E76" s="957">
        <f>'lokale energieproductie'!D8</f>
        <v>0</v>
      </c>
      <c r="F76" s="957">
        <f>'lokale energieproductie'!E8</f>
        <v>0</v>
      </c>
      <c r="G76" s="957">
        <f>'lokale energieproductie'!F8</f>
        <v>0</v>
      </c>
      <c r="H76" s="957">
        <f>'lokale energieproductie'!G8</f>
        <v>0</v>
      </c>
      <c r="I76" s="957">
        <f>'lokale energieproductie'!I8</f>
        <v>0</v>
      </c>
      <c r="J76" s="957">
        <f>'lokale energieproductie'!J8</f>
        <v>102.70588235294115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1250.1423529411763</v>
      </c>
      <c r="R76" s="854">
        <v>0</v>
      </c>
    </row>
    <row r="77" spans="1:18" ht="15.75" thickBot="1">
      <c r="A77" s="749" t="s">
        <v>760</v>
      </c>
      <c r="B77" s="746">
        <f>'lokale energieproductie'!B9*IFERROR(SUM(I77:O77)/SUM(D77:O77),0)</f>
        <v>16920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48342.857142857152</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43367.764181699349</v>
      </c>
      <c r="C78" s="751">
        <f>SUM(C72:C77)</f>
        <v>5260.4999999999991</v>
      </c>
      <c r="D78" s="752">
        <f t="shared" ref="D78:H78" si="10">SUM(D76:D77)</f>
        <v>6188.823529411764</v>
      </c>
      <c r="E78" s="752">
        <f t="shared" si="10"/>
        <v>0</v>
      </c>
      <c r="F78" s="752">
        <f t="shared" si="10"/>
        <v>0</v>
      </c>
      <c r="G78" s="752">
        <f t="shared" si="10"/>
        <v>0</v>
      </c>
      <c r="H78" s="752">
        <f t="shared" si="10"/>
        <v>0</v>
      </c>
      <c r="I78" s="752">
        <f>SUM(I76:I77)</f>
        <v>0</v>
      </c>
      <c r="J78" s="752">
        <f>SUM(J76:J77)</f>
        <v>48445.563025210096</v>
      </c>
      <c r="K78" s="752">
        <f t="shared" ref="K78:L78" si="11">SUM(K76:K77)</f>
        <v>0</v>
      </c>
      <c r="L78" s="752">
        <f t="shared" si="11"/>
        <v>0</v>
      </c>
      <c r="M78" s="752">
        <f>SUM(M76:M77)</f>
        <v>0</v>
      </c>
      <c r="N78" s="752">
        <f>SUM(N76:N77)</f>
        <v>0</v>
      </c>
      <c r="O78" s="862">
        <f>SUM(O76:O77)</f>
        <v>0</v>
      </c>
      <c r="P78" s="753">
        <v>0</v>
      </c>
      <c r="Q78" s="753">
        <f>SUM(Q76:Q77)</f>
        <v>1250.1423529411763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124.71428571428569</v>
      </c>
      <c r="C87" s="764">
        <f>'lokale energieproductie'!B17*IFERROR(SUM(D87:H87)/SUM(D87:O87),0)</f>
        <v>7515.0000000000009</v>
      </c>
      <c r="D87" s="775">
        <f>'lokale energieproductie'!C17</f>
        <v>8841.176470588236</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146.72268907563023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1785.9176470588238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124.71428571428569</v>
      </c>
      <c r="C90" s="751">
        <f>SUM(C87:C89)</f>
        <v>7515.0000000000009</v>
      </c>
      <c r="D90" s="751">
        <f t="shared" ref="D90:H90" si="12">SUM(D87:D89)</f>
        <v>8841.176470588236</v>
      </c>
      <c r="E90" s="751">
        <f t="shared" si="12"/>
        <v>0</v>
      </c>
      <c r="F90" s="751">
        <f t="shared" si="12"/>
        <v>0</v>
      </c>
      <c r="G90" s="751">
        <f t="shared" si="12"/>
        <v>0</v>
      </c>
      <c r="H90" s="751">
        <f t="shared" si="12"/>
        <v>0</v>
      </c>
      <c r="I90" s="751">
        <f>SUM(I87:I89)</f>
        <v>0</v>
      </c>
      <c r="J90" s="751">
        <f>SUM(J87:J89)</f>
        <v>146.72268907563023</v>
      </c>
      <c r="K90" s="751">
        <f t="shared" ref="K90:L90" si="13">SUM(K87:K89)</f>
        <v>0</v>
      </c>
      <c r="L90" s="751">
        <f t="shared" si="13"/>
        <v>0</v>
      </c>
      <c r="M90" s="751">
        <f>SUM(M87:M89)</f>
        <v>0</v>
      </c>
      <c r="N90" s="751">
        <f>SUM(N87:N89)</f>
        <v>0</v>
      </c>
      <c r="O90" s="751">
        <f>SUM(O87:O89)</f>
        <v>0</v>
      </c>
      <c r="P90" s="751">
        <v>0</v>
      </c>
      <c r="Q90" s="751">
        <f>SUM(Q87:Q89)</f>
        <v>1785.9176470588238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11190.43567878051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15170.02850291884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5347.7999999999993</v>
      </c>
      <c r="C8" s="551">
        <f>B52</f>
        <v>6188.823529411764</v>
      </c>
      <c r="D8" s="552"/>
      <c r="E8" s="552">
        <f>E52</f>
        <v>0</v>
      </c>
      <c r="F8" s="553"/>
      <c r="G8" s="554"/>
      <c r="H8" s="552">
        <f>I52</f>
        <v>0</v>
      </c>
      <c r="I8" s="552">
        <f>G52+F52</f>
        <v>0</v>
      </c>
      <c r="J8" s="552">
        <f>H52+D52+C52</f>
        <v>102.70588235294115</v>
      </c>
      <c r="K8" s="552"/>
      <c r="L8" s="552"/>
      <c r="M8" s="552"/>
      <c r="N8" s="555"/>
      <c r="O8" s="556">
        <f>C8*$C$12+D8*$D$12+E8*$E$12+F8*$F$12+G8*$G$12+H8*$H$12+I8*$I$12+J8*$J$12</f>
        <v>1250.1423529411763</v>
      </c>
      <c r="P8" s="1256"/>
      <c r="Q8" s="1257"/>
      <c r="S8" s="546"/>
      <c r="T8" s="1244"/>
      <c r="U8" s="1244"/>
    </row>
    <row r="9" spans="1:21" s="537" customFormat="1" ht="17.45" customHeight="1" thickBot="1">
      <c r="A9" s="557" t="s">
        <v>247</v>
      </c>
      <c r="B9" s="558">
        <f>N40+'Eigen informatie GS &amp; warmtenet'!B12</f>
        <v>16920</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48628.264181699349</v>
      </c>
      <c r="C10" s="566">
        <f t="shared" ref="C10:L10" si="0">SUM(C8:C9)</f>
        <v>6188.823529411764</v>
      </c>
      <c r="D10" s="566">
        <f t="shared" si="0"/>
        <v>0</v>
      </c>
      <c r="E10" s="566">
        <f t="shared" si="0"/>
        <v>0</v>
      </c>
      <c r="F10" s="566">
        <f t="shared" si="0"/>
        <v>0</v>
      </c>
      <c r="G10" s="566">
        <f t="shared" si="0"/>
        <v>0</v>
      </c>
      <c r="H10" s="566">
        <f t="shared" si="0"/>
        <v>0</v>
      </c>
      <c r="I10" s="566">
        <f t="shared" si="0"/>
        <v>0</v>
      </c>
      <c r="J10" s="566">
        <f t="shared" si="0"/>
        <v>48445.563025210096</v>
      </c>
      <c r="K10" s="566">
        <f t="shared" si="0"/>
        <v>0</v>
      </c>
      <c r="L10" s="566">
        <f t="shared" si="0"/>
        <v>0</v>
      </c>
      <c r="M10" s="969"/>
      <c r="N10" s="969"/>
      <c r="O10" s="567">
        <f>SUM(O4:O9)</f>
        <v>1250.1423529411763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7639.7142857142862</v>
      </c>
      <c r="C17" s="582">
        <f>B53</f>
        <v>8841.176470588236</v>
      </c>
      <c r="D17" s="583"/>
      <c r="E17" s="583">
        <f>E53</f>
        <v>0</v>
      </c>
      <c r="F17" s="584"/>
      <c r="G17" s="585"/>
      <c r="H17" s="582">
        <f>I53</f>
        <v>0</v>
      </c>
      <c r="I17" s="583">
        <f>G53+F53</f>
        <v>0</v>
      </c>
      <c r="J17" s="583">
        <f>H53+D53+C53</f>
        <v>146.72268907563023</v>
      </c>
      <c r="K17" s="583"/>
      <c r="L17" s="583"/>
      <c r="M17" s="583"/>
      <c r="N17" s="970"/>
      <c r="O17" s="586">
        <f>C17*$C$22+E17*$E$22+H17*$H$22+I17*$I$22+J17*$J$22+D17*$D$22+F17*$F$22+G17*$G$22+K17*$K$22+L17*$L$22</f>
        <v>1785.9176470588238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7639.7142857142862</v>
      </c>
      <c r="C20" s="565">
        <f>SUM(C17:C19)</f>
        <v>8841.176470588236</v>
      </c>
      <c r="D20" s="565">
        <f t="shared" ref="D20:L20" si="1">SUM(D17:D19)</f>
        <v>0</v>
      </c>
      <c r="E20" s="565">
        <f t="shared" si="1"/>
        <v>0</v>
      </c>
      <c r="F20" s="565">
        <f t="shared" si="1"/>
        <v>0</v>
      </c>
      <c r="G20" s="565">
        <f t="shared" si="1"/>
        <v>0</v>
      </c>
      <c r="H20" s="565">
        <f t="shared" si="1"/>
        <v>0</v>
      </c>
      <c r="I20" s="565">
        <f t="shared" si="1"/>
        <v>0</v>
      </c>
      <c r="J20" s="565">
        <f t="shared" si="1"/>
        <v>146.72268907563023</v>
      </c>
      <c r="K20" s="565">
        <f t="shared" si="1"/>
        <v>0</v>
      </c>
      <c r="L20" s="565">
        <f t="shared" si="1"/>
        <v>0</v>
      </c>
      <c r="M20" s="565"/>
      <c r="N20" s="565"/>
      <c r="O20" s="591">
        <f>SUM(O17:O19)</f>
        <v>1785.9176470588238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11009</v>
      </c>
      <c r="C28" s="794">
        <v>2960</v>
      </c>
      <c r="D28" s="643" t="s">
        <v>865</v>
      </c>
      <c r="E28" s="642" t="s">
        <v>866</v>
      </c>
      <c r="F28" s="642" t="s">
        <v>867</v>
      </c>
      <c r="G28" s="642" t="s">
        <v>868</v>
      </c>
      <c r="H28" s="642" t="s">
        <v>869</v>
      </c>
      <c r="I28" s="642" t="s">
        <v>866</v>
      </c>
      <c r="J28" s="793">
        <v>39737</v>
      </c>
      <c r="K28" s="793">
        <v>39737</v>
      </c>
      <c r="L28" s="642" t="s">
        <v>870</v>
      </c>
      <c r="M28" s="642">
        <v>1169</v>
      </c>
      <c r="N28" s="642">
        <v>5260.5</v>
      </c>
      <c r="O28" s="642">
        <v>7515</v>
      </c>
      <c r="P28" s="642">
        <v>15030.000000000002</v>
      </c>
      <c r="Q28" s="642">
        <v>0</v>
      </c>
      <c r="R28" s="642">
        <v>0</v>
      </c>
      <c r="S28" s="642">
        <v>0</v>
      </c>
      <c r="T28" s="642">
        <v>0</v>
      </c>
      <c r="U28" s="642">
        <v>0</v>
      </c>
      <c r="V28" s="642">
        <v>0</v>
      </c>
      <c r="W28" s="642">
        <v>0</v>
      </c>
      <c r="X28" s="642">
        <v>10</v>
      </c>
      <c r="Y28" s="642" t="s">
        <v>111</v>
      </c>
      <c r="Z28" s="644" t="s">
        <v>111</v>
      </c>
    </row>
    <row r="29" spans="1:26" s="596" customFormat="1" ht="25.5">
      <c r="A29" s="595"/>
      <c r="B29" s="794">
        <v>11009</v>
      </c>
      <c r="C29" s="794">
        <v>2960</v>
      </c>
      <c r="D29" s="643" t="s">
        <v>871</v>
      </c>
      <c r="E29" s="642" t="s">
        <v>872</v>
      </c>
      <c r="F29" s="642" t="s">
        <v>873</v>
      </c>
      <c r="G29" s="642" t="s">
        <v>868</v>
      </c>
      <c r="H29" s="642" t="s">
        <v>869</v>
      </c>
      <c r="I29" s="642" t="s">
        <v>872</v>
      </c>
      <c r="J29" s="793">
        <v>41086</v>
      </c>
      <c r="K29" s="793">
        <v>41214</v>
      </c>
      <c r="L29" s="642" t="s">
        <v>870</v>
      </c>
      <c r="M29" s="642">
        <v>9.6999999999999993</v>
      </c>
      <c r="N29" s="642">
        <v>43.649999999999991</v>
      </c>
      <c r="O29" s="642">
        <v>62.357142857142847</v>
      </c>
      <c r="P29" s="642">
        <v>0</v>
      </c>
      <c r="Q29" s="642">
        <v>124.71428571428569</v>
      </c>
      <c r="R29" s="642">
        <v>0</v>
      </c>
      <c r="S29" s="642">
        <v>0</v>
      </c>
      <c r="T29" s="642">
        <v>0</v>
      </c>
      <c r="U29" s="642">
        <v>0</v>
      </c>
      <c r="V29" s="642">
        <v>0</v>
      </c>
      <c r="W29" s="642">
        <v>0</v>
      </c>
      <c r="X29" s="642">
        <v>10</v>
      </c>
      <c r="Y29" s="642" t="s">
        <v>111</v>
      </c>
      <c r="Z29" s="644" t="s">
        <v>111</v>
      </c>
    </row>
    <row r="30" spans="1:26" s="596" customFormat="1" ht="25.5">
      <c r="A30" s="595"/>
      <c r="B30" s="794">
        <v>11009</v>
      </c>
      <c r="C30" s="794">
        <v>2960</v>
      </c>
      <c r="D30" s="643" t="s">
        <v>874</v>
      </c>
      <c r="E30" s="642" t="s">
        <v>875</v>
      </c>
      <c r="F30" s="642" t="s">
        <v>876</v>
      </c>
      <c r="G30" s="642" t="s">
        <v>868</v>
      </c>
      <c r="H30" s="642" t="s">
        <v>869</v>
      </c>
      <c r="I30" s="642" t="s">
        <v>877</v>
      </c>
      <c r="J30" s="793">
        <v>41086</v>
      </c>
      <c r="K30" s="793">
        <v>41244</v>
      </c>
      <c r="L30" s="642" t="s">
        <v>870</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1188.4000000000001</v>
      </c>
      <c r="N31" s="600">
        <f>SUM(N28:N30)</f>
        <v>5347.7999999999993</v>
      </c>
      <c r="O31" s="600">
        <f>SUM(O28:O30)</f>
        <v>7639.7142857142862</v>
      </c>
      <c r="P31" s="600">
        <f>SUM(P28:P30)</f>
        <v>15030.000000000002</v>
      </c>
      <c r="Q31" s="600">
        <f>SUM(Q28:Q30)</f>
        <v>249.42857142857139</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1188.4000000000001</v>
      </c>
      <c r="N34" s="605">
        <f>SUMIF($Z$28:$Z$30,"landbouw",N28:N30)</f>
        <v>5347.7999999999993</v>
      </c>
      <c r="O34" s="605">
        <f>SUMIF($Z$28:$Z$30,"landbouw",O28:O30)</f>
        <v>7639.7142857142862</v>
      </c>
      <c r="P34" s="605">
        <f>SUMIF($Z$28:$Z$30,"landbouw",P28:P30)</f>
        <v>15030.000000000002</v>
      </c>
      <c r="Q34" s="605">
        <f>SUMIF($Z$28:$Z$30,"landbouw",Q28:Q30)</f>
        <v>249.42857142857139</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63.75">
      <c r="A37" s="597"/>
      <c r="B37" s="794">
        <v>11009</v>
      </c>
      <c r="C37" s="794">
        <v>2960</v>
      </c>
      <c r="D37" s="645" t="s">
        <v>878</v>
      </c>
      <c r="E37" s="645" t="s">
        <v>879</v>
      </c>
      <c r="F37" s="645" t="s">
        <v>880</v>
      </c>
      <c r="G37" s="645" t="s">
        <v>881</v>
      </c>
      <c r="H37" s="645" t="s">
        <v>882</v>
      </c>
      <c r="I37" s="645" t="s">
        <v>883</v>
      </c>
      <c r="J37" s="793">
        <v>40365</v>
      </c>
      <c r="K37" s="793">
        <v>40704</v>
      </c>
      <c r="L37" s="645" t="s">
        <v>884</v>
      </c>
      <c r="M37" s="645">
        <v>2353</v>
      </c>
      <c r="N37" s="645">
        <v>10588.500000000002</v>
      </c>
      <c r="O37" s="645">
        <v>0</v>
      </c>
      <c r="P37" s="645">
        <v>0</v>
      </c>
      <c r="Q37" s="645">
        <v>30252.857142857149</v>
      </c>
      <c r="R37" s="645">
        <v>0</v>
      </c>
      <c r="S37" s="645">
        <v>0</v>
      </c>
      <c r="T37" s="645">
        <v>0</v>
      </c>
      <c r="U37" s="645">
        <v>0</v>
      </c>
      <c r="V37" s="645">
        <v>0</v>
      </c>
      <c r="W37" s="645">
        <v>0</v>
      </c>
      <c r="X37" s="645">
        <v>1600</v>
      </c>
      <c r="Y37" s="645" t="s">
        <v>49</v>
      </c>
      <c r="Z37" s="646" t="s">
        <v>155</v>
      </c>
    </row>
    <row r="38" spans="1:27" s="611" customFormat="1" ht="63.75">
      <c r="A38" s="597"/>
      <c r="B38" s="794">
        <v>11009</v>
      </c>
      <c r="C38" s="794">
        <v>2960</v>
      </c>
      <c r="D38" s="645" t="s">
        <v>885</v>
      </c>
      <c r="E38" s="645" t="s">
        <v>886</v>
      </c>
      <c r="F38" s="645" t="s">
        <v>887</v>
      </c>
      <c r="G38" s="645" t="s">
        <v>888</v>
      </c>
      <c r="H38" s="645" t="s">
        <v>882</v>
      </c>
      <c r="I38" s="645" t="s">
        <v>889</v>
      </c>
      <c r="J38" s="793">
        <v>39943</v>
      </c>
      <c r="K38" s="793">
        <v>38200</v>
      </c>
      <c r="L38" s="645" t="s">
        <v>884</v>
      </c>
      <c r="M38" s="645">
        <v>1095</v>
      </c>
      <c r="N38" s="645">
        <v>4927.5</v>
      </c>
      <c r="O38" s="645">
        <v>0</v>
      </c>
      <c r="P38" s="645">
        <v>0</v>
      </c>
      <c r="Q38" s="645">
        <v>14078.571428571429</v>
      </c>
      <c r="R38" s="645">
        <v>0</v>
      </c>
      <c r="S38" s="645">
        <v>0</v>
      </c>
      <c r="T38" s="645">
        <v>0</v>
      </c>
      <c r="U38" s="645">
        <v>0</v>
      </c>
      <c r="V38" s="645">
        <v>0</v>
      </c>
      <c r="W38" s="645">
        <v>0</v>
      </c>
      <c r="X38" s="645">
        <v>1600</v>
      </c>
      <c r="Y38" s="645" t="s">
        <v>49</v>
      </c>
      <c r="Z38" s="646" t="s">
        <v>155</v>
      </c>
    </row>
    <row r="39" spans="1:27" s="611" customFormat="1" ht="63.75">
      <c r="A39" s="597"/>
      <c r="B39" s="794">
        <v>11009</v>
      </c>
      <c r="C39" s="794">
        <v>2960</v>
      </c>
      <c r="D39" s="645" t="s">
        <v>884</v>
      </c>
      <c r="E39" s="645" t="s">
        <v>890</v>
      </c>
      <c r="F39" s="645" t="s">
        <v>891</v>
      </c>
      <c r="G39" s="645" t="s">
        <v>892</v>
      </c>
      <c r="H39" s="645" t="s">
        <v>882</v>
      </c>
      <c r="I39" s="645" t="s">
        <v>893</v>
      </c>
      <c r="J39" s="793">
        <v>35323</v>
      </c>
      <c r="K39" s="793">
        <v>37653</v>
      </c>
      <c r="L39" s="645" t="s">
        <v>884</v>
      </c>
      <c r="M39" s="645">
        <v>312</v>
      </c>
      <c r="N39" s="645">
        <v>1404</v>
      </c>
      <c r="O39" s="645">
        <v>0</v>
      </c>
      <c r="P39" s="645">
        <v>0</v>
      </c>
      <c r="Q39" s="645">
        <v>0</v>
      </c>
      <c r="R39" s="645">
        <v>4011.4285714285716</v>
      </c>
      <c r="S39" s="645">
        <v>0</v>
      </c>
      <c r="T39" s="645">
        <v>0</v>
      </c>
      <c r="U39" s="645">
        <v>0</v>
      </c>
      <c r="V39" s="645">
        <v>0</v>
      </c>
      <c r="W39" s="645">
        <v>0</v>
      </c>
      <c r="X39" s="645">
        <v>1600</v>
      </c>
      <c r="Y39" s="645" t="s">
        <v>49</v>
      </c>
      <c r="Z39" s="646" t="s">
        <v>155</v>
      </c>
    </row>
    <row r="40" spans="1:27" s="576" customFormat="1">
      <c r="A40" s="598" t="s">
        <v>279</v>
      </c>
      <c r="B40" s="599"/>
      <c r="C40" s="599"/>
      <c r="D40" s="599"/>
      <c r="E40" s="599"/>
      <c r="F40" s="599"/>
      <c r="G40" s="599"/>
      <c r="H40" s="599"/>
      <c r="I40" s="599"/>
      <c r="J40" s="599"/>
      <c r="K40" s="599"/>
      <c r="L40" s="600"/>
      <c r="M40" s="600">
        <f>SUM(M37:M39)</f>
        <v>3760</v>
      </c>
      <c r="N40" s="600">
        <f>SUM(N37:N39)</f>
        <v>16920</v>
      </c>
      <c r="O40" s="600">
        <f>SUM(O37:O39)</f>
        <v>0</v>
      </c>
      <c r="P40" s="600">
        <f>SUM(P37:P39)</f>
        <v>0</v>
      </c>
      <c r="Q40" s="600">
        <f>SUM(Q37:Q39)</f>
        <v>44331.42857142858</v>
      </c>
      <c r="R40" s="600">
        <f>SUM(R37:R39)</f>
        <v>4011.4285714285716</v>
      </c>
      <c r="S40" s="600">
        <f>SUM(S37:S39)</f>
        <v>0</v>
      </c>
      <c r="T40" s="600">
        <f>SUM(T37:T39)</f>
        <v>0</v>
      </c>
      <c r="U40" s="600">
        <f>SUM(U37:U39)</f>
        <v>0</v>
      </c>
      <c r="V40" s="600">
        <f>SUM(V37:V39)</f>
        <v>0</v>
      </c>
      <c r="W40" s="600">
        <f>SUM(W37:W39)</f>
        <v>0</v>
      </c>
      <c r="X40" s="601"/>
      <c r="Y40" s="601"/>
      <c r="Z40" s="602"/>
    </row>
    <row r="41" spans="1:27" s="576" customFormat="1">
      <c r="A41" s="598" t="s">
        <v>286</v>
      </c>
      <c r="B41" s="599"/>
      <c r="C41" s="599"/>
      <c r="D41" s="599"/>
      <c r="E41" s="599"/>
      <c r="F41" s="599"/>
      <c r="G41" s="599"/>
      <c r="H41" s="599"/>
      <c r="I41" s="599"/>
      <c r="J41" s="599"/>
      <c r="K41" s="599"/>
      <c r="L41" s="600"/>
      <c r="M41" s="600">
        <f>SUMIF($Z$37:$Z$39,"industrie",M37:M39)</f>
        <v>0</v>
      </c>
      <c r="N41" s="600">
        <f>SUMIF($Z$37:$Z$39,"industrie",N37:N39)</f>
        <v>0</v>
      </c>
      <c r="O41" s="600">
        <f>SUMIF($Z$37:$Z$39,"industrie",O37:O39)</f>
        <v>0</v>
      </c>
      <c r="P41" s="600">
        <f>SUMIF($Z$37:$Z$39,"industrie",P37:P39)</f>
        <v>0</v>
      </c>
      <c r="Q41" s="600">
        <f>SUMIF($Z$37:$Z$39,"industrie",Q37:Q39)</f>
        <v>0</v>
      </c>
      <c r="R41" s="600">
        <f>SUMIF($Z$37:$Z$39,"industrie",R37:R39)</f>
        <v>0</v>
      </c>
      <c r="S41" s="600">
        <f>SUMIF($Z$37:$Z$39,"industrie",S37:S39)</f>
        <v>0</v>
      </c>
      <c r="T41" s="600">
        <f>SUMIF($Z$37:$Z$39,"industrie",T37:T39)</f>
        <v>0</v>
      </c>
      <c r="U41" s="600">
        <f>SUMIF($Z$37:$Z$39,"industrie",U37:U39)</f>
        <v>0</v>
      </c>
      <c r="V41" s="600">
        <f>SUMIF($Z$37:$Z$39,"industrie",V37:V39)</f>
        <v>0</v>
      </c>
      <c r="W41" s="600">
        <f>SUMIF($Z$37:$Z$39,"industrie",W37:W39)</f>
        <v>0</v>
      </c>
      <c r="X41" s="601"/>
      <c r="Y41" s="601"/>
      <c r="Z41" s="602"/>
    </row>
    <row r="42" spans="1:27" s="576" customFormat="1">
      <c r="A42" s="598" t="s">
        <v>287</v>
      </c>
      <c r="B42" s="599"/>
      <c r="C42" s="599"/>
      <c r="D42" s="599"/>
      <c r="E42" s="599"/>
      <c r="F42" s="599"/>
      <c r="G42" s="599"/>
      <c r="H42" s="599"/>
      <c r="I42" s="599"/>
      <c r="J42" s="599"/>
      <c r="K42" s="599"/>
      <c r="L42" s="600"/>
      <c r="M42" s="600">
        <f>SUMIF($Z$37:$Z$40,"tertiair",M37:M40)</f>
        <v>3760</v>
      </c>
      <c r="N42" s="600">
        <f>SUMIF($Z$37:$Z$40,"tertiair",N37:N40)</f>
        <v>16920</v>
      </c>
      <c r="O42" s="600">
        <f>SUMIF($Z$37:$Z$40,"tertiair",O37:O40)</f>
        <v>0</v>
      </c>
      <c r="P42" s="600">
        <f>SUMIF($Z$37:$Z$40,"tertiair",P37:P40)</f>
        <v>0</v>
      </c>
      <c r="Q42" s="600">
        <f>SUMIF($Z$37:$Z$40,"tertiair",Q37:Q40)</f>
        <v>44331.42857142858</v>
      </c>
      <c r="R42" s="600">
        <f>SUMIF($Z$37:$Z$40,"tertiair",R37:R40)</f>
        <v>4011.4285714285716</v>
      </c>
      <c r="S42" s="600">
        <f>SUMIF($Z$37:$Z$40,"tertiair",S37:S40)</f>
        <v>0</v>
      </c>
      <c r="T42" s="600">
        <f>SUMIF($Z$37:$Z$40,"tertiair",T37:T40)</f>
        <v>0</v>
      </c>
      <c r="U42" s="600">
        <f>SUMIF($Z$37:$Z$40,"tertiair",U37:U40)</f>
        <v>0</v>
      </c>
      <c r="V42" s="600">
        <f>SUMIF($Z$37:$Z$40,"tertiair",V37:V40)</f>
        <v>0</v>
      </c>
      <c r="W42" s="600">
        <f>SUMIF($Z$37:$Z$40,"tertiair",W37:W40)</f>
        <v>0</v>
      </c>
      <c r="X42" s="601"/>
      <c r="Y42" s="601"/>
      <c r="Z42" s="602"/>
    </row>
    <row r="43" spans="1:27" s="576" customFormat="1" ht="15.75" thickBot="1">
      <c r="A43" s="603" t="s">
        <v>288</v>
      </c>
      <c r="B43" s="604"/>
      <c r="C43" s="604"/>
      <c r="D43" s="604"/>
      <c r="E43" s="604"/>
      <c r="F43" s="604"/>
      <c r="G43" s="604"/>
      <c r="H43" s="604"/>
      <c r="I43" s="604"/>
      <c r="J43" s="604"/>
      <c r="K43" s="604"/>
      <c r="L43" s="605"/>
      <c r="M43" s="605">
        <f>SUMIF($Z$37:$Z$41,"landbouw",M37:M41)</f>
        <v>0</v>
      </c>
      <c r="N43" s="605">
        <f>SUMIF($Z$37:$Z$41,"landbouw",N37:N41)</f>
        <v>0</v>
      </c>
      <c r="O43" s="605">
        <f>SUMIF($Z$37:$Z$41,"landbouw",O37:O41)</f>
        <v>0</v>
      </c>
      <c r="P43" s="605">
        <f>SUMIF($Z$37:$Z$41,"landbouw",P37:P41)</f>
        <v>0</v>
      </c>
      <c r="Q43" s="605">
        <f>SUMIF($Z$37:$Z$41,"landbouw",Q37:Q41)</f>
        <v>0</v>
      </c>
      <c r="R43" s="605">
        <f>SUMIF($Z$37:$Z$41,"landbouw",R37:R41)</f>
        <v>0</v>
      </c>
      <c r="S43" s="605">
        <f>SUMIF($Z$37:$Z$41,"landbouw",S37:S41)</f>
        <v>0</v>
      </c>
      <c r="T43" s="605">
        <f>SUMIF($Z$37:$Z$41,"landbouw",T37:T41)</f>
        <v>0</v>
      </c>
      <c r="U43" s="605">
        <f>SUMIF($Z$37:$Z$41,"landbouw",U37:U41)</f>
        <v>0</v>
      </c>
      <c r="V43" s="605">
        <f>SUMIF($Z$37:$Z$41,"landbouw",V37:V41)</f>
        <v>0</v>
      </c>
      <c r="W43" s="605">
        <f>SUMIF($Z$37:$Z$41,"landbouw",W37:W41)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IF(ISERROR(O31/(O31+N31)),0,O31/(O31+N31))</f>
        <v>0.58823529411764708</v>
      </c>
      <c r="C49" s="625">
        <f>IF(ISERROR(N31/(O31+N31)),0,N31/(N31+O31))</f>
        <v>0.41176470588235287</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$C$49*P31</f>
        <v>6188.823529411764</v>
      </c>
      <c r="C52" s="634">
        <f t="shared" si="2"/>
        <v>102.70588235294115</v>
      </c>
      <c r="D52" s="634">
        <f t="shared" si="2"/>
        <v>0</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$B$49*P31</f>
        <v>8841.176470588236</v>
      </c>
      <c r="C53" s="637">
        <f t="shared" si="3"/>
        <v>146.72268907563023</v>
      </c>
      <c r="D53" s="637">
        <f t="shared" si="3"/>
        <v>0</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59229.72190146528</v>
      </c>
      <c r="C4" s="455">
        <f>huishoudens!C8</f>
        <v>0</v>
      </c>
      <c r="D4" s="455">
        <f>huishoudens!D8</f>
        <v>125264.94268552524</v>
      </c>
      <c r="E4" s="455">
        <f>huishoudens!E8</f>
        <v>11958.106466329858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30715.049359328419</v>
      </c>
      <c r="O4" s="455">
        <f>huishoudens!O8</f>
        <v>740.01641583136279</v>
      </c>
      <c r="P4" s="456">
        <f>huishoudens!P8</f>
        <v>2349.0729256137602</v>
      </c>
      <c r="Q4" s="457">
        <f>SUM(B4:P4)</f>
        <v>230256.90975409391</v>
      </c>
    </row>
    <row r="5" spans="1:17">
      <c r="A5" s="454" t="s">
        <v>155</v>
      </c>
      <c r="B5" s="455">
        <f ca="1">tertiair!B16</f>
        <v>44521.006450799585</v>
      </c>
      <c r="C5" s="455">
        <f ca="1">tertiair!C16</f>
        <v>0</v>
      </c>
      <c r="D5" s="455">
        <f ca="1">tertiair!D16</f>
        <v>34143.620938779728</v>
      </c>
      <c r="E5" s="455">
        <f>tertiair!E16</f>
        <v>104.89908070092778</v>
      </c>
      <c r="F5" s="455">
        <f ca="1">tertiair!F16</f>
        <v>4839.0911014843832</v>
      </c>
      <c r="G5" s="455">
        <f>tertiair!G16</f>
        <v>0</v>
      </c>
      <c r="H5" s="455">
        <f>tertiair!H16</f>
        <v>0</v>
      </c>
      <c r="I5" s="455">
        <f>tertiair!I16</f>
        <v>0</v>
      </c>
      <c r="J5" s="455">
        <f>tertiair!J16</f>
        <v>4.4809331799101633E-2</v>
      </c>
      <c r="K5" s="455">
        <f>tertiair!K16</f>
        <v>0</v>
      </c>
      <c r="L5" s="455">
        <f ca="1">tertiair!L16</f>
        <v>0</v>
      </c>
      <c r="M5" s="455">
        <f>tertiair!M16</f>
        <v>0</v>
      </c>
      <c r="N5" s="455">
        <f ca="1">tertiair!N16</f>
        <v>0</v>
      </c>
      <c r="O5" s="455">
        <f>tertiair!O16</f>
        <v>44.075346892570387</v>
      </c>
      <c r="P5" s="456">
        <f>tertiair!P16</f>
        <v>315.23482983897009</v>
      </c>
      <c r="Q5" s="454">
        <f t="shared" ref="Q5:Q14" ca="1" si="0">SUM(B5:P5)</f>
        <v>83967.972557827961</v>
      </c>
    </row>
    <row r="6" spans="1:17">
      <c r="A6" s="454" t="s">
        <v>193</v>
      </c>
      <c r="B6" s="455">
        <f>'openbare verlichting'!B8</f>
        <v>1223.152</v>
      </c>
      <c r="C6" s="455"/>
      <c r="D6" s="455"/>
      <c r="E6" s="455"/>
      <c r="F6" s="455"/>
      <c r="G6" s="455"/>
      <c r="H6" s="455"/>
      <c r="I6" s="455"/>
      <c r="J6" s="455"/>
      <c r="K6" s="455"/>
      <c r="L6" s="455"/>
      <c r="M6" s="455"/>
      <c r="N6" s="455"/>
      <c r="O6" s="455"/>
      <c r="P6" s="456"/>
      <c r="Q6" s="454">
        <f t="shared" si="0"/>
        <v>1223.152</v>
      </c>
    </row>
    <row r="7" spans="1:17">
      <c r="A7" s="454" t="s">
        <v>111</v>
      </c>
      <c r="B7" s="455">
        <f>landbouw!B8</f>
        <v>4946.2615099296108</v>
      </c>
      <c r="C7" s="455">
        <f>landbouw!C8</f>
        <v>7639.7142857142862</v>
      </c>
      <c r="D7" s="455">
        <f>landbouw!D8</f>
        <v>0</v>
      </c>
      <c r="E7" s="455">
        <f>landbouw!E8</f>
        <v>184.4612212399569</v>
      </c>
      <c r="F7" s="455">
        <f>landbouw!F8</f>
        <v>16047.583648894135</v>
      </c>
      <c r="G7" s="455">
        <f>landbouw!G8</f>
        <v>0</v>
      </c>
      <c r="H7" s="455">
        <f>landbouw!H8</f>
        <v>0</v>
      </c>
      <c r="I7" s="455">
        <f>landbouw!I8</f>
        <v>0</v>
      </c>
      <c r="J7" s="455">
        <f>landbouw!J8</f>
        <v>1298.4180655902558</v>
      </c>
      <c r="K7" s="455">
        <f>landbouw!K8</f>
        <v>0</v>
      </c>
      <c r="L7" s="455">
        <f>landbouw!L8</f>
        <v>0</v>
      </c>
      <c r="M7" s="455">
        <f>landbouw!M8</f>
        <v>0</v>
      </c>
      <c r="N7" s="455">
        <f>landbouw!N8</f>
        <v>0</v>
      </c>
      <c r="O7" s="455">
        <f>landbouw!O8</f>
        <v>0</v>
      </c>
      <c r="P7" s="456">
        <f>landbouw!P8</f>
        <v>0</v>
      </c>
      <c r="Q7" s="454">
        <f t="shared" si="0"/>
        <v>30116.438731368245</v>
      </c>
    </row>
    <row r="8" spans="1:17">
      <c r="A8" s="454" t="s">
        <v>626</v>
      </c>
      <c r="B8" s="455">
        <f>industrie!B18</f>
        <v>29018.452274641128</v>
      </c>
      <c r="C8" s="455">
        <f>industrie!C18</f>
        <v>0</v>
      </c>
      <c r="D8" s="455">
        <f>industrie!D18</f>
        <v>24056.7122026127</v>
      </c>
      <c r="E8" s="455">
        <f>industrie!E18</f>
        <v>97.428493068455197</v>
      </c>
      <c r="F8" s="455">
        <f>industrie!F18</f>
        <v>14805.011377111297</v>
      </c>
      <c r="G8" s="455">
        <f>industrie!G18</f>
        <v>0</v>
      </c>
      <c r="H8" s="455">
        <f>industrie!H18</f>
        <v>0</v>
      </c>
      <c r="I8" s="455">
        <f>industrie!I18</f>
        <v>0</v>
      </c>
      <c r="J8" s="455">
        <f>industrie!J18</f>
        <v>1.4651968727351978</v>
      </c>
      <c r="K8" s="455">
        <f>industrie!K18</f>
        <v>0</v>
      </c>
      <c r="L8" s="455">
        <f>industrie!L18</f>
        <v>0</v>
      </c>
      <c r="M8" s="455">
        <f>industrie!M18</f>
        <v>0</v>
      </c>
      <c r="N8" s="455">
        <f>industrie!N18</f>
        <v>1424.0491358069935</v>
      </c>
      <c r="O8" s="455">
        <f>industrie!O18</f>
        <v>0</v>
      </c>
      <c r="P8" s="456">
        <f>industrie!P18</f>
        <v>0</v>
      </c>
      <c r="Q8" s="454">
        <f t="shared" si="0"/>
        <v>69403.118680113315</v>
      </c>
    </row>
    <row r="9" spans="1:17" s="460" customFormat="1">
      <c r="A9" s="458" t="s">
        <v>552</v>
      </c>
      <c r="B9" s="459">
        <f>transport!B14</f>
        <v>218.18282341713885</v>
      </c>
      <c r="C9" s="459">
        <f>transport!C14</f>
        <v>0</v>
      </c>
      <c r="D9" s="459">
        <f>transport!D14</f>
        <v>818.64669377151063</v>
      </c>
      <c r="E9" s="459">
        <f>transport!E14</f>
        <v>503.93588542662445</v>
      </c>
      <c r="F9" s="459">
        <f>transport!F14</f>
        <v>0</v>
      </c>
      <c r="G9" s="459">
        <f>transport!G14</f>
        <v>297315.1075899119</v>
      </c>
      <c r="H9" s="459">
        <f>transport!H14</f>
        <v>53595.118652242825</v>
      </c>
      <c r="I9" s="459">
        <f>transport!I14</f>
        <v>0</v>
      </c>
      <c r="J9" s="459">
        <f>transport!J14</f>
        <v>0</v>
      </c>
      <c r="K9" s="459">
        <f>transport!K14</f>
        <v>0</v>
      </c>
      <c r="L9" s="459">
        <f>transport!L14</f>
        <v>0</v>
      </c>
      <c r="M9" s="459">
        <f>transport!M14</f>
        <v>20464.95252365198</v>
      </c>
      <c r="N9" s="459">
        <f>transport!N14</f>
        <v>0</v>
      </c>
      <c r="O9" s="459">
        <f>transport!O14</f>
        <v>0</v>
      </c>
      <c r="P9" s="459">
        <f>transport!P14</f>
        <v>0</v>
      </c>
      <c r="Q9" s="458">
        <f>SUM(B9:P9)</f>
        <v>372915.94416842202</v>
      </c>
    </row>
    <row r="10" spans="1:17">
      <c r="A10" s="454" t="s">
        <v>542</v>
      </c>
      <c r="B10" s="455">
        <f>transport!B54</f>
        <v>0</v>
      </c>
      <c r="C10" s="455">
        <f>transport!C54</f>
        <v>0</v>
      </c>
      <c r="D10" s="455">
        <f>transport!D54</f>
        <v>0</v>
      </c>
      <c r="E10" s="455">
        <f>transport!E54</f>
        <v>0</v>
      </c>
      <c r="F10" s="455">
        <f>transport!F54</f>
        <v>0</v>
      </c>
      <c r="G10" s="455">
        <f>transport!G54</f>
        <v>3114.7425784310217</v>
      </c>
      <c r="H10" s="455">
        <f>transport!H54</f>
        <v>0</v>
      </c>
      <c r="I10" s="455">
        <f>transport!I54</f>
        <v>0</v>
      </c>
      <c r="J10" s="455">
        <f>transport!J54</f>
        <v>0</v>
      </c>
      <c r="K10" s="455">
        <f>transport!K54</f>
        <v>0</v>
      </c>
      <c r="L10" s="455">
        <f>transport!L54</f>
        <v>0</v>
      </c>
      <c r="M10" s="455">
        <f>transport!M54</f>
        <v>169.02367259721169</v>
      </c>
      <c r="N10" s="455">
        <f>transport!N54</f>
        <v>0</v>
      </c>
      <c r="O10" s="455">
        <f>transport!O54</f>
        <v>0</v>
      </c>
      <c r="P10" s="456">
        <f>transport!P54</f>
        <v>0</v>
      </c>
      <c r="Q10" s="454">
        <f t="shared" si="0"/>
        <v>3283.7662510282335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1158.1768273139601</v>
      </c>
      <c r="C14" s="462"/>
      <c r="D14" s="462">
        <f>'SEAP template'!E25</f>
        <v>2782.1921354132701</v>
      </c>
      <c r="E14" s="462"/>
      <c r="F14" s="462"/>
      <c r="G14" s="462"/>
      <c r="H14" s="462"/>
      <c r="I14" s="462"/>
      <c r="J14" s="462"/>
      <c r="K14" s="462"/>
      <c r="L14" s="462"/>
      <c r="M14" s="462"/>
      <c r="N14" s="462"/>
      <c r="O14" s="462"/>
      <c r="P14" s="463"/>
      <c r="Q14" s="454">
        <f t="shared" si="0"/>
        <v>3940.3689627272302</v>
      </c>
    </row>
    <row r="15" spans="1:17" s="466" customFormat="1">
      <c r="A15" s="464" t="s">
        <v>546</v>
      </c>
      <c r="B15" s="465">
        <f ca="1">SUM(B4:B14)</f>
        <v>140314.95378756669</v>
      </c>
      <c r="C15" s="465">
        <f t="shared" ref="C15:Q15" ca="1" si="1">SUM(C4:C14)</f>
        <v>7639.7142857142862</v>
      </c>
      <c r="D15" s="465">
        <f t="shared" ca="1" si="1"/>
        <v>187066.11465610241</v>
      </c>
      <c r="E15" s="465">
        <f t="shared" si="1"/>
        <v>12848.831146765824</v>
      </c>
      <c r="F15" s="465">
        <f t="shared" ca="1" si="1"/>
        <v>35691.686127489818</v>
      </c>
      <c r="G15" s="465">
        <f t="shared" si="1"/>
        <v>300429.85016834293</v>
      </c>
      <c r="H15" s="465">
        <f t="shared" si="1"/>
        <v>53595.118652242825</v>
      </c>
      <c r="I15" s="465">
        <f t="shared" si="1"/>
        <v>0</v>
      </c>
      <c r="J15" s="465">
        <f t="shared" si="1"/>
        <v>1299.9280717947902</v>
      </c>
      <c r="K15" s="465">
        <f t="shared" si="1"/>
        <v>0</v>
      </c>
      <c r="L15" s="465">
        <f t="shared" ca="1" si="1"/>
        <v>0</v>
      </c>
      <c r="M15" s="465">
        <f t="shared" si="1"/>
        <v>20633.97619624919</v>
      </c>
      <c r="N15" s="465">
        <f t="shared" ca="1" si="1"/>
        <v>32139.098495135411</v>
      </c>
      <c r="O15" s="465">
        <f t="shared" si="1"/>
        <v>784.09176272393313</v>
      </c>
      <c r="P15" s="465">
        <f t="shared" si="1"/>
        <v>2664.3077554527304</v>
      </c>
      <c r="Q15" s="465">
        <f t="shared" ca="1" si="1"/>
        <v>795107.67110558099</v>
      </c>
    </row>
    <row r="17" spans="1:17">
      <c r="A17" s="467" t="s">
        <v>547</v>
      </c>
      <c r="B17" s="784">
        <f ca="1">huishoudens!B10</f>
        <v>0.15331866045017448</v>
      </c>
      <c r="C17" s="784">
        <f ca="1">huishoudens!C10</f>
        <v>0.2337675965707724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9081.0216207690173</v>
      </c>
      <c r="C22" s="455">
        <f t="shared" ref="C22:C32" ca="1" si="3">C4*$C$17</f>
        <v>0</v>
      </c>
      <c r="D22" s="455">
        <f t="shared" ref="D22:D32" si="4">D4*$D$17</f>
        <v>25303.5184224761</v>
      </c>
      <c r="E22" s="455">
        <f t="shared" ref="E22:E32" si="5">E4*$E$17</f>
        <v>2714.4901678568781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37099.030211101992</v>
      </c>
    </row>
    <row r="23" spans="1:17">
      <c r="A23" s="454" t="s">
        <v>155</v>
      </c>
      <c r="B23" s="455">
        <f t="shared" ca="1" si="2"/>
        <v>6825.9010709301692</v>
      </c>
      <c r="C23" s="455">
        <f t="shared" ca="1" si="3"/>
        <v>0</v>
      </c>
      <c r="D23" s="455">
        <f t="shared" ca="1" si="4"/>
        <v>6897.0114296335059</v>
      </c>
      <c r="E23" s="455">
        <f t="shared" si="5"/>
        <v>23.812091319110607</v>
      </c>
      <c r="F23" s="455">
        <f t="shared" ca="1" si="6"/>
        <v>1292.0373240963304</v>
      </c>
      <c r="G23" s="455">
        <f t="shared" si="7"/>
        <v>0</v>
      </c>
      <c r="H23" s="455">
        <f t="shared" si="8"/>
        <v>0</v>
      </c>
      <c r="I23" s="455">
        <f t="shared" si="9"/>
        <v>0</v>
      </c>
      <c r="J23" s="455">
        <f t="shared" si="10"/>
        <v>1.5862503456881977E-2</v>
      </c>
      <c r="K23" s="455">
        <f t="shared" si="11"/>
        <v>0</v>
      </c>
      <c r="L23" s="455">
        <f t="shared" ca="1" si="12"/>
        <v>0</v>
      </c>
      <c r="M23" s="455">
        <f t="shared" si="13"/>
        <v>0</v>
      </c>
      <c r="N23" s="455">
        <f t="shared" ca="1" si="14"/>
        <v>0</v>
      </c>
      <c r="O23" s="455">
        <f t="shared" si="15"/>
        <v>0</v>
      </c>
      <c r="P23" s="456">
        <f t="shared" si="16"/>
        <v>0</v>
      </c>
      <c r="Q23" s="454">
        <f t="shared" ref="Q23:Q31" ca="1" si="17">SUM(B23:P23)</f>
        <v>15038.777778482572</v>
      </c>
    </row>
    <row r="24" spans="1:17">
      <c r="A24" s="454" t="s">
        <v>193</v>
      </c>
      <c r="B24" s="455">
        <f t="shared" ca="1" si="2"/>
        <v>187.53202616695182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187.53202616695182</v>
      </c>
    </row>
    <row r="25" spans="1:17">
      <c r="A25" s="454" t="s">
        <v>111</v>
      </c>
      <c r="B25" s="455">
        <f t="shared" ca="1" si="2"/>
        <v>758.35418893866529</v>
      </c>
      <c r="C25" s="455">
        <f t="shared" ca="1" si="3"/>
        <v>1785.9176470588238</v>
      </c>
      <c r="D25" s="455">
        <f t="shared" si="4"/>
        <v>0</v>
      </c>
      <c r="E25" s="455">
        <f t="shared" si="5"/>
        <v>41.872697221470219</v>
      </c>
      <c r="F25" s="455">
        <f t="shared" si="6"/>
        <v>4284.7048342547341</v>
      </c>
      <c r="G25" s="455">
        <f t="shared" si="7"/>
        <v>0</v>
      </c>
      <c r="H25" s="455">
        <f t="shared" si="8"/>
        <v>0</v>
      </c>
      <c r="I25" s="455">
        <f t="shared" si="9"/>
        <v>0</v>
      </c>
      <c r="J25" s="455">
        <f t="shared" si="10"/>
        <v>459.6399952189505</v>
      </c>
      <c r="K25" s="455">
        <f t="shared" si="11"/>
        <v>0</v>
      </c>
      <c r="L25" s="455">
        <f t="shared" si="12"/>
        <v>0</v>
      </c>
      <c r="M25" s="455">
        <f t="shared" si="13"/>
        <v>0</v>
      </c>
      <c r="N25" s="455">
        <f t="shared" si="14"/>
        <v>0</v>
      </c>
      <c r="O25" s="455">
        <f t="shared" si="15"/>
        <v>0</v>
      </c>
      <c r="P25" s="456">
        <f t="shared" si="16"/>
        <v>0</v>
      </c>
      <c r="Q25" s="454">
        <f t="shared" ca="1" si="17"/>
        <v>7330.4893626926441</v>
      </c>
    </row>
    <row r="26" spans="1:17">
      <c r="A26" s="454" t="s">
        <v>626</v>
      </c>
      <c r="B26" s="455">
        <f t="shared" ca="1" si="2"/>
        <v>4449.0702310852967</v>
      </c>
      <c r="C26" s="455">
        <f t="shared" ca="1" si="3"/>
        <v>0</v>
      </c>
      <c r="D26" s="455">
        <f t="shared" si="4"/>
        <v>4859.455864927766</v>
      </c>
      <c r="E26" s="455">
        <f t="shared" si="5"/>
        <v>22.116267926539329</v>
      </c>
      <c r="F26" s="455">
        <f t="shared" si="6"/>
        <v>3952.9380376887166</v>
      </c>
      <c r="G26" s="455">
        <f t="shared" si="7"/>
        <v>0</v>
      </c>
      <c r="H26" s="455">
        <f t="shared" si="8"/>
        <v>0</v>
      </c>
      <c r="I26" s="455">
        <f t="shared" si="9"/>
        <v>0</v>
      </c>
      <c r="J26" s="455">
        <f t="shared" si="10"/>
        <v>0.51867969294826</v>
      </c>
      <c r="K26" s="455">
        <f t="shared" si="11"/>
        <v>0</v>
      </c>
      <c r="L26" s="455">
        <f t="shared" si="12"/>
        <v>0</v>
      </c>
      <c r="M26" s="455">
        <f t="shared" si="13"/>
        <v>0</v>
      </c>
      <c r="N26" s="455">
        <f t="shared" si="14"/>
        <v>0</v>
      </c>
      <c r="O26" s="455">
        <f t="shared" si="15"/>
        <v>0</v>
      </c>
      <c r="P26" s="456">
        <f t="shared" si="16"/>
        <v>0</v>
      </c>
      <c r="Q26" s="454">
        <f t="shared" ca="1" si="17"/>
        <v>13284.099081321267</v>
      </c>
    </row>
    <row r="27" spans="1:17" s="460" customFormat="1">
      <c r="A27" s="458" t="s">
        <v>552</v>
      </c>
      <c r="B27" s="778">
        <f t="shared" ca="1" si="2"/>
        <v>33.45149821955269</v>
      </c>
      <c r="C27" s="459">
        <f t="shared" ca="1" si="3"/>
        <v>0</v>
      </c>
      <c r="D27" s="459">
        <f t="shared" si="4"/>
        <v>165.36663214184514</v>
      </c>
      <c r="E27" s="459">
        <f t="shared" si="5"/>
        <v>114.39344599184375</v>
      </c>
      <c r="F27" s="459">
        <f t="shared" si="6"/>
        <v>0</v>
      </c>
      <c r="G27" s="459">
        <f t="shared" si="7"/>
        <v>79383.133726506479</v>
      </c>
      <c r="H27" s="459">
        <f t="shared" si="8"/>
        <v>13345.184544408463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93041.529847268175</v>
      </c>
    </row>
    <row r="28" spans="1:17" ht="16.5" customHeight="1">
      <c r="A28" s="454" t="s">
        <v>542</v>
      </c>
      <c r="B28" s="455">
        <f t="shared" ca="1" si="2"/>
        <v>0</v>
      </c>
      <c r="C28" s="455">
        <f t="shared" ca="1" si="3"/>
        <v>0</v>
      </c>
      <c r="D28" s="455">
        <f t="shared" si="4"/>
        <v>0</v>
      </c>
      <c r="E28" s="455">
        <f t="shared" si="5"/>
        <v>0</v>
      </c>
      <c r="F28" s="455">
        <f t="shared" si="6"/>
        <v>0</v>
      </c>
      <c r="G28" s="455">
        <f t="shared" si="7"/>
        <v>831.63626844108285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831.63626844108285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177.57011972820939</v>
      </c>
      <c r="C32" s="455">
        <f t="shared" ca="1" si="3"/>
        <v>0</v>
      </c>
      <c r="D32" s="455">
        <f t="shared" si="4"/>
        <v>562.00281135348064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739.57293108169006</v>
      </c>
    </row>
    <row r="33" spans="1:17" s="466" customFormat="1">
      <c r="A33" s="464" t="s">
        <v>546</v>
      </c>
      <c r="B33" s="465">
        <f ca="1">SUM(B22:B32)</f>
        <v>21512.900755837865</v>
      </c>
      <c r="C33" s="465">
        <f t="shared" ref="C33:Q33" ca="1" si="19">SUM(C22:C32)</f>
        <v>1785.9176470588238</v>
      </c>
      <c r="D33" s="465">
        <f t="shared" ca="1" si="19"/>
        <v>37787.355160532694</v>
      </c>
      <c r="E33" s="465">
        <f t="shared" si="19"/>
        <v>2916.6846703158421</v>
      </c>
      <c r="F33" s="465">
        <f t="shared" ca="1" si="19"/>
        <v>9529.6801960397806</v>
      </c>
      <c r="G33" s="465">
        <f t="shared" si="19"/>
        <v>80214.769994947565</v>
      </c>
      <c r="H33" s="465">
        <f t="shared" si="19"/>
        <v>13345.184544408463</v>
      </c>
      <c r="I33" s="465">
        <f t="shared" si="19"/>
        <v>0</v>
      </c>
      <c r="J33" s="465">
        <f t="shared" si="19"/>
        <v>460.17453741535564</v>
      </c>
      <c r="K33" s="465">
        <f t="shared" si="19"/>
        <v>0</v>
      </c>
      <c r="L33" s="465">
        <f t="shared" ca="1" si="19"/>
        <v>0</v>
      </c>
      <c r="M33" s="465">
        <f t="shared" si="19"/>
        <v>0</v>
      </c>
      <c r="N33" s="465">
        <f t="shared" ca="1" si="19"/>
        <v>0</v>
      </c>
      <c r="O33" s="465">
        <f t="shared" si="19"/>
        <v>0</v>
      </c>
      <c r="P33" s="465">
        <f t="shared" si="19"/>
        <v>0</v>
      </c>
      <c r="Q33" s="465">
        <f t="shared" ca="1" si="19"/>
        <v>167552.66750655638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11190.43567878051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15170.02850291884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87.299999999999969</v>
      </c>
      <c r="C8" s="1026">
        <f>'SEAP template'!C76</f>
        <v>5260.4999999999991</v>
      </c>
      <c r="D8" s="1026">
        <f>'SEAP template'!D76</f>
        <v>6188.823529411764</v>
      </c>
      <c r="E8" s="1026">
        <f>'SEAP template'!E76</f>
        <v>0</v>
      </c>
      <c r="F8" s="1026">
        <f>'SEAP template'!F76</f>
        <v>0</v>
      </c>
      <c r="G8" s="1026">
        <f>'SEAP template'!G76</f>
        <v>0</v>
      </c>
      <c r="H8" s="1026">
        <f>'SEAP template'!H76</f>
        <v>0</v>
      </c>
      <c r="I8" s="1026">
        <f>'SEAP template'!I76</f>
        <v>0</v>
      </c>
      <c r="J8" s="1026">
        <f>'SEAP template'!J76</f>
        <v>102.70588235294115</v>
      </c>
      <c r="K8" s="1026">
        <f>'SEAP template'!K76</f>
        <v>0</v>
      </c>
      <c r="L8" s="1026">
        <f>'SEAP template'!L76</f>
        <v>0</v>
      </c>
      <c r="M8" s="1026">
        <f>'SEAP template'!M76</f>
        <v>0</v>
      </c>
      <c r="N8" s="1026">
        <f>'SEAP template'!N76</f>
        <v>0</v>
      </c>
      <c r="O8" s="1026">
        <f>'SEAP template'!O76</f>
        <v>0</v>
      </c>
      <c r="P8" s="1027">
        <f>'SEAP template'!Q76</f>
        <v>1250.1423529411763</v>
      </c>
    </row>
    <row r="9" spans="1:16">
      <c r="A9" s="1032" t="s">
        <v>761</v>
      </c>
      <c r="B9" s="1026">
        <f>'SEAP template'!B77</f>
        <v>16920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48342.857142857152</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43367.764181699349</v>
      </c>
      <c r="C10" s="1028">
        <f>SUM(C4:C9)</f>
        <v>5260.4999999999991</v>
      </c>
      <c r="D10" s="1028">
        <f t="shared" ref="D10:H10" si="0">SUM(D8:D9)</f>
        <v>6188.823529411764</v>
      </c>
      <c r="E10" s="1028">
        <f t="shared" si="0"/>
        <v>0</v>
      </c>
      <c r="F10" s="1028">
        <f t="shared" si="0"/>
        <v>0</v>
      </c>
      <c r="G10" s="1028">
        <f t="shared" si="0"/>
        <v>0</v>
      </c>
      <c r="H10" s="1028">
        <f t="shared" si="0"/>
        <v>0</v>
      </c>
      <c r="I10" s="1028">
        <f>SUM(I8:I9)</f>
        <v>0</v>
      </c>
      <c r="J10" s="1028">
        <f>SUM(J8:J9)</f>
        <v>48445.563025210096</v>
      </c>
      <c r="K10" s="1028">
        <f t="shared" ref="K10:L10" si="1">SUM(K8:K9)</f>
        <v>0</v>
      </c>
      <c r="L10" s="1028">
        <f t="shared" si="1"/>
        <v>0</v>
      </c>
      <c r="M10" s="1028">
        <f>SUM(M8:M9)</f>
        <v>0</v>
      </c>
      <c r="N10" s="1028">
        <f>SUM(N8:N9)</f>
        <v>0</v>
      </c>
      <c r="O10" s="1028">
        <f>SUM(O8:O9)</f>
        <v>0</v>
      </c>
      <c r="P10" s="1028">
        <f>SUM(P8:P9)</f>
        <v>1250.1423529411763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0.15331866045017448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124.71428571428569</v>
      </c>
      <c r="C17" s="1029">
        <f>'SEAP template'!C87</f>
        <v>7515.0000000000009</v>
      </c>
      <c r="D17" s="1027">
        <f>'SEAP template'!D87</f>
        <v>8841.176470588236</v>
      </c>
      <c r="E17" s="1027">
        <f>'SEAP template'!E87</f>
        <v>0</v>
      </c>
      <c r="F17" s="1027">
        <f>'SEAP template'!F87</f>
        <v>0</v>
      </c>
      <c r="G17" s="1027">
        <f>'SEAP template'!G87</f>
        <v>0</v>
      </c>
      <c r="H17" s="1027">
        <f>'SEAP template'!H87</f>
        <v>0</v>
      </c>
      <c r="I17" s="1027">
        <f>'SEAP template'!I87</f>
        <v>0</v>
      </c>
      <c r="J17" s="1027">
        <f>'SEAP template'!J87</f>
        <v>146.72268907563023</v>
      </c>
      <c r="K17" s="1027">
        <f>'SEAP template'!K87</f>
        <v>0</v>
      </c>
      <c r="L17" s="1027">
        <f>'SEAP template'!L87</f>
        <v>0</v>
      </c>
      <c r="M17" s="1027">
        <f>'SEAP template'!M87</f>
        <v>0</v>
      </c>
      <c r="N17" s="1027">
        <f>'SEAP template'!N87</f>
        <v>0</v>
      </c>
      <c r="O17" s="1027">
        <f>'SEAP template'!O87</f>
        <v>0</v>
      </c>
      <c r="P17" s="1027">
        <f>'SEAP template'!Q87</f>
        <v>1785.9176470588238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124.71428571428569</v>
      </c>
      <c r="C20" s="1028">
        <f>SUM(C17:C19)</f>
        <v>7515.0000000000009</v>
      </c>
      <c r="D20" s="1028">
        <f t="shared" ref="D20:H20" si="2">SUM(D17:D19)</f>
        <v>8841.176470588236</v>
      </c>
      <c r="E20" s="1028">
        <f t="shared" si="2"/>
        <v>0</v>
      </c>
      <c r="F20" s="1028">
        <f t="shared" si="2"/>
        <v>0</v>
      </c>
      <c r="G20" s="1028">
        <f t="shared" si="2"/>
        <v>0</v>
      </c>
      <c r="H20" s="1028">
        <f t="shared" si="2"/>
        <v>0</v>
      </c>
      <c r="I20" s="1028">
        <f>SUM(I17:I19)</f>
        <v>0</v>
      </c>
      <c r="J20" s="1028">
        <f>SUM(J17:J19)</f>
        <v>146.72268907563023</v>
      </c>
      <c r="K20" s="1028">
        <f t="shared" ref="K20:L20" si="3">SUM(K17:K19)</f>
        <v>0</v>
      </c>
      <c r="L20" s="1028">
        <f t="shared" si="3"/>
        <v>0</v>
      </c>
      <c r="M20" s="1028">
        <f>SUM(M17:M19)</f>
        <v>0</v>
      </c>
      <c r="N20" s="1028">
        <f>SUM(N17:N19)</f>
        <v>0</v>
      </c>
      <c r="O20" s="1028">
        <f>SUM(O17:O19)</f>
        <v>0</v>
      </c>
      <c r="P20" s="1028">
        <f>SUM(P17:P19)</f>
        <v>1785.9176470588238</v>
      </c>
    </row>
    <row r="21" spans="1:16">
      <c r="B21" s="890"/>
    </row>
    <row r="22" spans="1:16">
      <c r="A22" s="467" t="s">
        <v>773</v>
      </c>
      <c r="B22" s="784" t="s">
        <v>771</v>
      </c>
      <c r="C22" s="784">
        <f ca="1">'EF ele_warmte'!B22</f>
        <v>0.2337675965707724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0.15331866045017448</v>
      </c>
      <c r="C17" s="504">
        <f ca="1">'EF ele_warmte'!B22</f>
        <v>0.2337675965707724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2020-06-20T15:17:12Z</dcterms:modified>
</cp:coreProperties>
</file>