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<sst xmlns="http://schemas.openxmlformats.org/spreadsheetml/2006/main" count="2366" uniqueCount="865">
  <si>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</si>
  <si>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</si>
  <si>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</si>
  <si>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</si>
  <si>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</si>
  <si>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</si>
  <si>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</si>
  <si>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</si>
  <si>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</si>
  <si>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</si>
  <si>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</si>
  <si>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</si>
  <si>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</si>
  <si>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</si>
  <si>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</si>
  <si>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</si>
  <si>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</si>
  <si>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</si>
  <si>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</si>
  <si>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</si>
  <si>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</si>
  <si>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</si>
  <si>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</si>
  <si>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</si>
  <si>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</si>
  <si>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</si>
  <si>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</si>
  <si>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</si>
  <si>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</si>
  <si>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</si>
  <si>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</si>
  <si>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</si>
  <si>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</si>
  <si>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</si>
  <si>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</si>
  <si>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</si>
  <si>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</si>
  <si>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</si>
  <si>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</si>
  <si>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</si>
  <si>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</si>
  <si>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</si>
  <si>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</si>
  <si>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</si>
  <si>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</si>
  <si>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</si>
  <si>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</si>
  <si>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</si>
  <si>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</si>
  <si>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</si>
  <si>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</si>
  <si>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</si>
  <si>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</si>
  <si>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</si>
  <si>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</si>
  <si>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</si>
  <si>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</si>
  <si>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</si>
  <si>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</si>
  <si>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</si>
  <si>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</si>
  <si>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</si>
  <si>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</si>
  <si>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</si>
  <si>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</si>
  <si>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</si>
  <si>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</si>
  <si>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</si>
  <si>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</si>
  <si>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</si>
  <si>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</si>
  <si>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</si>
  <si>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</si>
  <si>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</si>
  <si>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</si>
  <si>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</si>
  <si>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</si>
  <si>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</si>
  <si>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</si>
  <si>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</si>
  <si>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</si>
  <si>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</si>
  <si>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</si>
  <si>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</si>
  <si>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</si>
  <si>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</si>
  <si>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</si>
  <si>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</si>
  <si>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</si>
  <si>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</si>
  <si>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</si>
  <si>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</si>
  <si>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</si>
  <si>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</si>
  <si>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</si>
  <si>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</si>
  <si>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</si>
  <si>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</si>
  <si>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</si>
  <si>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</si>
  <si>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</si>
  <si>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</si>
  <si>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</si>
  <si>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</si>
  <si>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</si>
  <si>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</si>
  <si>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</si>
  <si>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</si>
  <si>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</si>
  <si>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</si>
  <si>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</si>
  <si>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</si>
  <si>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</si>
  <si>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</si>
  <si>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</si>
  <si>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</si>
  <si>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</si>
  <si>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</si>
  <si>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</si>
  <si>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</si>
  <si>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</si>
  <si>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</si>
  <si>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</si>
  <si>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</si>
  <si>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</si>
  <si>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</si>
  <si>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</si>
  <si>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</si>
  <si>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</si>
  <si>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</si>
  <si>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</si>
  <si>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</si>
  <si>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</si>
  <si>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</si>
  <si>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</si>
  <si>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</si>
  <si>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</si>
  <si>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</si>
  <si>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</si>
  <si>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</si>
  <si>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</si>
  <si>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</si>
  <si>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</si>
  <si>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</si>
  <si>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</si>
  <si>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</si>
  <si>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</si>
  <si>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</si>
  <si>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</si>
  <si>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</si>
  <si>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</si>
  <si>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</si>
  <si>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</si>
  <si>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</si>
  <si>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</si>
  <si>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</si>
  <si>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</si>
  <si>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</si>
  <si>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</si>
  <si>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</si>
  <si>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</si>
  <si>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</si>
  <si>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</si>
  <si>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</si>
  <si>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</si>
  <si>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</si>
  <si>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</si>
  <si>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</si>
  <si>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</si>
  <si>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</si>
  <si>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</si>
  <si>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</si>
  <si>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</si>
  <si>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</si>
  <si>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</si>
  <si>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</si>
  <si>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</si>
  <si>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</si>
  <si>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</si>
  <si>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</si>
  <si>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</si>
  <si>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</si>
  <si>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</si>
  <si>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</si>
  <si>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</si>
  <si>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</si>
  <si>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</si>
  <si>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</si>
  <si>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</si>
  <si>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</si>
  <si>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</si>
  <si>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</si>
  <si>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</si>
  <si>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</si>
  <si>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</si>
  <si>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</si>
  <si>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</si>
  <si>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</si>
  <si>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</si>
  <si>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</si>
  <si>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</si>
  <si>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</si>
  <si>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</si>
  <si>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</si>
  <si>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</si>
  <si>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</si>
  <si>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</si>
  <si>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</si>
  <si>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</si>
  <si>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</si>
  <si>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</si>
  <si>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</si>
  <si>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</si>
  <si>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</si>
  <si>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</si>
  <si>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</si>
  <si>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</si>
  <si>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</si>
  <si>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</si>
  <si>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</si>
  <si>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</si>
  <si>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</si>
  <si>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</si>
  <si>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</si>
  <si>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</si>
  <si>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</si>
  <si>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</si>
  <si>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</si>
  <si>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</si>
  <si>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</si>
  <si>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</si>
  <si>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</si>
  <si>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</si>
  <si>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</si>
  <si>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</si>
  <si>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</si>
  <si>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</si>
  <si>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</si>
  <si>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</si>
  <si>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</si>
  <si>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</si>
  <si>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</si>
  <si>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</si>
  <si>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</si>
  <si>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</si>
  <si>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</si>
  <si>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</si>
  <si>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</si>
  <si>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</si>
  <si>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</si>
  <si>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</si>
  <si>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</si>
  <si>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</si>
  <si>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</si>
  <si>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</si>
  <si>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</si>
  <si>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</si>
  <si>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</si>
  <si>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</si>
  <si>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</si>
  <si>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</si>
  <si>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</si>
  <si>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</si>
  <si>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</si>
  <si>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</si>
  <si>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</si>
  <si>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</si>
  <si>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</si>
  <si>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</si>
  <si>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</si>
  <si>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</si>
  <si>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</si>
  <si>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</si>
  <si>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</si>
  <si>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</si>
  <si>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</si>
  <si>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</si>
  <si>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</si>
  <si>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</si>
  <si>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</si>
  <si>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</si>
  <si>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</si>
  <si>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</si>
  <si>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</si>
  <si>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</si>
  <si>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</si>
  <si>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</si>
  <si>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</si>
  <si>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</si>
  <si>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</si>
  <si>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</si>
  <si>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</si>
  <si>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</si>
  <si>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</si>
  <si>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</si>
  <si>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</si>
  <si>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</si>
  <si>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</si>
  <si>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</si>
  <si>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</si>
  <si>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</si>
  <si>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</si>
  <si>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</si>
  <si>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</si>
  <si>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</si>
  <si>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</si>
  <si>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</si>
  <si>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</si>
  <si>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</si>
  <si>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</si>
  <si>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</si>
  <si>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</si>
  <si>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</si>
  <si>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</si>
  <si>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</si>
  <si>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</si>
  <si>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</si>
  <si>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</si>
  <si>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</si>
  <si>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</si>
  <si>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</si>
  <si>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</si>
  <si>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</si>
  <si>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</si>
  <si>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</si>
  <si>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</si>
  <si>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</si>
  <si>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</si>
  <si>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</si>
  <si>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</si>
  <si>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</si>
  <si>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</si>
  <si>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</si>
  <si>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</si>
  <si>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</si>
  <si>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</si>
  <si>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</si>
  <si>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</si>
  <si>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</si>
  <si>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</si>
  <si>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</si>
  <si>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</si>
  <si>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</si>
  <si>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</si>
  <si>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</si>
  <si>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</si>
  <si>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</si>
  <si>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</si>
  <si>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</si>
  <si>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</si>
  <si>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</si>
  <si>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</si>
  <si>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</si>
  <si>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</si>
  <si>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</si>
  <si>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</si>
  <si>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</si>
  <si>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</si>
  <si>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</si>
  <si>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</si>
  <si>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</si>
  <si>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</si>
  <si>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</si>
  <si>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</si>
  <si>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</si>
  <si>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</si>
  <si>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</si>
  <si>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</si>
  <si>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</si>
  <si>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</si>
  <si>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</si>
  <si>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</si>
  <si>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</si>
  <si>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</si>
  <si>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</si>
  <si>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</si>
  <si>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</si>
  <si>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</si>
  <si>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</si>
  <si>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</si>
  <si>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</si>
  <si>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</si>
  <si>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</si>
  <si>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</si>
  <si>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</si>
  <si>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</si>
  <si>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</si>
  <si>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</si>
  <si>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</si>
  <si>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</si>
  <si>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</si>
  <si>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</si>
  <si>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</si>
  <si>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</si>
  <si>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</si>
  <si>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</si>
  <si>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</si>
  <si>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</si>
  <si>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</si>
  <si>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</si>
  <si>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</si>
  <si>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</si>
  <si>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</si>
  <si>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</si>
  <si>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</si>
  <si>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</si>
  <si>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</si>
  <si>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</si>
  <si>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</si>
  <si>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</si>
  <si>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</si>
  <si>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</si>
  <si>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</si>
  <si>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</si>
  <si>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</si>
  <si>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</si>
  <si>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</si>
  <si>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</si>
  <si>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</si>
  <si>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</si>
  <si>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</si>
  <si>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</si>
  <si>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</si>
  <si>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</si>
  <si>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</si>
  <si>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</si>
  <si>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</si>
  <si>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</si>
  <si>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</si>
  <si>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</si>
  <si>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</si>
  <si>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</si>
  <si>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</si>
  <si>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</si>
  <si>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</si>
  <si>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</si>
  <si>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</si>
  <si>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</si>
  <si>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</si>
  <si>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</si>
  <si>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</si>
  <si>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</si>
  <si>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</si>
  <si>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</si>
  <si>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</si>
  <si>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</si>
  <si>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</si>
  <si>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</si>
  <si>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</si>
  <si>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</si>
  <si>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</si>
  <si>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</si>
  <si>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</si>
  <si>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</si>
  <si>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</si>
  <si>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</si>
  <si>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</si>
  <si>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</si>
  <si>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</si>
  <si>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</si>
  <si>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</si>
  <si>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</si>
  <si>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</si>
  <si>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</si>
  <si>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</si>
  <si>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</si>
  <si>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</si>
  <si>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</si>
  <si>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</si>
  <si>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</si>
  <si>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</si>
  <si>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</si>
  <si>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</si>
  <si>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</si>
  <si>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</si>
  <si>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</si>
  <si>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</si>
  <si>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</si>
  <si>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</si>
  <si>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</si>
  <si>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</si>
  <si>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</si>
  <si>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</si>
  <si>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</si>
  <si>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</si>
  <si>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</si>
  <si>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</si>
  <si>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</si>
  <si>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</si>
  <si>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</si>
  <si>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</si>
  <si>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</si>
  <si>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</si>
  <si>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</si>
  <si>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</si>
  <si>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</si>
  <si>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</si>
  <si>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</si>
  <si>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</si>
  <si>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</si>
  <si>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</si>
  <si>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</si>
  <si>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</si>
  <si>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</si>
  <si>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</si>
  <si>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</si>
  <si>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</si>
  <si>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</si>
  <si>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</si>
  <si>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</si>
  <si>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</si>
  <si>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</si>
  <si>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</si>
  <si>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</si>
  <si>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</si>
  <si>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</si>
  <si>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</si>
  <si>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</si>
  <si>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</si>
  <si>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</si>
  <si>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</si>
  <si>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</si>
  <si>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</si>
  <si>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</si>
  <si>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</si>
  <si>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</si>
  <si>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</si>
  <si>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</si>
  <si>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</si>
  <si>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</si>
  <si>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</si>
  <si>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</si>
  <si>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</si>
  <si>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</si>
  <si>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</si>
  <si>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</si>
  <si>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</si>
  <si>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</si>
  <si>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</si>
  <si>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</si>
  <si>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</si>
  <si>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</si>
  <si>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</si>
  <si>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</si>
  <si>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</si>
  <si>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</si>
  <si>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</si>
  <si>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</si>
  <si>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</si>
  <si>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</si>
  <si>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</si>
  <si>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</si>
  <si>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</si>
  <si>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</si>
  <si>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</si>
  <si>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</si>
  <si>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</si>
  <si>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</si>
  <si>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</si>
  <si>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</si>
  <si>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</si>
  <si>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</si>
  <si>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</si>
  <si>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</si>
  <si>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</si>
  <si>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</si>
  <si>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</si>
  <si>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</si>
  <si>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</si>
  <si>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</si>
  <si>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</si>
  <si>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</si>
  <si>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</si>
  <si>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</si>
  <si>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</si>
  <si>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</si>
  <si>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</si>
  <si>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</si>
  <si>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</si>
  <si>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</si>
  <si>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</si>
  <si>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</si>
  <si>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</si>
  <si>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</si>
  <si>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</si>
  <si>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</si>
  <si>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</si>
  <si>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</si>
  <si>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</si>
  <si>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</si>
  <si>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</si>
  <si>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</si>
  <si>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</si>
  <si>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</si>
  <si>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</si>
  <si>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</si>
  <si>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</si>
  <si>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</si>
  <si>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</si>
  <si>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</si>
  <si>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</si>
  <si>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</si>
  <si>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</si>
  <si>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</si>
  <si>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</si>
  <si>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</si>
  <si>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</si>
  <si>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</si>
  <si>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</si>
  <si>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</si>
  <si>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</si>
  <si>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</si>
  <si>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</si>
  <si>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</si>
  <si>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</si>
  <si>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</si>
  <si>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</si>
  <si>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</si>
  <si>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</si>
  <si>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</si>
  <si>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</si>
  <si>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</si>
  <si>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</si>
  <si>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</si>
  <si>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</si>
  <si>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</si>
  <si>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</si>
  <si>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</si>
  <si>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</si>
  <si>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</si>
  <si>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</si>
  <si>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</si>
  <si>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</si>
  <si>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</si>
  <si>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</si>
  <si>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</si>
  <si>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</si>
  <si>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</si>
  <si>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</si>
  <si>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</si>
  <si>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</si>
  <si>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</si>
  <si>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</si>
  <si>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</si>
  <si>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</si>
  <si>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</si>
  <si>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</si>
  <si>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</si>
  <si>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</si>
  <si>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</si>
  <si>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</si>
  <si>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</si>
  <si>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</si>
  <si>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</si>
  <si>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</si>
  <si>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</si>
  <si>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</si>
  <si>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</si>
  <si>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</si>
  <si>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</si>
  <si>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</si>
  <si>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</si>
  <si>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</si>
  <si>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</si>
  <si>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</si>
  <si>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</si>
  <si>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</si>
  <si>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</si>
  <si>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</si>
  <si>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</si>
  <si>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</si>
  <si>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</si>
  <si>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</si>
  <si>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</si>
  <si>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</si>
  <si>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</si>
  <si>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</si>
  <si>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</si>
  <si>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</si>
  <si>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</si>
  <si>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</si>
  <si>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</si>
  <si>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</si>
  <si>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</si>
  <si>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</si>
  <si>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</si>
  <si>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</si>
  <si>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</si>
  <si>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</si>
  <si>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</si>
  <si>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</si>
  <si>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</si>
  <si>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</si>
  <si>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</si>
  <si>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</si>
  <si>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</si>
  <si>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</si>
  <si>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</si>
  <si>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</si>
  <si>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</si>
  <si>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</si>
  <si>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</si>
  <si>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</si>
  <si>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</si>
  <si>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</si>
  <si>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</si>
  <si>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</si>
  <si>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</si>
  <si>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</si>
  <si>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</si>
  <si>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</si>
  <si>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</si>
  <si>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</si>
  <si>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</si>
  <si>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</si>
  <si>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</si>
  <si>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</si>
  <si>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</si>
  <si>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</si>
  <si>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</si>
  <si>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</si>
  <si>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</si>
  <si>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</si>
  <si>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</si>
  <si>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</si>
  <si>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</si>
  <si>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</si>
  <si>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</si>
  <si>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</si>
  <si>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</si>
  <si>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</si>
  <si>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</si>
  <si>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</si>
  <si>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</si>
  <si>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</si>
  <si>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</si>
  <si>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</si>
  <si>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</si>
  <si>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</si>
  <si>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</si>
  <si>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</si>
  <si>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</si>
  <si>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</si>
  <si>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</si>
  <si>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</si>
  <si>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</si>
  <si>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</si>
  <si>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</si>
  <si>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</si>
  <si>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</si>
  <si>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</si>
  <si>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</si>
  <si>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</si>
  <si>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</si>
  <si>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</si>
  <si>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</si>
  <si>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</si>
  <si>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</si>
  <si>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</si>
  <si>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</si>
  <si>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</si>
  <si>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</si>
  <si>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</si>
  <si>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</si>
  <si>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</si>
  <si>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</si>
  <si>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</si>
  <si>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</si>
  <si>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</si>
  <si>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</si>
  <si>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</si>
  <si>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</si>
  <si>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</si>
  <si>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</si>
  <si>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</si>
  <si>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</si>
  <si>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</si>
  <si>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</si>
  <si>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</si>
  <si>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</si>
  <si>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</si>
  <si>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</si>
  <si>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</si>
  <si>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</si>
  <si>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</si>
  <si>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</si>
  <si>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</si>
  <si>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</si>
  <si>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</si>
  <si>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</si>
  <si>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</si>
  <si>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</si>
  <si>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</si>
  <si>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</si>
  <si>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</si>
  <si>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</si>
  <si>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</si>
  <si>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</si>
  <si>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</si>
  <si>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</si>
  <si>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</si>
  <si>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</si>
  <si>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</si>
  <si>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</si>
  <si>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</si>
  <si>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</si>
  <si>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</si>
  <si>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</si>
  <si>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</si>
  <si>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</si>
  <si>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</si>
  <si>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</si>
  <si>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</si>
  <si>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</si>
  <si>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</si>
  <si>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</si>
  <si>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</si>
  <si>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</si>
  <si>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</si>
  <si>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</si>
  <si>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</si>
  <si>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</si>
  <si>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</si>
  <si>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</si>
  <si>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</si>
  <si>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</si>
  <si>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</si>
  <si>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</si>
  <si>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</si>
  <si>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</si>
  <si>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</si>
  <si>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</si>
  <si>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</si>
  <si>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</si>
  <si>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</si>
  <si>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</si>
  <si>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</si>
  <si>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</si>
  <si>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</si>
  <si>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</si>
  <si>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</si>
  <si>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</si>
  <si>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</si>
  <si>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</si>
  <si>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</si>
  <si>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</si>
  <si>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</si>
  <si>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</si>
  <si>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</si>
  <si>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</si>
  <si>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</si>
  <si>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</si>
  <si>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</si>
  <si>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</si>
  <si>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</si>
  <si>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</si>
  <si>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</si>
  <si>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</si>
  <si>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</si>
  <si>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</si>
  <si>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</si>
  <si>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</si>
  <si>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11001</t>
  </si>
  <si>
    <t>AARTSELAAR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</si>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</sst>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99019.228165316526</c:v>
                </c:pt>
                <c:pt idx="1">
                  <c:v>73386.923662124696</c:v>
                </c:pt>
                <c:pt idx="2">
                  <c:v>717.51499999999999</c:v>
                </c:pt>
                <c:pt idx="3">
                  <c:v>4744.2165753712052</c:v>
                </c:pt>
                <c:pt idx="4">
                  <c:v>38127.875462838529</c:v>
                </c:pt>
                <c:pt idx="5">
                  <c:v>303737.81762003835</c:v>
                </c:pt>
                <c:pt idx="6">
                  <c:v>1505.8284993927282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99019.228165316526</c:v>
                </c:pt>
                <c:pt idx="1">
                  <c:v>73386.923662124696</c:v>
                </c:pt>
                <c:pt idx="2">
                  <c:v>717.51499999999999</c:v>
                </c:pt>
                <c:pt idx="3">
                  <c:v>4744.2165753712052</c:v>
                </c:pt>
                <c:pt idx="4">
                  <c:v>38127.875462838529</c:v>
                </c:pt>
                <c:pt idx="5">
                  <c:v>303737.81762003835</c:v>
                </c:pt>
                <c:pt idx="6">
                  <c:v>1505.8284993927282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19411.497896550838</c:v>
                </c:pt>
                <c:pt idx="1">
                  <c:v>15113.798799378123</c:v>
                </c:pt>
                <c:pt idx="2">
                  <c:v>149.70360893749429</c:v>
                </c:pt>
                <c:pt idx="3">
                  <c:v>1076.2176724445253</c:v>
                </c:pt>
                <c:pt idx="4">
                  <c:v>7812.4925903274343</c:v>
                </c:pt>
                <c:pt idx="5">
                  <c:v>75925.107307991508</c:v>
                </c:pt>
                <c:pt idx="6">
                  <c:v>381.36136935906308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19411.497896550838</c:v>
                </c:pt>
                <c:pt idx="1">
                  <c:v>15113.798799378123</c:v>
                </c:pt>
                <c:pt idx="2">
                  <c:v>149.70360893749429</c:v>
                </c:pt>
                <c:pt idx="3">
                  <c:v>1076.2176724445253</c:v>
                </c:pt>
                <c:pt idx="4">
                  <c:v>7812.4925903274343</c:v>
                </c:pt>
                <c:pt idx="5">
                  <c:v>75925.107307991508</c:v>
                </c:pt>
                <c:pt idx="6">
                  <c:v>381.36136935906308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11001</v>
      </c>
      <c r="B6" s="392"/>
      <c r="C6" s="393"/>
    </row>
    <row r="7" spans="1:7" s="390" customFormat="1" ht="15.75" customHeight="1">
      <c r="A7" s="394" t="str">
        <f>txtMunicipality</f>
        <v>AARTSELAAR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33619.044337562889</v>
      </c>
      <c r="D10" s="689">
        <f ca="1">tertiair!C16</f>
        <v>0</v>
      </c>
      <c r="E10" s="689">
        <f ca="1">tertiair!D16</f>
        <v>34910.326395315002</v>
      </c>
      <c r="F10" s="689">
        <f>tertiair!E16</f>
        <v>87.575905995535408</v>
      </c>
      <c r="G10" s="689">
        <f ca="1">tertiair!F16</f>
        <v>4409.7006696035551</v>
      </c>
      <c r="H10" s="689">
        <f>tertiair!G16</f>
        <v>0</v>
      </c>
      <c r="I10" s="689">
        <f>tertiair!H16</f>
        <v>0</v>
      </c>
      <c r="J10" s="689">
        <f>tertiair!I16</f>
        <v>0</v>
      </c>
      <c r="K10" s="689">
        <f>tertiair!J16</f>
        <v>2.6308715133268521E-2</v>
      </c>
      <c r="L10" s="689">
        <f>tertiair!K16</f>
        <v>0</v>
      </c>
      <c r="M10" s="689">
        <f ca="1">tertiair!L16</f>
        <v>0</v>
      </c>
      <c r="N10" s="689">
        <f>tertiair!M16</f>
        <v>0</v>
      </c>
      <c r="O10" s="689">
        <f ca="1">tertiair!N16</f>
        <v>972.68676831960784</v>
      </c>
      <c r="P10" s="689">
        <f>tertiair!O16</f>
        <v>0</v>
      </c>
      <c r="Q10" s="690">
        <f>tertiair!P16</f>
        <v>105.07827661299004</v>
      </c>
      <c r="R10" s="692">
        <f ca="1">SUM(C10:Q10)</f>
        <v>74104.43866212471</v>
      </c>
      <c r="S10" s="67"/>
    </row>
    <row r="11" spans="1:19" s="451" customFormat="1">
      <c r="A11" s="811" t="s">
        <v>224</v>
      </c>
      <c r="B11" s="816"/>
      <c r="C11" s="689">
        <f>huishoudens!B8</f>
        <v>23998.377935988192</v>
      </c>
      <c r="D11" s="689">
        <f>huishoudens!C8</f>
        <v>0</v>
      </c>
      <c r="E11" s="689">
        <f>huishoudens!D8</f>
        <v>70464.90781627463</v>
      </c>
      <c r="F11" s="689">
        <f>huishoudens!E8</f>
        <v>751.1989238546837</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3328.0240941981347</v>
      </c>
      <c r="P11" s="689">
        <f>huishoudens!O8</f>
        <v>160.70061577034957</v>
      </c>
      <c r="Q11" s="690">
        <f>huishoudens!P8</f>
        <v>316.01877923055071</v>
      </c>
      <c r="R11" s="692">
        <f>SUM(C11:Q11)</f>
        <v>99019.228165316526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18301.624437868821</v>
      </c>
      <c r="D13" s="689">
        <f>industrie!C18</f>
        <v>0</v>
      </c>
      <c r="E13" s="689">
        <f>industrie!D18</f>
        <v>17855.081522816999</v>
      </c>
      <c r="F13" s="689">
        <f>industrie!E18</f>
        <v>40.584442940822839</v>
      </c>
      <c r="G13" s="689">
        <f>industrie!F18</f>
        <v>1412.6505066030525</v>
      </c>
      <c r="H13" s="689">
        <f>industrie!G18</f>
        <v>0</v>
      </c>
      <c r="I13" s="689">
        <f>industrie!H18</f>
        <v>0</v>
      </c>
      <c r="J13" s="689">
        <f>industrie!I18</f>
        <v>0</v>
      </c>
      <c r="K13" s="689">
        <f>industrie!J18</f>
        <v>2.52037905107712</v>
      </c>
      <c r="L13" s="689">
        <f>industrie!K18</f>
        <v>0</v>
      </c>
      <c r="M13" s="689">
        <f>industrie!L18</f>
        <v>0</v>
      </c>
      <c r="N13" s="689">
        <f>industrie!M18</f>
        <v>0</v>
      </c>
      <c r="O13" s="689">
        <f>industrie!N18</f>
        <v>515.414173557749</v>
      </c>
      <c r="P13" s="689">
        <f>industrie!O18</f>
        <v>0</v>
      </c>
      <c r="Q13" s="690">
        <f>industrie!P18</f>
        <v>0</v>
      </c>
      <c r="R13" s="692">
        <f>SUM(C13:Q13)</f>
        <v>38127.875462838529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75919.046711419913</v>
      </c>
      <c r="D16" s="725">
        <f t="shared" ref="D16:R16" ca="1" si="0">SUM(D9:D15)</f>
        <v>0</v>
      </c>
      <c r="E16" s="725">
        <f t="shared" ca="1" si="0"/>
        <v>123230.31573440663</v>
      </c>
      <c r="F16" s="725">
        <f t="shared" si="0"/>
        <v>879.35927279104203</v>
      </c>
      <c r="G16" s="725">
        <f t="shared" ca="1" si="0"/>
        <v>5822.3511762066073</v>
      </c>
      <c r="H16" s="725">
        <f t="shared" si="0"/>
        <v>0</v>
      </c>
      <c r="I16" s="725">
        <f t="shared" si="0"/>
        <v>0</v>
      </c>
      <c r="J16" s="725">
        <f t="shared" si="0"/>
        <v>0</v>
      </c>
      <c r="K16" s="725">
        <f t="shared" si="0"/>
        <v>2.5466877662103884</v>
      </c>
      <c r="L16" s="725">
        <f t="shared" si="0"/>
        <v>0</v>
      </c>
      <c r="M16" s="725">
        <f t="shared" ca="1" si="0"/>
        <v>0</v>
      </c>
      <c r="N16" s="725">
        <f t="shared" si="0"/>
        <v>0</v>
      </c>
      <c r="O16" s="725">
        <f t="shared" ca="1" si="0"/>
        <v>4816.1250360754912</v>
      </c>
      <c r="P16" s="725">
        <f t="shared" si="0"/>
        <v>160.70061577034957</v>
      </c>
      <c r="Q16" s="725">
        <f t="shared" si="0"/>
        <v>421.09705584354072</v>
      </c>
      <c r="R16" s="725">
        <f t="shared" ca="1" si="0"/>
        <v>211251.54229027979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1428.3197354272024</v>
      </c>
      <c r="I19" s="689">
        <f>transport!H54</f>
        <v>0</v>
      </c>
      <c r="J19" s="689">
        <f>transport!I54</f>
        <v>0</v>
      </c>
      <c r="K19" s="689">
        <f>transport!J54</f>
        <v>0</v>
      </c>
      <c r="L19" s="689">
        <f>transport!K54</f>
        <v>0</v>
      </c>
      <c r="M19" s="689">
        <f>transport!L54</f>
        <v>0</v>
      </c>
      <c r="N19" s="689">
        <f>transport!M54</f>
        <v>77.508763965525858</v>
      </c>
      <c r="O19" s="689">
        <f>transport!N54</f>
        <v>0</v>
      </c>
      <c r="P19" s="689">
        <f>transport!O54</f>
        <v>0</v>
      </c>
      <c r="Q19" s="690">
        <f>transport!P54</f>
        <v>0</v>
      </c>
      <c r="R19" s="692">
        <f>SUM(C19:Q19)</f>
        <v>1505.8284993927282</v>
      </c>
      <c r="S19" s="67"/>
    </row>
    <row r="20" spans="1:19" s="451" customFormat="1">
      <c r="A20" s="811" t="s">
        <v>306</v>
      </c>
      <c r="B20" s="816"/>
      <c r="C20" s="689">
        <f>transport!B14</f>
        <v>152.30089027647932</v>
      </c>
      <c r="D20" s="689">
        <f>transport!C14</f>
        <v>0</v>
      </c>
      <c r="E20" s="689">
        <f>transport!D14</f>
        <v>589.95642150306185</v>
      </c>
      <c r="F20" s="689">
        <f>transport!E14</f>
        <v>321.44531190793651</v>
      </c>
      <c r="G20" s="689">
        <f>transport!F14</f>
        <v>0</v>
      </c>
      <c r="H20" s="689">
        <f>transport!G14</f>
        <v>248329.35637153531</v>
      </c>
      <c r="I20" s="689">
        <f>transport!H14</f>
        <v>37739.97407447124</v>
      </c>
      <c r="J20" s="689">
        <f>transport!I14</f>
        <v>0</v>
      </c>
      <c r="K20" s="689">
        <f>transport!J14</f>
        <v>0</v>
      </c>
      <c r="L20" s="689">
        <f>transport!K14</f>
        <v>0</v>
      </c>
      <c r="M20" s="689">
        <f>transport!L14</f>
        <v>0</v>
      </c>
      <c r="N20" s="689">
        <f>transport!M14</f>
        <v>16604.784550344339</v>
      </c>
      <c r="O20" s="689">
        <f>transport!N14</f>
        <v>0</v>
      </c>
      <c r="P20" s="689">
        <f>transport!O14</f>
        <v>0</v>
      </c>
      <c r="Q20" s="690">
        <f>transport!P14</f>
        <v>0</v>
      </c>
      <c r="R20" s="692">
        <f>SUM(C20:Q20)</f>
        <v>303737.81762003835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152.30089027647932</v>
      </c>
      <c r="D22" s="814">
        <f t="shared" ref="D22:R22" si="1">SUM(D18:D21)</f>
        <v>0</v>
      </c>
      <c r="E22" s="814">
        <f t="shared" si="1"/>
        <v>589.95642150306185</v>
      </c>
      <c r="F22" s="814">
        <f t="shared" si="1"/>
        <v>321.44531190793651</v>
      </c>
      <c r="G22" s="814">
        <f t="shared" si="1"/>
        <v>0</v>
      </c>
      <c r="H22" s="814">
        <f t="shared" si="1"/>
        <v>249757.67610696252</v>
      </c>
      <c r="I22" s="814">
        <f t="shared" si="1"/>
        <v>37739.97407447124</v>
      </c>
      <c r="J22" s="814">
        <f t="shared" si="1"/>
        <v>0</v>
      </c>
      <c r="K22" s="814">
        <f t="shared" si="1"/>
        <v>0</v>
      </c>
      <c r="L22" s="814">
        <f t="shared" si="1"/>
        <v>0</v>
      </c>
      <c r="M22" s="814">
        <f t="shared" si="1"/>
        <v>0</v>
      </c>
      <c r="N22" s="814">
        <f t="shared" si="1"/>
        <v>16682.293314309863</v>
      </c>
      <c r="O22" s="814">
        <f t="shared" si="1"/>
        <v>0</v>
      </c>
      <c r="P22" s="814">
        <f t="shared" si="1"/>
        <v>0</v>
      </c>
      <c r="Q22" s="814">
        <f t="shared" si="1"/>
        <v>0</v>
      </c>
      <c r="R22" s="814">
        <f t="shared" si="1"/>
        <v>305243.64611943107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456.28555027497504</v>
      </c>
      <c r="D24" s="689">
        <f>+landbouw!C8</f>
        <v>0</v>
      </c>
      <c r="E24" s="689">
        <f>+landbouw!D8</f>
        <v>2670.7708908929999</v>
      </c>
      <c r="F24" s="689">
        <f>+landbouw!E8</f>
        <v>17.016283847690335</v>
      </c>
      <c r="G24" s="689">
        <f>+landbouw!F8</f>
        <v>1480.3666407689702</v>
      </c>
      <c r="H24" s="689">
        <f>+landbouw!G8</f>
        <v>0</v>
      </c>
      <c r="I24" s="689">
        <f>+landbouw!H8</f>
        <v>0</v>
      </c>
      <c r="J24" s="689">
        <f>+landbouw!I8</f>
        <v>0</v>
      </c>
      <c r="K24" s="689">
        <f>+landbouw!J8</f>
        <v>119.77720958656904</v>
      </c>
      <c r="L24" s="689">
        <f>+landbouw!K8</f>
        <v>0</v>
      </c>
      <c r="M24" s="689">
        <f>+landbouw!L8</f>
        <v>0</v>
      </c>
      <c r="N24" s="689">
        <f>+landbouw!M8</f>
        <v>0</v>
      </c>
      <c r="O24" s="689">
        <f>+landbouw!N8</f>
        <v>0</v>
      </c>
      <c r="P24" s="689">
        <f>+landbouw!O8</f>
        <v>0</v>
      </c>
      <c r="Q24" s="690">
        <f>+landbouw!P8</f>
        <v>0</v>
      </c>
      <c r="R24" s="692">
        <f>SUM(C24:Q24)</f>
        <v>4744.2165753712052</v>
      </c>
      <c r="S24" s="67"/>
    </row>
    <row r="25" spans="1:19" s="451" customFormat="1" ht="15" thickBot="1">
      <c r="A25" s="833" t="s">
        <v>714</v>
      </c>
      <c r="B25" s="947"/>
      <c r="C25" s="948">
        <f>IF(Onbekend_ele_kWh="---",0,Onbekend_ele_kWh)/1000+IF(REST_rest_ele_kWh="---",0,REST_rest_ele_kWh)/1000</f>
        <v>835.54757416540895</v>
      </c>
      <c r="D25" s="948"/>
      <c r="E25" s="948">
        <f>IF(onbekend_gas_kWh="---",0,onbekend_gas_kWh)/1000+IF(REST_rest_gas_kWh="---",0,REST_rest_gas_kWh)/1000</f>
        <v>2741.9914589999998</v>
      </c>
      <c r="F25" s="948"/>
      <c r="G25" s="948"/>
      <c r="H25" s="948"/>
      <c r="I25" s="948"/>
      <c r="J25" s="948"/>
      <c r="K25" s="948"/>
      <c r="L25" s="948"/>
      <c r="M25" s="948"/>
      <c r="N25" s="948"/>
      <c r="O25" s="948"/>
      <c r="P25" s="948"/>
      <c r="Q25" s="949"/>
      <c r="R25" s="692">
        <f>SUM(C25:Q25)</f>
        <v>3577.5390331654089</v>
      </c>
      <c r="S25" s="67"/>
    </row>
    <row r="26" spans="1:19" s="451" customFormat="1" ht="15.75" thickBot="1">
      <c r="A26" s="697" t="s">
        <v>715</v>
      </c>
      <c r="B26" s="819"/>
      <c r="C26" s="814">
        <f>SUM(C24:C25)</f>
        <v>1291.8331244403839</v>
      </c>
      <c r="D26" s="814">
        <f t="shared" ref="D26:R26" si="2">SUM(D24:D25)</f>
        <v>0</v>
      </c>
      <c r="E26" s="814">
        <f t="shared" si="2"/>
        <v>5412.7623498929997</v>
      </c>
      <c r="F26" s="814">
        <f t="shared" si="2"/>
        <v>17.016283847690335</v>
      </c>
      <c r="G26" s="814">
        <f t="shared" si="2"/>
        <v>1480.3666407689702</v>
      </c>
      <c r="H26" s="814">
        <f t="shared" si="2"/>
        <v>0</v>
      </c>
      <c r="I26" s="814">
        <f t="shared" si="2"/>
        <v>0</v>
      </c>
      <c r="J26" s="814">
        <f t="shared" si="2"/>
        <v>0</v>
      </c>
      <c r="K26" s="814">
        <f t="shared" si="2"/>
        <v>119.77720958656904</v>
      </c>
      <c r="L26" s="814">
        <f t="shared" si="2"/>
        <v>0</v>
      </c>
      <c r="M26" s="814">
        <f t="shared" si="2"/>
        <v>0</v>
      </c>
      <c r="N26" s="814">
        <f t="shared" si="2"/>
        <v>0</v>
      </c>
      <c r="O26" s="814">
        <f t="shared" si="2"/>
        <v>0</v>
      </c>
      <c r="P26" s="814">
        <f t="shared" si="2"/>
        <v>0</v>
      </c>
      <c r="Q26" s="814">
        <f t="shared" si="2"/>
        <v>0</v>
      </c>
      <c r="R26" s="814">
        <f t="shared" si="2"/>
        <v>8321.7556085366141</v>
      </c>
      <c r="S26" s="67"/>
    </row>
    <row r="27" spans="1:19" s="451" customFormat="1" ht="17.25" thickTop="1" thickBot="1">
      <c r="A27" s="698" t="s">
        <v>115</v>
      </c>
      <c r="B27" s="806"/>
      <c r="C27" s="699">
        <f ca="1">C22+C16+C26</f>
        <v>77363.180726136779</v>
      </c>
      <c r="D27" s="699">
        <f t="shared" ref="D27:R27" ca="1" si="3">D22+D16+D26</f>
        <v>0</v>
      </c>
      <c r="E27" s="699">
        <f t="shared" ca="1" si="3"/>
        <v>129233.03450580269</v>
      </c>
      <c r="F27" s="699">
        <f t="shared" si="3"/>
        <v>1217.8208685466689</v>
      </c>
      <c r="G27" s="699">
        <f t="shared" ca="1" si="3"/>
        <v>7302.7178169755771</v>
      </c>
      <c r="H27" s="699">
        <f t="shared" si="3"/>
        <v>249757.67610696252</v>
      </c>
      <c r="I27" s="699">
        <f t="shared" si="3"/>
        <v>37739.97407447124</v>
      </c>
      <c r="J27" s="699">
        <f t="shared" si="3"/>
        <v>0</v>
      </c>
      <c r="K27" s="699">
        <f t="shared" si="3"/>
        <v>122.32389735277943</v>
      </c>
      <c r="L27" s="699">
        <f t="shared" si="3"/>
        <v>0</v>
      </c>
      <c r="M27" s="699">
        <f t="shared" ca="1" si="3"/>
        <v>0</v>
      </c>
      <c r="N27" s="699">
        <f t="shared" si="3"/>
        <v>16682.293314309863</v>
      </c>
      <c r="O27" s="699">
        <f t="shared" ca="1" si="3"/>
        <v>4816.1250360754912</v>
      </c>
      <c r="P27" s="699">
        <f t="shared" si="3"/>
        <v>160.70061577034957</v>
      </c>
      <c r="Q27" s="699">
        <f t="shared" si="3"/>
        <v>421.09705584354072</v>
      </c>
      <c r="R27" s="699">
        <f t="shared" ca="1" si="3"/>
        <v>524816.94401824754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7014.3373537316938</v>
      </c>
      <c r="D40" s="689">
        <f ca="1">tertiair!C20</f>
        <v>0</v>
      </c>
      <c r="E40" s="689">
        <f ca="1">tertiair!D20</f>
        <v>7051.8859318536306</v>
      </c>
      <c r="F40" s="689">
        <f>tertiair!E20</f>
        <v>19.879730660986539</v>
      </c>
      <c r="G40" s="689">
        <f ca="1">tertiair!F20</f>
        <v>1177.3900787841492</v>
      </c>
      <c r="H40" s="689">
        <f>tertiair!G20</f>
        <v>0</v>
      </c>
      <c r="I40" s="689">
        <f>tertiair!H20</f>
        <v>0</v>
      </c>
      <c r="J40" s="689">
        <f>tertiair!I20</f>
        <v>0</v>
      </c>
      <c r="K40" s="689">
        <f>tertiair!J20</f>
        <v>9.3132851571770554E-3</v>
      </c>
      <c r="L40" s="689">
        <f>tertiair!K20</f>
        <v>0</v>
      </c>
      <c r="M40" s="689">
        <f ca="1">tertiair!L20</f>
        <v>0</v>
      </c>
      <c r="N40" s="689">
        <f>tertiair!M20</f>
        <v>0</v>
      </c>
      <c r="O40" s="689">
        <f ca="1">tertiair!N20</f>
        <v>0</v>
      </c>
      <c r="P40" s="689">
        <f>tertiair!O20</f>
        <v>0</v>
      </c>
      <c r="Q40" s="772">
        <f>tertiair!P20</f>
        <v>0</v>
      </c>
      <c r="R40" s="852">
        <f t="shared" ca="1" si="4"/>
        <v>15263.502408315619</v>
      </c>
    </row>
    <row r="41" spans="1:18">
      <c r="A41" s="824" t="s">
        <v>224</v>
      </c>
      <c r="B41" s="831"/>
      <c r="C41" s="689">
        <f ca="1">huishoudens!B12</f>
        <v>5007.0643619483462</v>
      </c>
      <c r="D41" s="689">
        <f ca="1">huishoudens!C12</f>
        <v>0</v>
      </c>
      <c r="E41" s="689">
        <f>huishoudens!D12</f>
        <v>14233.911378887477</v>
      </c>
      <c r="F41" s="689">
        <f>huishoudens!E12</f>
        <v>170.52215571501321</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19411.497896550838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3818.4835547237376</v>
      </c>
      <c r="D43" s="689">
        <f ca="1">industrie!C22</f>
        <v>0</v>
      </c>
      <c r="E43" s="689">
        <f>industrie!D22</f>
        <v>3606.726467609034</v>
      </c>
      <c r="F43" s="689">
        <f>industrie!E22</f>
        <v>9.2126685475667855</v>
      </c>
      <c r="G43" s="689">
        <f>industrie!F22</f>
        <v>377.17768526301501</v>
      </c>
      <c r="H43" s="689">
        <f>industrie!G22</f>
        <v>0</v>
      </c>
      <c r="I43" s="689">
        <f>industrie!H22</f>
        <v>0</v>
      </c>
      <c r="J43" s="689">
        <f>industrie!I22</f>
        <v>0</v>
      </c>
      <c r="K43" s="689">
        <f>industrie!J22</f>
        <v>0.89221418408130049</v>
      </c>
      <c r="L43" s="689">
        <f>industrie!K22</f>
        <v>0</v>
      </c>
      <c r="M43" s="689">
        <f>industrie!L22</f>
        <v>0</v>
      </c>
      <c r="N43" s="689">
        <f>industrie!M22</f>
        <v>0</v>
      </c>
      <c r="O43" s="689">
        <f>industrie!N22</f>
        <v>0</v>
      </c>
      <c r="P43" s="689">
        <f>industrie!O22</f>
        <v>0</v>
      </c>
      <c r="Q43" s="772">
        <f>industrie!P22</f>
        <v>0</v>
      </c>
      <c r="R43" s="851">
        <f t="shared" ca="1" si="4"/>
        <v>7812.4925903274343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15839.885270403778</v>
      </c>
      <c r="D46" s="725">
        <f t="shared" ref="D46:Q46" ca="1" si="5">SUM(D39:D45)</f>
        <v>0</v>
      </c>
      <c r="E46" s="725">
        <f t="shared" ca="1" si="5"/>
        <v>24892.523778350143</v>
      </c>
      <c r="F46" s="725">
        <f t="shared" si="5"/>
        <v>199.61455492356654</v>
      </c>
      <c r="G46" s="725">
        <f t="shared" ca="1" si="5"/>
        <v>1554.5677640471642</v>
      </c>
      <c r="H46" s="725">
        <f t="shared" si="5"/>
        <v>0</v>
      </c>
      <c r="I46" s="725">
        <f t="shared" si="5"/>
        <v>0</v>
      </c>
      <c r="J46" s="725">
        <f t="shared" si="5"/>
        <v>0</v>
      </c>
      <c r="K46" s="725">
        <f t="shared" si="5"/>
        <v>0.9015274692384776</v>
      </c>
      <c r="L46" s="725">
        <f t="shared" si="5"/>
        <v>0</v>
      </c>
      <c r="M46" s="725">
        <f t="shared" ca="1" si="5"/>
        <v>0</v>
      </c>
      <c r="N46" s="725">
        <f t="shared" si="5"/>
        <v>0</v>
      </c>
      <c r="O46" s="725">
        <f t="shared" ca="1" si="5"/>
        <v>0</v>
      </c>
      <c r="P46" s="725">
        <f t="shared" si="5"/>
        <v>0</v>
      </c>
      <c r="Q46" s="725">
        <f t="shared" si="5"/>
        <v>0</v>
      </c>
      <c r="R46" s="725">
        <f ca="1">SUM(R39:R45)</f>
        <v>42487.492895193893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381.36136935906308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381.36136935906308</v>
      </c>
    </row>
    <row r="50" spans="1:18">
      <c r="A50" s="827" t="s">
        <v>306</v>
      </c>
      <c r="B50" s="837"/>
      <c r="C50" s="695">
        <f ca="1">transport!B18</f>
        <v>31.776329301523017</v>
      </c>
      <c r="D50" s="695">
        <f>transport!C18</f>
        <v>0</v>
      </c>
      <c r="E50" s="695">
        <f>transport!D18</f>
        <v>119.1711971436185</v>
      </c>
      <c r="F50" s="695">
        <f>transport!E18</f>
        <v>72.968085803101587</v>
      </c>
      <c r="G50" s="695">
        <f>transport!F18</f>
        <v>0</v>
      </c>
      <c r="H50" s="695">
        <f>transport!G18</f>
        <v>66303.938151199938</v>
      </c>
      <c r="I50" s="695">
        <f>transport!H18</f>
        <v>9397.2535445433386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75925.107307991508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31.776329301523017</v>
      </c>
      <c r="D52" s="725">
        <f t="shared" ref="D52:Q52" ca="1" si="6">SUM(D48:D51)</f>
        <v>0</v>
      </c>
      <c r="E52" s="725">
        <f t="shared" si="6"/>
        <v>119.1711971436185</v>
      </c>
      <c r="F52" s="725">
        <f t="shared" si="6"/>
        <v>72.968085803101587</v>
      </c>
      <c r="G52" s="725">
        <f t="shared" si="6"/>
        <v>0</v>
      </c>
      <c r="H52" s="725">
        <f t="shared" si="6"/>
        <v>66685.299520558998</v>
      </c>
      <c r="I52" s="725">
        <f t="shared" si="6"/>
        <v>9397.2535445433386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76306.468677350567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95.200230771752857</v>
      </c>
      <c r="D54" s="695">
        <f ca="1">+landbouw!C12</f>
        <v>0</v>
      </c>
      <c r="E54" s="695">
        <f>+landbouw!D12</f>
        <v>539.49571996038605</v>
      </c>
      <c r="F54" s="695">
        <f>+landbouw!E12</f>
        <v>3.8626964334257061</v>
      </c>
      <c r="G54" s="695">
        <f>+landbouw!F12</f>
        <v>395.25789308531506</v>
      </c>
      <c r="H54" s="695">
        <f>+landbouw!G12</f>
        <v>0</v>
      </c>
      <c r="I54" s="695">
        <f>+landbouw!H12</f>
        <v>0</v>
      </c>
      <c r="J54" s="695">
        <f>+landbouw!I12</f>
        <v>0</v>
      </c>
      <c r="K54" s="695">
        <f>+landbouw!J12</f>
        <v>42.401132193645438</v>
      </c>
      <c r="L54" s="695">
        <f>+landbouw!K12</f>
        <v>0</v>
      </c>
      <c r="M54" s="695">
        <f>+landbouw!L12</f>
        <v>0</v>
      </c>
      <c r="N54" s="695">
        <f>+landbouw!M12</f>
        <v>0</v>
      </c>
      <c r="O54" s="695">
        <f>+landbouw!N12</f>
        <v>0</v>
      </c>
      <c r="P54" s="695">
        <f>+landbouw!O12</f>
        <v>0</v>
      </c>
      <c r="Q54" s="696">
        <f>+landbouw!P12</f>
        <v>0</v>
      </c>
      <c r="R54" s="724">
        <f ca="1">SUM(C54:Q54)</f>
        <v>1076.2176724445253</v>
      </c>
    </row>
    <row r="55" spans="1:18" ht="15" thickBot="1">
      <c r="A55" s="827" t="s">
        <v>714</v>
      </c>
      <c r="B55" s="837"/>
      <c r="C55" s="695">
        <f ca="1">C25*'EF ele_warmte'!B12</f>
        <v>174.33013566480196</v>
      </c>
      <c r="D55" s="695"/>
      <c r="E55" s="695">
        <f>E25*EF_CO2_aardgas</f>
        <v>553.88227471799996</v>
      </c>
      <c r="F55" s="695"/>
      <c r="G55" s="695"/>
      <c r="H55" s="695"/>
      <c r="I55" s="695"/>
      <c r="J55" s="695"/>
      <c r="K55" s="695"/>
      <c r="L55" s="695"/>
      <c r="M55" s="695"/>
      <c r="N55" s="695"/>
      <c r="O55" s="695"/>
      <c r="P55" s="695"/>
      <c r="Q55" s="696"/>
      <c r="R55" s="724">
        <f ca="1">SUM(C55:Q55)</f>
        <v>728.21241038280186</v>
      </c>
    </row>
    <row r="56" spans="1:18" ht="15.75" thickBot="1">
      <c r="A56" s="825" t="s">
        <v>715</v>
      </c>
      <c r="B56" s="838"/>
      <c r="C56" s="725">
        <f ca="1">SUM(C54:C55)</f>
        <v>269.5303664365548</v>
      </c>
      <c r="D56" s="725">
        <f t="shared" ref="D56:Q56" ca="1" si="7">SUM(D54:D55)</f>
        <v>0</v>
      </c>
      <c r="E56" s="725">
        <f t="shared" si="7"/>
        <v>1093.3779946783861</v>
      </c>
      <c r="F56" s="725">
        <f t="shared" si="7"/>
        <v>3.8626964334257061</v>
      </c>
      <c r="G56" s="725">
        <f t="shared" si="7"/>
        <v>395.25789308531506</v>
      </c>
      <c r="H56" s="725">
        <f t="shared" si="7"/>
        <v>0</v>
      </c>
      <c r="I56" s="725">
        <f t="shared" si="7"/>
        <v>0</v>
      </c>
      <c r="J56" s="725">
        <f t="shared" si="7"/>
        <v>0</v>
      </c>
      <c r="K56" s="725">
        <f t="shared" si="7"/>
        <v>42.401132193645438</v>
      </c>
      <c r="L56" s="725">
        <f t="shared" si="7"/>
        <v>0</v>
      </c>
      <c r="M56" s="725">
        <f t="shared" si="7"/>
        <v>0</v>
      </c>
      <c r="N56" s="725">
        <f t="shared" si="7"/>
        <v>0</v>
      </c>
      <c r="O56" s="725">
        <f t="shared" si="7"/>
        <v>0</v>
      </c>
      <c r="P56" s="725">
        <f t="shared" si="7"/>
        <v>0</v>
      </c>
      <c r="Q56" s="726">
        <f t="shared" si="7"/>
        <v>0</v>
      </c>
      <c r="R56" s="727">
        <f ca="1">SUM(R54:R55)</f>
        <v>1804.4300828273272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16141.191966141856</v>
      </c>
      <c r="D61" s="733">
        <f t="shared" ref="D61:Q61" ca="1" si="8">D46+D52+D56</f>
        <v>0</v>
      </c>
      <c r="E61" s="733">
        <f t="shared" ca="1" si="8"/>
        <v>26105.07297017215</v>
      </c>
      <c r="F61" s="733">
        <f t="shared" si="8"/>
        <v>276.44533716009386</v>
      </c>
      <c r="G61" s="733">
        <f t="shared" ca="1" si="8"/>
        <v>1949.8256571324794</v>
      </c>
      <c r="H61" s="733">
        <f t="shared" si="8"/>
        <v>66685.299520558998</v>
      </c>
      <c r="I61" s="733">
        <f t="shared" si="8"/>
        <v>9397.2535445433386</v>
      </c>
      <c r="J61" s="733">
        <f t="shared" si="8"/>
        <v>0</v>
      </c>
      <c r="K61" s="733">
        <f t="shared" si="8"/>
        <v>43.302659662883919</v>
      </c>
      <c r="L61" s="733">
        <f t="shared" si="8"/>
        <v>0</v>
      </c>
      <c r="M61" s="733">
        <f t="shared" ca="1" si="8"/>
        <v>0</v>
      </c>
      <c r="N61" s="733">
        <f t="shared" si="8"/>
        <v>0</v>
      </c>
      <c r="O61" s="733">
        <f t="shared" ca="1" si="8"/>
        <v>0</v>
      </c>
      <c r="P61" s="733">
        <f t="shared" si="8"/>
        <v>0</v>
      </c>
      <c r="Q61" s="733">
        <f t="shared" si="8"/>
        <v>0</v>
      </c>
      <c r="R61" s="733">
        <f ca="1">R46+R52+R56</f>
        <v>120598.39165537179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0.208641783011497</v>
      </c>
      <c r="D63" s="779">
        <f t="shared" ca="1" si="9"/>
        <v>0</v>
      </c>
      <c r="E63" s="973">
        <f t="shared" ca="1" si="9"/>
        <v>0.20200000000000007</v>
      </c>
      <c r="F63" s="779">
        <f t="shared" si="9"/>
        <v>0.22700000000000001</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4326.1130060378619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4326.1130060378619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23998.377935988192</v>
      </c>
      <c r="C4" s="455">
        <f>huishoudens!C8</f>
        <v>0</v>
      </c>
      <c r="D4" s="455">
        <f>huishoudens!D8</f>
        <v>70464.90781627463</v>
      </c>
      <c r="E4" s="455">
        <f>huishoudens!E8</f>
        <v>751.1989238546837</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3328.0240941981347</v>
      </c>
      <c r="O4" s="455">
        <f>huishoudens!O8</f>
        <v>160.70061577034957</v>
      </c>
      <c r="P4" s="456">
        <f>huishoudens!P8</f>
        <v>316.01877923055071</v>
      </c>
      <c r="Q4" s="457">
        <f>SUM(B4:P4)</f>
        <v>99019.228165316526</v>
      </c>
    </row>
    <row r="5" spans="1:17">
      <c r="A5" s="454" t="s">
        <v>155</v>
      </c>
      <c r="B5" s="455">
        <f ca="1">tertiair!B16</f>
        <v>32901.52933756289</v>
      </c>
      <c r="C5" s="455">
        <f ca="1">tertiair!C16</f>
        <v>0</v>
      </c>
      <c r="D5" s="455">
        <f ca="1">tertiair!D16</f>
        <v>34910.326395315002</v>
      </c>
      <c r="E5" s="455">
        <f>tertiair!E16</f>
        <v>87.575905995535408</v>
      </c>
      <c r="F5" s="455">
        <f ca="1">tertiair!F16</f>
        <v>4409.7006696035551</v>
      </c>
      <c r="G5" s="455">
        <f>tertiair!G16</f>
        <v>0</v>
      </c>
      <c r="H5" s="455">
        <f>tertiair!H16</f>
        <v>0</v>
      </c>
      <c r="I5" s="455">
        <f>tertiair!I16</f>
        <v>0</v>
      </c>
      <c r="J5" s="455">
        <f>tertiair!J16</f>
        <v>2.6308715133268521E-2</v>
      </c>
      <c r="K5" s="455">
        <f>tertiair!K16</f>
        <v>0</v>
      </c>
      <c r="L5" s="455">
        <f ca="1">tertiair!L16</f>
        <v>0</v>
      </c>
      <c r="M5" s="455">
        <f>tertiair!M16</f>
        <v>0</v>
      </c>
      <c r="N5" s="455">
        <f ca="1">tertiair!N16</f>
        <v>972.68676831960784</v>
      </c>
      <c r="O5" s="455">
        <f>tertiair!O16</f>
        <v>0</v>
      </c>
      <c r="P5" s="456">
        <f>tertiair!P16</f>
        <v>105.07827661299004</v>
      </c>
      <c r="Q5" s="454">
        <f t="shared" ref="Q5:Q14" ca="1" si="0">SUM(B5:P5)</f>
        <v>73386.923662124696</v>
      </c>
    </row>
    <row r="6" spans="1:17">
      <c r="A6" s="454" t="s">
        <v>193</v>
      </c>
      <c r="B6" s="455">
        <f>'openbare verlichting'!B8</f>
        <v>717.51499999999999</v>
      </c>
      <c r="C6" s="455"/>
      <c r="D6" s="455"/>
      <c r="E6" s="455"/>
      <c r="F6" s="455"/>
      <c r="G6" s="455"/>
      <c r="H6" s="455"/>
      <c r="I6" s="455"/>
      <c r="J6" s="455"/>
      <c r="K6" s="455"/>
      <c r="L6" s="455"/>
      <c r="M6" s="455"/>
      <c r="N6" s="455"/>
      <c r="O6" s="455"/>
      <c r="P6" s="456"/>
      <c r="Q6" s="454">
        <f t="shared" si="0"/>
        <v>717.51499999999999</v>
      </c>
    </row>
    <row r="7" spans="1:17">
      <c r="A7" s="454" t="s">
        <v>111</v>
      </c>
      <c r="B7" s="455">
        <f>landbouw!B8</f>
        <v>456.28555027497504</v>
      </c>
      <c r="C7" s="455">
        <f>landbouw!C8</f>
        <v>0</v>
      </c>
      <c r="D7" s="455">
        <f>landbouw!D8</f>
        <v>2670.7708908929999</v>
      </c>
      <c r="E7" s="455">
        <f>landbouw!E8</f>
        <v>17.016283847690335</v>
      </c>
      <c r="F7" s="455">
        <f>landbouw!F8</f>
        <v>1480.3666407689702</v>
      </c>
      <c r="G7" s="455">
        <f>landbouw!G8</f>
        <v>0</v>
      </c>
      <c r="H7" s="455">
        <f>landbouw!H8</f>
        <v>0</v>
      </c>
      <c r="I7" s="455">
        <f>landbouw!I8</f>
        <v>0</v>
      </c>
      <c r="J7" s="455">
        <f>landbouw!J8</f>
        <v>119.77720958656904</v>
      </c>
      <c r="K7" s="455">
        <f>landbouw!K8</f>
        <v>0</v>
      </c>
      <c r="L7" s="455">
        <f>landbouw!L8</f>
        <v>0</v>
      </c>
      <c r="M7" s="455">
        <f>landbouw!M8</f>
        <v>0</v>
      </c>
      <c r="N7" s="455">
        <f>landbouw!N8</f>
        <v>0</v>
      </c>
      <c r="O7" s="455">
        <f>landbouw!O8</f>
        <v>0</v>
      </c>
      <c r="P7" s="456">
        <f>landbouw!P8</f>
        <v>0</v>
      </c>
      <c r="Q7" s="454">
        <f t="shared" si="0"/>
        <v>4744.2165753712052</v>
      </c>
    </row>
    <row r="8" spans="1:17">
      <c r="A8" s="454" t="s">
        <v>626</v>
      </c>
      <c r="B8" s="455">
        <f>industrie!B18</f>
        <v>18301.624437868821</v>
      </c>
      <c r="C8" s="455">
        <f>industrie!C18</f>
        <v>0</v>
      </c>
      <c r="D8" s="455">
        <f>industrie!D18</f>
        <v>17855.081522816999</v>
      </c>
      <c r="E8" s="455">
        <f>industrie!E18</f>
        <v>40.584442940822839</v>
      </c>
      <c r="F8" s="455">
        <f>industrie!F18</f>
        <v>1412.6505066030525</v>
      </c>
      <c r="G8" s="455">
        <f>industrie!G18</f>
        <v>0</v>
      </c>
      <c r="H8" s="455">
        <f>industrie!H18</f>
        <v>0</v>
      </c>
      <c r="I8" s="455">
        <f>industrie!I18</f>
        <v>0</v>
      </c>
      <c r="J8" s="455">
        <f>industrie!J18</f>
        <v>2.52037905107712</v>
      </c>
      <c r="K8" s="455">
        <f>industrie!K18</f>
        <v>0</v>
      </c>
      <c r="L8" s="455">
        <f>industrie!L18</f>
        <v>0</v>
      </c>
      <c r="M8" s="455">
        <f>industrie!M18</f>
        <v>0</v>
      </c>
      <c r="N8" s="455">
        <f>industrie!N18</f>
        <v>515.414173557749</v>
      </c>
      <c r="O8" s="455">
        <f>industrie!O18</f>
        <v>0</v>
      </c>
      <c r="P8" s="456">
        <f>industrie!P18</f>
        <v>0</v>
      </c>
      <c r="Q8" s="454">
        <f t="shared" si="0"/>
        <v>38127.875462838529</v>
      </c>
    </row>
    <row r="9" spans="1:17" s="460" customFormat="1">
      <c r="A9" s="458" t="s">
        <v>552</v>
      </c>
      <c r="B9" s="459">
        <f>transport!B14</f>
        <v>152.30089027647932</v>
      </c>
      <c r="C9" s="459">
        <f>transport!C14</f>
        <v>0</v>
      </c>
      <c r="D9" s="459">
        <f>transport!D14</f>
        <v>589.95642150306185</v>
      </c>
      <c r="E9" s="459">
        <f>transport!E14</f>
        <v>321.44531190793651</v>
      </c>
      <c r="F9" s="459">
        <f>transport!F14</f>
        <v>0</v>
      </c>
      <c r="G9" s="459">
        <f>transport!G14</f>
        <v>248329.35637153531</v>
      </c>
      <c r="H9" s="459">
        <f>transport!H14</f>
        <v>37739.97407447124</v>
      </c>
      <c r="I9" s="459">
        <f>transport!I14</f>
        <v>0</v>
      </c>
      <c r="J9" s="459">
        <f>transport!J14</f>
        <v>0</v>
      </c>
      <c r="K9" s="459">
        <f>transport!K14</f>
        <v>0</v>
      </c>
      <c r="L9" s="459">
        <f>transport!L14</f>
        <v>0</v>
      </c>
      <c r="M9" s="459">
        <f>transport!M14</f>
        <v>16604.784550344339</v>
      </c>
      <c r="N9" s="459">
        <f>transport!N14</f>
        <v>0</v>
      </c>
      <c r="O9" s="459">
        <f>transport!O14</f>
        <v>0</v>
      </c>
      <c r="P9" s="459">
        <f>transport!P14</f>
        <v>0</v>
      </c>
      <c r="Q9" s="458">
        <f>SUM(B9:P9)</f>
        <v>303737.81762003835</v>
      </c>
    </row>
    <row r="10" spans="1:17">
      <c r="A10" s="454" t="s">
        <v>542</v>
      </c>
      <c r="B10" s="455">
        <f>transport!B54</f>
        <v>0</v>
      </c>
      <c r="C10" s="455">
        <f>transport!C54</f>
        <v>0</v>
      </c>
      <c r="D10" s="455">
        <f>transport!D54</f>
        <v>0</v>
      </c>
      <c r="E10" s="455">
        <f>transport!E54</f>
        <v>0</v>
      </c>
      <c r="F10" s="455">
        <f>transport!F54</f>
        <v>0</v>
      </c>
      <c r="G10" s="455">
        <f>transport!G54</f>
        <v>1428.3197354272024</v>
      </c>
      <c r="H10" s="455">
        <f>transport!H54</f>
        <v>0</v>
      </c>
      <c r="I10" s="455">
        <f>transport!I54</f>
        <v>0</v>
      </c>
      <c r="J10" s="455">
        <f>transport!J54</f>
        <v>0</v>
      </c>
      <c r="K10" s="455">
        <f>transport!K54</f>
        <v>0</v>
      </c>
      <c r="L10" s="455">
        <f>transport!L54</f>
        <v>0</v>
      </c>
      <c r="M10" s="455">
        <f>transport!M54</f>
        <v>77.508763965525858</v>
      </c>
      <c r="N10" s="455">
        <f>transport!N54</f>
        <v>0</v>
      </c>
      <c r="O10" s="455">
        <f>transport!O54</f>
        <v>0</v>
      </c>
      <c r="P10" s="456">
        <f>transport!P54</f>
        <v>0</v>
      </c>
      <c r="Q10" s="454">
        <f t="shared" si="0"/>
        <v>1505.8284993927282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835.54757416540895</v>
      </c>
      <c r="C14" s="462"/>
      <c r="D14" s="462">
        <f>'SEAP template'!E25</f>
        <v>2741.9914589999998</v>
      </c>
      <c r="E14" s="462"/>
      <c r="F14" s="462"/>
      <c r="G14" s="462"/>
      <c r="H14" s="462"/>
      <c r="I14" s="462"/>
      <c r="J14" s="462"/>
      <c r="K14" s="462"/>
      <c r="L14" s="462"/>
      <c r="M14" s="462"/>
      <c r="N14" s="462"/>
      <c r="O14" s="462"/>
      <c r="P14" s="463"/>
      <c r="Q14" s="454">
        <f t="shared" si="0"/>
        <v>3577.5390331654089</v>
      </c>
    </row>
    <row r="15" spans="1:17" s="466" customFormat="1">
      <c r="A15" s="464" t="s">
        <v>546</v>
      </c>
      <c r="B15" s="465">
        <f ca="1">SUM(B4:B14)</f>
        <v>77363.180726136779</v>
      </c>
      <c r="C15" s="465">
        <f t="shared" ref="C15:Q15" ca="1" si="1">SUM(C4:C14)</f>
        <v>0</v>
      </c>
      <c r="D15" s="465">
        <f t="shared" ca="1" si="1"/>
        <v>129233.03450580267</v>
      </c>
      <c r="E15" s="465">
        <f t="shared" si="1"/>
        <v>1217.8208685466689</v>
      </c>
      <c r="F15" s="465">
        <f t="shared" ca="1" si="1"/>
        <v>7302.717816975578</v>
      </c>
      <c r="G15" s="465">
        <f t="shared" si="1"/>
        <v>249757.67610696252</v>
      </c>
      <c r="H15" s="465">
        <f t="shared" si="1"/>
        <v>37739.97407447124</v>
      </c>
      <c r="I15" s="465">
        <f t="shared" si="1"/>
        <v>0</v>
      </c>
      <c r="J15" s="465">
        <f t="shared" si="1"/>
        <v>122.32389735277943</v>
      </c>
      <c r="K15" s="465">
        <f t="shared" si="1"/>
        <v>0</v>
      </c>
      <c r="L15" s="465">
        <f t="shared" ca="1" si="1"/>
        <v>0</v>
      </c>
      <c r="M15" s="465">
        <f t="shared" si="1"/>
        <v>16682.293314309863</v>
      </c>
      <c r="N15" s="465">
        <f t="shared" ca="1" si="1"/>
        <v>4816.1250360754912</v>
      </c>
      <c r="O15" s="465">
        <f t="shared" si="1"/>
        <v>160.70061577034957</v>
      </c>
      <c r="P15" s="465">
        <f t="shared" si="1"/>
        <v>421.09705584354072</v>
      </c>
      <c r="Q15" s="465">
        <f t="shared" ca="1" si="1"/>
        <v>524816.94401824754</v>
      </c>
    </row>
    <row r="17" spans="1:17">
      <c r="A17" s="467" t="s">
        <v>547</v>
      </c>
      <c r="B17" s="784">
        <f ca="1">huishoudens!B10</f>
        <v>0.20864178301149702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5007.0643619483462</v>
      </c>
      <c r="C22" s="455">
        <f t="shared" ref="C22:C32" ca="1" si="3">C4*$C$17</f>
        <v>0</v>
      </c>
      <c r="D22" s="455">
        <f t="shared" ref="D22:D32" si="4">D4*$D$17</f>
        <v>14233.911378887477</v>
      </c>
      <c r="E22" s="455">
        <f t="shared" ref="E22:E32" si="5">E4*$E$17</f>
        <v>170.52215571501321</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19411.497896550838</v>
      </c>
    </row>
    <row r="23" spans="1:17">
      <c r="A23" s="454" t="s">
        <v>155</v>
      </c>
      <c r="B23" s="455">
        <f t="shared" ca="1" si="2"/>
        <v>6864.6337447941996</v>
      </c>
      <c r="C23" s="455">
        <f t="shared" ca="1" si="3"/>
        <v>0</v>
      </c>
      <c r="D23" s="455">
        <f t="shared" ca="1" si="4"/>
        <v>7051.8859318536306</v>
      </c>
      <c r="E23" s="455">
        <f t="shared" si="5"/>
        <v>19.879730660986539</v>
      </c>
      <c r="F23" s="455">
        <f t="shared" ca="1" si="6"/>
        <v>1177.3900787841492</v>
      </c>
      <c r="G23" s="455">
        <f t="shared" si="7"/>
        <v>0</v>
      </c>
      <c r="H23" s="455">
        <f t="shared" si="8"/>
        <v>0</v>
      </c>
      <c r="I23" s="455">
        <f t="shared" si="9"/>
        <v>0</v>
      </c>
      <c r="J23" s="455">
        <f t="shared" si="10"/>
        <v>9.3132851571770554E-3</v>
      </c>
      <c r="K23" s="455">
        <f t="shared" si="11"/>
        <v>0</v>
      </c>
      <c r="L23" s="455">
        <f t="shared" ca="1" si="12"/>
        <v>0</v>
      </c>
      <c r="M23" s="455">
        <f t="shared" si="13"/>
        <v>0</v>
      </c>
      <c r="N23" s="455">
        <f t="shared" ca="1" si="14"/>
        <v>0</v>
      </c>
      <c r="O23" s="455">
        <f t="shared" si="15"/>
        <v>0</v>
      </c>
      <c r="P23" s="456">
        <f t="shared" si="16"/>
        <v>0</v>
      </c>
      <c r="Q23" s="454">
        <f t="shared" ref="Q23:Q31" ca="1" si="17">SUM(B23:P23)</f>
        <v>15113.798799378123</v>
      </c>
    </row>
    <row r="24" spans="1:17">
      <c r="A24" s="454" t="s">
        <v>193</v>
      </c>
      <c r="B24" s="455">
        <f t="shared" ca="1" si="2"/>
        <v>149.70360893749429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149.70360893749429</v>
      </c>
    </row>
    <row r="25" spans="1:17">
      <c r="A25" s="454" t="s">
        <v>111</v>
      </c>
      <c r="B25" s="455">
        <f t="shared" ca="1" si="2"/>
        <v>95.200230771752857</v>
      </c>
      <c r="C25" s="455">
        <f t="shared" ca="1" si="3"/>
        <v>0</v>
      </c>
      <c r="D25" s="455">
        <f t="shared" si="4"/>
        <v>539.49571996038605</v>
      </c>
      <c r="E25" s="455">
        <f t="shared" si="5"/>
        <v>3.8626964334257061</v>
      </c>
      <c r="F25" s="455">
        <f t="shared" si="6"/>
        <v>395.25789308531506</v>
      </c>
      <c r="G25" s="455">
        <f t="shared" si="7"/>
        <v>0</v>
      </c>
      <c r="H25" s="455">
        <f t="shared" si="8"/>
        <v>0</v>
      </c>
      <c r="I25" s="455">
        <f t="shared" si="9"/>
        <v>0</v>
      </c>
      <c r="J25" s="455">
        <f t="shared" si="10"/>
        <v>42.401132193645438</v>
      </c>
      <c r="K25" s="455">
        <f t="shared" si="11"/>
        <v>0</v>
      </c>
      <c r="L25" s="455">
        <f t="shared" si="12"/>
        <v>0</v>
      </c>
      <c r="M25" s="455">
        <f t="shared" si="13"/>
        <v>0</v>
      </c>
      <c r="N25" s="455">
        <f t="shared" si="14"/>
        <v>0</v>
      </c>
      <c r="O25" s="455">
        <f t="shared" si="15"/>
        <v>0</v>
      </c>
      <c r="P25" s="456">
        <f t="shared" si="16"/>
        <v>0</v>
      </c>
      <c r="Q25" s="454">
        <f t="shared" ca="1" si="17"/>
        <v>1076.2176724445253</v>
      </c>
    </row>
    <row r="26" spans="1:17">
      <c r="A26" s="454" t="s">
        <v>626</v>
      </c>
      <c r="B26" s="455">
        <f t="shared" ca="1" si="2"/>
        <v>3818.4835547237376</v>
      </c>
      <c r="C26" s="455">
        <f t="shared" ca="1" si="3"/>
        <v>0</v>
      </c>
      <c r="D26" s="455">
        <f t="shared" si="4"/>
        <v>3606.726467609034</v>
      </c>
      <c r="E26" s="455">
        <f t="shared" si="5"/>
        <v>9.2126685475667855</v>
      </c>
      <c r="F26" s="455">
        <f t="shared" si="6"/>
        <v>377.17768526301501</v>
      </c>
      <c r="G26" s="455">
        <f t="shared" si="7"/>
        <v>0</v>
      </c>
      <c r="H26" s="455">
        <f t="shared" si="8"/>
        <v>0</v>
      </c>
      <c r="I26" s="455">
        <f t="shared" si="9"/>
        <v>0</v>
      </c>
      <c r="J26" s="455">
        <f t="shared" si="10"/>
        <v>0.89221418408130049</v>
      </c>
      <c r="K26" s="455">
        <f t="shared" si="11"/>
        <v>0</v>
      </c>
      <c r="L26" s="455">
        <f t="shared" si="12"/>
        <v>0</v>
      </c>
      <c r="M26" s="455">
        <f t="shared" si="13"/>
        <v>0</v>
      </c>
      <c r="N26" s="455">
        <f t="shared" si="14"/>
        <v>0</v>
      </c>
      <c r="O26" s="455">
        <f t="shared" si="15"/>
        <v>0</v>
      </c>
      <c r="P26" s="456">
        <f t="shared" si="16"/>
        <v>0</v>
      </c>
      <c r="Q26" s="454">
        <f t="shared" ca="1" si="17"/>
        <v>7812.4925903274343</v>
      </c>
    </row>
    <row r="27" spans="1:17" s="460" customFormat="1">
      <c r="A27" s="458" t="s">
        <v>552</v>
      </c>
      <c r="B27" s="778">
        <f t="shared" ca="1" si="2"/>
        <v>31.776329301523017</v>
      </c>
      <c r="C27" s="459">
        <f t="shared" ca="1" si="3"/>
        <v>0</v>
      </c>
      <c r="D27" s="459">
        <f t="shared" si="4"/>
        <v>119.1711971436185</v>
      </c>
      <c r="E27" s="459">
        <f t="shared" si="5"/>
        <v>72.968085803101587</v>
      </c>
      <c r="F27" s="459">
        <f t="shared" si="6"/>
        <v>0</v>
      </c>
      <c r="G27" s="459">
        <f t="shared" si="7"/>
        <v>66303.938151199938</v>
      </c>
      <c r="H27" s="459">
        <f t="shared" si="8"/>
        <v>9397.2535445433386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75925.107307991508</v>
      </c>
    </row>
    <row r="28" spans="1:17" ht="16.5" customHeight="1">
      <c r="A28" s="454" t="s">
        <v>542</v>
      </c>
      <c r="B28" s="455">
        <f t="shared" ca="1" si="2"/>
        <v>0</v>
      </c>
      <c r="C28" s="455">
        <f t="shared" ca="1" si="3"/>
        <v>0</v>
      </c>
      <c r="D28" s="455">
        <f t="shared" si="4"/>
        <v>0</v>
      </c>
      <c r="E28" s="455">
        <f t="shared" si="5"/>
        <v>0</v>
      </c>
      <c r="F28" s="455">
        <f t="shared" si="6"/>
        <v>0</v>
      </c>
      <c r="G28" s="455">
        <f t="shared" si="7"/>
        <v>381.36136935906308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381.36136935906308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174.33013566480196</v>
      </c>
      <c r="C32" s="455">
        <f t="shared" ca="1" si="3"/>
        <v>0</v>
      </c>
      <c r="D32" s="455">
        <f t="shared" si="4"/>
        <v>553.88227471799996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728.21241038280186</v>
      </c>
    </row>
    <row r="33" spans="1:17" s="466" customFormat="1">
      <c r="A33" s="464" t="s">
        <v>546</v>
      </c>
      <c r="B33" s="465">
        <f ca="1">SUM(B22:B32)</f>
        <v>16141.191966141856</v>
      </c>
      <c r="C33" s="465">
        <f t="shared" ref="C33:Q33" ca="1" si="19">SUM(C22:C32)</f>
        <v>0</v>
      </c>
      <c r="D33" s="465">
        <f t="shared" ca="1" si="19"/>
        <v>26105.072970172147</v>
      </c>
      <c r="E33" s="465">
        <f t="shared" si="19"/>
        <v>276.4453371600938</v>
      </c>
      <c r="F33" s="465">
        <f t="shared" ca="1" si="19"/>
        <v>1949.8256571324794</v>
      </c>
      <c r="G33" s="465">
        <f t="shared" si="19"/>
        <v>66685.299520558998</v>
      </c>
      <c r="H33" s="465">
        <f t="shared" si="19"/>
        <v>9397.2535445433386</v>
      </c>
      <c r="I33" s="465">
        <f t="shared" si="19"/>
        <v>0</v>
      </c>
      <c r="J33" s="465">
        <f t="shared" si="19"/>
        <v>43.302659662883912</v>
      </c>
      <c r="K33" s="465">
        <f t="shared" si="19"/>
        <v>0</v>
      </c>
      <c r="L33" s="465">
        <f t="shared" ca="1" si="19"/>
        <v>0</v>
      </c>
      <c r="M33" s="465">
        <f t="shared" si="19"/>
        <v>0</v>
      </c>
      <c r="N33" s="465">
        <f t="shared" ca="1" si="19"/>
        <v>0</v>
      </c>
      <c r="O33" s="465">
        <f t="shared" si="19"/>
        <v>0</v>
      </c>
      <c r="P33" s="465">
        <f t="shared" si="19"/>
        <v>0</v>
      </c>
      <c r="Q33" s="465">
        <f t="shared" ca="1" si="19"/>
        <v>120598.39165537179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4326.1130060378619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4326.1130060378619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0.20864178301149702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0.20864178301149702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0.20864178301149702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0.20864178301149702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5957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299.67</v>
      </c>
      <c r="C14" s="332"/>
      <c r="D14" s="332"/>
      <c r="E14" s="332"/>
      <c r="F14" s="332"/>
    </row>
    <row r="15" spans="1:6">
      <c r="A15" s="1310" t="s">
        <v>183</v>
      </c>
      <c r="B15" s="1311">
        <v>1</v>
      </c>
      <c r="C15" s="332"/>
      <c r="D15" s="332"/>
      <c r="E15" s="332"/>
      <c r="F15" s="332"/>
    </row>
    <row r="16" spans="1:6">
      <c r="A16" s="1310" t="s">
        <v>6</v>
      </c>
      <c r="B16" s="1311">
        <v>62</v>
      </c>
      <c r="C16" s="332"/>
      <c r="D16" s="332"/>
      <c r="E16" s="332"/>
      <c r="F16" s="332"/>
    </row>
    <row r="17" spans="1:6">
      <c r="A17" s="1310" t="s">
        <v>7</v>
      </c>
      <c r="B17" s="1311">
        <v>20</v>
      </c>
      <c r="C17" s="332"/>
      <c r="D17" s="332"/>
      <c r="E17" s="332"/>
      <c r="F17" s="332"/>
    </row>
    <row r="18" spans="1:6">
      <c r="A18" s="1310" t="s">
        <v>8</v>
      </c>
      <c r="B18" s="1311">
        <v>79</v>
      </c>
      <c r="C18" s="332"/>
      <c r="D18" s="332"/>
      <c r="E18" s="332"/>
      <c r="F18" s="332"/>
    </row>
    <row r="19" spans="1:6">
      <c r="A19" s="1310" t="s">
        <v>9</v>
      </c>
      <c r="B19" s="1311">
        <v>117</v>
      </c>
      <c r="C19" s="332"/>
      <c r="D19" s="332"/>
      <c r="E19" s="332"/>
      <c r="F19" s="332"/>
    </row>
    <row r="20" spans="1:6">
      <c r="A20" s="1310" t="s">
        <v>10</v>
      </c>
      <c r="B20" s="1311">
        <v>43</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32</v>
      </c>
      <c r="C26" s="332"/>
      <c r="D26" s="332"/>
      <c r="E26" s="332"/>
      <c r="F26" s="332"/>
    </row>
    <row r="27" spans="1:6">
      <c r="A27" s="1310" t="s">
        <v>17</v>
      </c>
      <c r="B27" s="1311">
        <v>12</v>
      </c>
      <c r="C27" s="332"/>
      <c r="D27" s="332"/>
      <c r="E27" s="332"/>
      <c r="F27" s="332"/>
    </row>
    <row r="28" spans="1:6" s="43" customFormat="1">
      <c r="A28" s="1312" t="s">
        <v>18</v>
      </c>
      <c r="B28" s="1313">
        <v>0</v>
      </c>
      <c r="C28" s="338"/>
      <c r="D28" s="338"/>
      <c r="E28" s="338"/>
      <c r="F28" s="338"/>
    </row>
    <row r="29" spans="1:6">
      <c r="A29" s="1312" t="s">
        <v>699</v>
      </c>
      <c r="B29" s="1313">
        <v>30</v>
      </c>
      <c r="C29" s="338"/>
      <c r="D29" s="338"/>
      <c r="E29" s="338"/>
      <c r="F29" s="338"/>
    </row>
    <row r="30" spans="1:6">
      <c r="A30" s="1305" t="s">
        <v>700</v>
      </c>
      <c r="B30" s="1314">
        <v>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46191.833070453002</v>
      </c>
    </row>
    <row r="39" spans="1:6">
      <c r="A39" s="1310" t="s">
        <v>29</v>
      </c>
      <c r="B39" s="1310" t="s">
        <v>30</v>
      </c>
      <c r="C39" s="1311">
        <v>4949</v>
      </c>
      <c r="D39" s="1311">
        <v>78034227.924999595</v>
      </c>
      <c r="E39" s="1311">
        <v>5965</v>
      </c>
      <c r="F39" s="1311">
        <v>21176803.798283599</v>
      </c>
    </row>
    <row r="40" spans="1:6">
      <c r="A40" s="1310" t="s">
        <v>29</v>
      </c>
      <c r="B40" s="1310" t="s">
        <v>28</v>
      </c>
      <c r="C40" s="1311">
        <v>0</v>
      </c>
      <c r="D40" s="1311">
        <v>0</v>
      </c>
      <c r="E40" s="1311">
        <v>0</v>
      </c>
      <c r="F40" s="1311">
        <v>0</v>
      </c>
    </row>
    <row r="41" spans="1:6">
      <c r="A41" s="1310" t="s">
        <v>31</v>
      </c>
      <c r="B41" s="1310" t="s">
        <v>32</v>
      </c>
      <c r="C41" s="1311">
        <v>76</v>
      </c>
      <c r="D41" s="1311">
        <v>2424197.1910000001</v>
      </c>
      <c r="E41" s="1311">
        <v>138</v>
      </c>
      <c r="F41" s="1311">
        <v>1654584.9126798999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22</v>
      </c>
      <c r="D44" s="1311">
        <v>4180949.4029999999</v>
      </c>
      <c r="E44" s="1311">
        <v>27</v>
      </c>
      <c r="F44" s="1311">
        <v>2723403.4819977898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929542.15411451296</v>
      </c>
    </row>
    <row r="48" spans="1:6">
      <c r="A48" s="1310" t="s">
        <v>31</v>
      </c>
      <c r="B48" s="1310" t="s">
        <v>28</v>
      </c>
      <c r="C48" s="1311">
        <v>4</v>
      </c>
      <c r="D48" s="1311">
        <v>55066.938000000002</v>
      </c>
      <c r="E48" s="1311">
        <v>4</v>
      </c>
      <c r="F48" s="1311">
        <v>39301.4455130192</v>
      </c>
    </row>
    <row r="49" spans="1:6">
      <c r="A49" s="1310" t="s">
        <v>31</v>
      </c>
      <c r="B49" s="1310" t="s">
        <v>39</v>
      </c>
      <c r="C49" s="1311">
        <v>0</v>
      </c>
      <c r="D49" s="1311">
        <v>0</v>
      </c>
      <c r="E49" s="1311">
        <v>0</v>
      </c>
      <c r="F49" s="1311">
        <v>0</v>
      </c>
    </row>
    <row r="50" spans="1:6">
      <c r="A50" s="1310" t="s">
        <v>31</v>
      </c>
      <c r="B50" s="1310" t="s">
        <v>40</v>
      </c>
      <c r="C50" s="1311">
        <v>12</v>
      </c>
      <c r="D50" s="1311">
        <v>13112855.707</v>
      </c>
      <c r="E50" s="1311">
        <v>15</v>
      </c>
      <c r="F50" s="1311">
        <v>12954792.443563599</v>
      </c>
    </row>
    <row r="51" spans="1:6">
      <c r="A51" s="1310" t="s">
        <v>41</v>
      </c>
      <c r="B51" s="1310" t="s">
        <v>42</v>
      </c>
      <c r="C51" s="1311">
        <v>11</v>
      </c>
      <c r="D51" s="1311">
        <v>2957664.3309999998</v>
      </c>
      <c r="E51" s="1311">
        <v>34</v>
      </c>
      <c r="F51" s="1311">
        <v>456285.55027497502</v>
      </c>
    </row>
    <row r="52" spans="1:6">
      <c r="A52" s="1310" t="s">
        <v>41</v>
      </c>
      <c r="B52" s="1310" t="s">
        <v>28</v>
      </c>
      <c r="C52" s="1311">
        <v>0</v>
      </c>
      <c r="D52" s="1311">
        <v>0</v>
      </c>
      <c r="E52" s="1311">
        <v>0</v>
      </c>
      <c r="F52" s="1311">
        <v>0</v>
      </c>
    </row>
    <row r="53" spans="1:6">
      <c r="A53" s="1310" t="s">
        <v>43</v>
      </c>
      <c r="B53" s="1310" t="s">
        <v>44</v>
      </c>
      <c r="C53" s="1311">
        <v>96</v>
      </c>
      <c r="D53" s="1311">
        <v>2741991.4589999998</v>
      </c>
      <c r="E53" s="1311">
        <v>254</v>
      </c>
      <c r="F53" s="1311">
        <v>835547.57416540897</v>
      </c>
    </row>
    <row r="54" spans="1:6">
      <c r="A54" s="1310" t="s">
        <v>45</v>
      </c>
      <c r="B54" s="1310" t="s">
        <v>46</v>
      </c>
      <c r="C54" s="1311">
        <v>0</v>
      </c>
      <c r="D54" s="1311">
        <v>0</v>
      </c>
      <c r="E54" s="1311">
        <v>1</v>
      </c>
      <c r="F54" s="1311">
        <v>717515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v>
      </c>
      <c r="D57" s="1311">
        <v>2342291.4339999999</v>
      </c>
      <c r="E57" s="1311">
        <v>68</v>
      </c>
      <c r="F57" s="1311">
        <v>2663952.4462712398</v>
      </c>
    </row>
    <row r="58" spans="1:6">
      <c r="A58" s="1310" t="s">
        <v>48</v>
      </c>
      <c r="B58" s="1310" t="s">
        <v>50</v>
      </c>
      <c r="C58" s="1311">
        <v>26</v>
      </c>
      <c r="D58" s="1311">
        <v>2920734.7570000002</v>
      </c>
      <c r="E58" s="1311">
        <v>35</v>
      </c>
      <c r="F58" s="1311">
        <v>1282075.02073795</v>
      </c>
    </row>
    <row r="59" spans="1:6">
      <c r="A59" s="1310" t="s">
        <v>48</v>
      </c>
      <c r="B59" s="1310" t="s">
        <v>51</v>
      </c>
      <c r="C59" s="1311">
        <v>219</v>
      </c>
      <c r="D59" s="1311">
        <v>14957118.91</v>
      </c>
      <c r="E59" s="1311">
        <v>332</v>
      </c>
      <c r="F59" s="1311">
        <v>13196317.577340599</v>
      </c>
    </row>
    <row r="60" spans="1:6">
      <c r="A60" s="1310" t="s">
        <v>48</v>
      </c>
      <c r="B60" s="1310" t="s">
        <v>52</v>
      </c>
      <c r="C60" s="1311">
        <v>40</v>
      </c>
      <c r="D60" s="1311">
        <v>3036403.24</v>
      </c>
      <c r="E60" s="1311">
        <v>86</v>
      </c>
      <c r="F60" s="1311">
        <v>2940273.9851468098</v>
      </c>
    </row>
    <row r="61" spans="1:6">
      <c r="A61" s="1310" t="s">
        <v>48</v>
      </c>
      <c r="B61" s="1310" t="s">
        <v>53</v>
      </c>
      <c r="C61" s="1311">
        <v>234</v>
      </c>
      <c r="D61" s="1311">
        <v>15146335.232999999</v>
      </c>
      <c r="E61" s="1311">
        <v>460</v>
      </c>
      <c r="F61" s="1311">
        <v>12707366.947949899</v>
      </c>
    </row>
    <row r="62" spans="1:6">
      <c r="A62" s="1310" t="s">
        <v>48</v>
      </c>
      <c r="B62" s="1310" t="s">
        <v>54</v>
      </c>
      <c r="C62" s="1311">
        <v>7</v>
      </c>
      <c r="D62" s="1311">
        <v>257500.03099999999</v>
      </c>
      <c r="E62" s="1311">
        <v>11</v>
      </c>
      <c r="F62" s="1311">
        <v>111543.36011639101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9</v>
      </c>
      <c r="F66" s="1311">
        <v>159094.48426225199</v>
      </c>
    </row>
    <row r="67" spans="1:6">
      <c r="A67" s="1312" t="s">
        <v>55</v>
      </c>
      <c r="B67" s="1312" t="s">
        <v>58</v>
      </c>
      <c r="C67" s="1311">
        <v>0</v>
      </c>
      <c r="D67" s="1311">
        <v>0</v>
      </c>
      <c r="E67" s="1311">
        <v>0</v>
      </c>
      <c r="F67" s="1311">
        <v>0</v>
      </c>
    </row>
    <row r="68" spans="1:6">
      <c r="A68" s="1305" t="s">
        <v>55</v>
      </c>
      <c r="B68" s="1305" t="s">
        <v>59</v>
      </c>
      <c r="C68" s="1314">
        <v>4</v>
      </c>
      <c r="D68" s="1314">
        <v>312213.09399999998</v>
      </c>
      <c r="E68" s="1314">
        <v>9</v>
      </c>
      <c r="F68" s="1314">
        <v>227082.35840312499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191494261</v>
      </c>
      <c r="E73" s="453"/>
      <c r="F73" s="332"/>
    </row>
    <row r="74" spans="1:6">
      <c r="A74" s="1310" t="s">
        <v>63</v>
      </c>
      <c r="B74" s="1310" t="s">
        <v>648</v>
      </c>
      <c r="C74" s="1324" t="s">
        <v>650</v>
      </c>
      <c r="D74" s="1325">
        <v>49217327.873454392</v>
      </c>
      <c r="E74" s="453"/>
      <c r="F74" s="332"/>
    </row>
    <row r="75" spans="1:6">
      <c r="A75" s="1310" t="s">
        <v>64</v>
      </c>
      <c r="B75" s="1310" t="s">
        <v>647</v>
      </c>
      <c r="C75" s="1324" t="s">
        <v>651</v>
      </c>
      <c r="D75" s="1325">
        <v>23461891</v>
      </c>
      <c r="E75" s="453"/>
      <c r="F75" s="332"/>
    </row>
    <row r="76" spans="1:6">
      <c r="A76" s="1310" t="s">
        <v>64</v>
      </c>
      <c r="B76" s="1310" t="s">
        <v>648</v>
      </c>
      <c r="C76" s="1324" t="s">
        <v>652</v>
      </c>
      <c r="D76" s="1325">
        <v>5084363.8734543957</v>
      </c>
      <c r="E76" s="453"/>
      <c r="F76" s="332"/>
    </row>
    <row r="77" spans="1:6">
      <c r="A77" s="1310" t="s">
        <v>65</v>
      </c>
      <c r="B77" s="1310" t="s">
        <v>647</v>
      </c>
      <c r="C77" s="1324" t="s">
        <v>653</v>
      </c>
      <c r="D77" s="1325">
        <v>10503387</v>
      </c>
      <c r="E77" s="453"/>
      <c r="F77" s="332"/>
    </row>
    <row r="78" spans="1:6">
      <c r="A78" s="1305" t="s">
        <v>65</v>
      </c>
      <c r="B78" s="1305" t="s">
        <v>648</v>
      </c>
      <c r="C78" s="1305" t="s">
        <v>654</v>
      </c>
      <c r="D78" s="1326">
        <v>1234430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417680.25309120899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2821.5741377045911</v>
      </c>
      <c r="C91" s="332"/>
      <c r="D91" s="332"/>
      <c r="E91" s="332"/>
      <c r="F91" s="332"/>
    </row>
    <row r="92" spans="1:6">
      <c r="A92" s="1305" t="s">
        <v>68</v>
      </c>
      <c r="B92" s="1306">
        <v>1504.5388683332708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3801</v>
      </c>
      <c r="C97" s="332"/>
      <c r="D97" s="332"/>
      <c r="E97" s="332"/>
      <c r="F97" s="332"/>
    </row>
    <row r="98" spans="1:6">
      <c r="A98" s="1310" t="s">
        <v>71</v>
      </c>
      <c r="B98" s="1311">
        <v>4</v>
      </c>
      <c r="C98" s="332"/>
      <c r="D98" s="332"/>
      <c r="E98" s="332"/>
      <c r="F98" s="332"/>
    </row>
    <row r="99" spans="1:6">
      <c r="A99" s="1310" t="s">
        <v>72</v>
      </c>
      <c r="B99" s="1311">
        <v>11</v>
      </c>
      <c r="C99" s="332"/>
      <c r="D99" s="332"/>
      <c r="E99" s="332"/>
      <c r="F99" s="332"/>
    </row>
    <row r="100" spans="1:6">
      <c r="A100" s="1310" t="s">
        <v>73</v>
      </c>
      <c r="B100" s="1311">
        <v>478</v>
      </c>
      <c r="C100" s="332"/>
      <c r="D100" s="332"/>
      <c r="E100" s="332"/>
      <c r="F100" s="332"/>
    </row>
    <row r="101" spans="1:6">
      <c r="A101" s="1310" t="s">
        <v>74</v>
      </c>
      <c r="B101" s="1311">
        <v>26</v>
      </c>
      <c r="C101" s="332"/>
      <c r="D101" s="332"/>
      <c r="E101" s="332"/>
      <c r="F101" s="332"/>
    </row>
    <row r="102" spans="1:6">
      <c r="A102" s="1310" t="s">
        <v>75</v>
      </c>
      <c r="B102" s="1311">
        <v>64</v>
      </c>
      <c r="C102" s="332"/>
      <c r="D102" s="332"/>
      <c r="E102" s="332"/>
      <c r="F102" s="332"/>
    </row>
    <row r="103" spans="1:6">
      <c r="A103" s="1310" t="s">
        <v>76</v>
      </c>
      <c r="B103" s="1311">
        <v>37</v>
      </c>
      <c r="C103" s="332"/>
      <c r="D103" s="332"/>
      <c r="E103" s="332"/>
      <c r="F103" s="332"/>
    </row>
    <row r="104" spans="1:6">
      <c r="A104" s="1310" t="s">
        <v>77</v>
      </c>
      <c r="B104" s="1311">
        <v>1023</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17</v>
      </c>
      <c r="C123" s="1311">
        <v>17</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63</v>
      </c>
      <c r="C129" s="332"/>
      <c r="D129" s="332"/>
      <c r="E129" s="332"/>
      <c r="F129" s="332"/>
    </row>
    <row r="130" spans="1:6">
      <c r="A130" s="1310" t="s">
        <v>294</v>
      </c>
      <c r="B130" s="1311">
        <v>0</v>
      </c>
      <c r="C130" s="332"/>
      <c r="D130" s="332"/>
      <c r="E130" s="332"/>
      <c r="F130" s="332"/>
    </row>
    <row r="131" spans="1:6">
      <c r="A131" s="1310" t="s">
        <v>295</v>
      </c>
      <c r="B131" s="1311">
        <v>2</v>
      </c>
      <c r="C131" s="332"/>
      <c r="D131" s="332"/>
      <c r="E131" s="332"/>
      <c r="F131" s="332"/>
    </row>
    <row r="132" spans="1:6">
      <c r="A132" s="1305" t="s">
        <v>296</v>
      </c>
      <c r="B132" s="1306">
        <v>12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77363.180726136779</v>
      </c>
      <c r="C3" s="43" t="s">
        <v>169</v>
      </c>
      <c r="D3" s="43"/>
      <c r="E3" s="154"/>
      <c r="F3" s="43"/>
      <c r="G3" s="43"/>
      <c r="H3" s="43"/>
      <c r="I3" s="43"/>
      <c r="J3" s="43"/>
      <c r="K3" s="96"/>
    </row>
    <row r="4" spans="1:11">
      <c r="A4" s="360" t="s">
        <v>170</v>
      </c>
      <c r="B4" s="49">
        <f>IF(ISERROR('SEAP template'!B78+'SEAP template'!C78),0,'SEAP template'!B78+'SEAP template'!C78)</f>
        <v>4326.1130060378619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0.20864178301149702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717.51499999999999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717.51499999999999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0.20864178301149702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149.70360893749429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21176.803798283599</v>
      </c>
      <c r="C5" s="17">
        <f>IF(ISERROR('Eigen informatie GS &amp; warmtenet'!B59),0,'Eigen informatie GS &amp; warmtenet'!B59)</f>
        <v>0</v>
      </c>
      <c r="D5" s="30">
        <f>(SUM(HH_hh_gas_kWh,HH_rest_gas_kWh)/1000)*0.903</f>
        <v>70464.90781627463</v>
      </c>
      <c r="E5" s="17">
        <f>B46*B57</f>
        <v>751.1989238546837</v>
      </c>
      <c r="F5" s="17">
        <f>B51*B62</f>
        <v>0</v>
      </c>
      <c r="G5" s="18"/>
      <c r="H5" s="17"/>
      <c r="I5" s="17"/>
      <c r="J5" s="17">
        <f>B50*B61+C50*C61</f>
        <v>0</v>
      </c>
      <c r="K5" s="17"/>
      <c r="L5" s="17"/>
      <c r="M5" s="17"/>
      <c r="N5" s="17">
        <f>B48*B59+C48*C59</f>
        <v>3328.0240941981347</v>
      </c>
      <c r="O5" s="17">
        <f>B69*B70*B71</f>
        <v>160.70061577034957</v>
      </c>
      <c r="P5" s="17">
        <f>B77*B78*B79/1000-B77*B78*B79/1000/B80</f>
        <v>316.01877923055071</v>
      </c>
    </row>
    <row r="6" spans="1:16">
      <c r="A6" s="16" t="s">
        <v>612</v>
      </c>
      <c r="B6" s="786">
        <f>kWh_PV_kleiner_dan_10kW</f>
        <v>2821.5741377045911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23998.377935988192</v>
      </c>
      <c r="C8" s="21">
        <f>C5</f>
        <v>0</v>
      </c>
      <c r="D8" s="21">
        <f>D5</f>
        <v>70464.90781627463</v>
      </c>
      <c r="E8" s="21">
        <f>E5</f>
        <v>751.1989238546837</v>
      </c>
      <c r="F8" s="21">
        <f>F5</f>
        <v>0</v>
      </c>
      <c r="G8" s="21"/>
      <c r="H8" s="21"/>
      <c r="I8" s="21"/>
      <c r="J8" s="21">
        <f>J5</f>
        <v>0</v>
      </c>
      <c r="K8" s="21"/>
      <c r="L8" s="21">
        <f>L5</f>
        <v>0</v>
      </c>
      <c r="M8" s="21">
        <f>M5</f>
        <v>0</v>
      </c>
      <c r="N8" s="21">
        <f>N5</f>
        <v>3328.0240941981347</v>
      </c>
      <c r="O8" s="21">
        <f>O5</f>
        <v>160.70061577034957</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0.20864178301149702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5007.0643619483462</v>
      </c>
      <c r="C12" s="23">
        <f ca="1">C10*C8</f>
        <v>0</v>
      </c>
      <c r="D12" s="23">
        <f>D8*D10</f>
        <v>14233.911378887477</v>
      </c>
      <c r="E12" s="23">
        <f>E10*E8</f>
        <v>170.52215571501321</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3801</v>
      </c>
      <c r="C18" s="166" t="s">
        <v>110</v>
      </c>
      <c r="D18" s="228"/>
      <c r="E18" s="15"/>
    </row>
    <row r="19" spans="1:7">
      <c r="A19" s="171" t="s">
        <v>71</v>
      </c>
      <c r="B19" s="37">
        <f>aantalw2001_ander</f>
        <v>4</v>
      </c>
      <c r="C19" s="166" t="s">
        <v>110</v>
      </c>
      <c r="D19" s="229"/>
      <c r="E19" s="15"/>
    </row>
    <row r="20" spans="1:7">
      <c r="A20" s="171" t="s">
        <v>72</v>
      </c>
      <c r="B20" s="37">
        <f>aantalw2001_propaan</f>
        <v>11</v>
      </c>
      <c r="C20" s="167">
        <f>IF(ISERROR(B20/SUM($B$20,$B$21,$B$22)*100),0,B20/SUM($B$20,$B$21,$B$22)*100)</f>
        <v>2.1359223300970873</v>
      </c>
      <c r="D20" s="229"/>
      <c r="E20" s="15"/>
    </row>
    <row r="21" spans="1:7">
      <c r="A21" s="171" t="s">
        <v>73</v>
      </c>
      <c r="B21" s="37">
        <f>aantalw2001_elektriciteit</f>
        <v>478</v>
      </c>
      <c r="C21" s="167">
        <f>IF(ISERROR(B21/SUM($B$20,$B$21,$B$22)*100),0,B21/SUM($B$20,$B$21,$B$22)*100)</f>
        <v>92.815533980582515</v>
      </c>
      <c r="D21" s="229"/>
      <c r="E21" s="15"/>
    </row>
    <row r="22" spans="1:7">
      <c r="A22" s="171" t="s">
        <v>74</v>
      </c>
      <c r="B22" s="37">
        <f>aantalw2001_hout</f>
        <v>26</v>
      </c>
      <c r="C22" s="167">
        <f>IF(ISERROR(B22/SUM($B$20,$B$21,$B$22)*100),0,B22/SUM($B$20,$B$21,$B$22)*100)</f>
        <v>5.0485436893203879</v>
      </c>
      <c r="D22" s="229"/>
      <c r="E22" s="15"/>
    </row>
    <row r="23" spans="1:7">
      <c r="A23" s="171" t="s">
        <v>75</v>
      </c>
      <c r="B23" s="37">
        <f>aantalw2001_niet_gespec</f>
        <v>64</v>
      </c>
      <c r="C23" s="166" t="s">
        <v>110</v>
      </c>
      <c r="D23" s="228"/>
      <c r="E23" s="15"/>
    </row>
    <row r="24" spans="1:7">
      <c r="A24" s="171" t="s">
        <v>76</v>
      </c>
      <c r="B24" s="37">
        <f>aantalw2001_steenkool</f>
        <v>37</v>
      </c>
      <c r="C24" s="166" t="s">
        <v>110</v>
      </c>
      <c r="D24" s="229"/>
      <c r="E24" s="15"/>
    </row>
    <row r="25" spans="1:7">
      <c r="A25" s="171" t="s">
        <v>77</v>
      </c>
      <c r="B25" s="37">
        <f>aantalw2001_stookolie</f>
        <v>1023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5957</v>
      </c>
      <c r="C28" s="36"/>
      <c r="D28" s="228"/>
    </row>
    <row r="29" spans="1:7" s="15" customFormat="1">
      <c r="A29" s="230" t="s">
        <v>839</v>
      </c>
      <c r="B29" s="37">
        <f>SUM(HH_hh_gas_aantal,HH_rest_gas_aantal)</f>
        <v>4949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4949</v>
      </c>
      <c r="C32" s="167">
        <f>IF(ISERROR(B32/SUM($B$32,$B$34,$B$35,$B$36,$B$38,$B$39)*100),0,B32/SUM($B$32,$B$34,$B$35,$B$36,$B$38,$B$39)*100)</f>
        <v>83.499240762611763</v>
      </c>
      <c r="D32" s="233"/>
      <c r="G32" s="15"/>
    </row>
    <row r="33" spans="1:7">
      <c r="A33" s="171" t="s">
        <v>71</v>
      </c>
      <c r="B33" s="34" t="s">
        <v>110</v>
      </c>
      <c r="C33" s="167"/>
      <c r="D33" s="233"/>
      <c r="G33" s="15"/>
    </row>
    <row r="34" spans="1:7">
      <c r="A34" s="171" t="s">
        <v>72</v>
      </c>
      <c r="B34" s="33">
        <f>IF((($B$28-$B$32-$B$39-$B$77-$B$38)*C20/100)&lt;0,0,($B$28-$B$32-$B$39-$B$77-$B$38)*C20/100)</f>
        <v>20.889320388349514</v>
      </c>
      <c r="C34" s="167">
        <f>IF(ISERROR(B34/SUM($B$32,$B$34,$B$35,$B$36,$B$38,$B$39)*100),0,B34/SUM($B$32,$B$34,$B$35,$B$36,$B$38,$B$39)*100)</f>
        <v>0.3524434011869329</v>
      </c>
      <c r="D34" s="233"/>
      <c r="G34" s="15"/>
    </row>
    <row r="35" spans="1:7">
      <c r="A35" s="171" t="s">
        <v>73</v>
      </c>
      <c r="B35" s="33">
        <f>IF((($B$28-$B$32-$B$39-$B$77-$B$38)*C21/100)&lt;0,0,($B$28-$B$32-$B$39-$B$77-$B$38)*C21/100)</f>
        <v>907.73592233009697</v>
      </c>
      <c r="C35" s="167">
        <f>IF(ISERROR(B35/SUM($B$32,$B$34,$B$35,$B$36,$B$38,$B$39)*100),0,B35/SUM($B$32,$B$34,$B$35,$B$36,$B$38,$B$39)*100)</f>
        <v>15.315267797032172</v>
      </c>
      <c r="D35" s="233"/>
      <c r="G35" s="15"/>
    </row>
    <row r="36" spans="1:7">
      <c r="A36" s="171" t="s">
        <v>74</v>
      </c>
      <c r="B36" s="33">
        <f>IF((($B$28-$B$32-$B$39-$B$77-$B$38)*C22/100)&lt;0,0,($B$28-$B$32-$B$39-$B$77-$B$38)*C22/100)</f>
        <v>49.374757281553393</v>
      </c>
      <c r="C36" s="167">
        <f>IF(ISERROR(B36/SUM($B$32,$B$34,$B$35,$B$36,$B$38,$B$39)*100),0,B36/SUM($B$32,$B$34,$B$35,$B$36,$B$38,$B$39)*100)</f>
        <v>0.83304803916911396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4949</v>
      </c>
      <c r="C44" s="34" t="s">
        <v>110</v>
      </c>
      <c r="D44" s="174"/>
    </row>
    <row r="45" spans="1:7">
      <c r="A45" s="171" t="s">
        <v>71</v>
      </c>
      <c r="B45" s="33" t="str">
        <f t="shared" si="0"/>
        <v>-</v>
      </c>
      <c r="C45" s="34" t="s">
        <v>110</v>
      </c>
      <c r="D45" s="174"/>
    </row>
    <row r="46" spans="1:7">
      <c r="A46" s="171" t="s">
        <v>72</v>
      </c>
      <c r="B46" s="33">
        <f t="shared" si="0"/>
        <v>20.889320388349514</v>
      </c>
      <c r="C46" s="34" t="s">
        <v>110</v>
      </c>
      <c r="D46" s="174"/>
    </row>
    <row r="47" spans="1:7">
      <c r="A47" s="171" t="s">
        <v>73</v>
      </c>
      <c r="B47" s="33">
        <f t="shared" si="0"/>
        <v>907.73592233009697</v>
      </c>
      <c r="C47" s="34" t="s">
        <v>110</v>
      </c>
      <c r="D47" s="174"/>
    </row>
    <row r="48" spans="1:7">
      <c r="A48" s="171" t="s">
        <v>74</v>
      </c>
      <c r="B48" s="33">
        <f t="shared" si="0"/>
        <v>49.374757281553393</v>
      </c>
      <c r="C48" s="33">
        <f>B48*10</f>
        <v>493.74757281553394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32901.52933756289</v>
      </c>
      <c r="C5" s="17">
        <f>IF(ISERROR('Eigen informatie GS &amp; warmtenet'!B60),0,'Eigen informatie GS &amp; warmtenet'!B60)</f>
        <v>0</v>
      </c>
      <c r="D5" s="30">
        <f>SUM(D6:D12)</f>
        <v>34910.326395315002</v>
      </c>
      <c r="E5" s="17">
        <f>SUM(E6:E12)</f>
        <v>87.575905995535408</v>
      </c>
      <c r="F5" s="17">
        <f>SUM(F6:F12)</f>
        <v>4409.7006696035551</v>
      </c>
      <c r="G5" s="18"/>
      <c r="H5" s="17"/>
      <c r="I5" s="17"/>
      <c r="J5" s="17">
        <f>SUM(J6:J12)</f>
        <v>2.6308715133268521E-2</v>
      </c>
      <c r="K5" s="17"/>
      <c r="L5" s="17"/>
      <c r="M5" s="17"/>
      <c r="N5" s="17">
        <f>SUM(N6:N12)</f>
        <v>972.68676831960784</v>
      </c>
      <c r="O5" s="17">
        <f>B38*B39*B40</f>
        <v>0</v>
      </c>
      <c r="P5" s="17">
        <f>B46*B47*B48/1000-B46*B47*B48/1000/B49</f>
        <v>105.07827661299004</v>
      </c>
      <c r="R5" s="32"/>
    </row>
    <row r="6" spans="1:18">
      <c r="A6" s="32" t="s">
        <v>53</v>
      </c>
      <c r="B6" s="37">
        <f>B26</f>
        <v>12707.366947949899</v>
      </c>
      <c r="C6" s="33"/>
      <c r="D6" s="37">
        <f>IF(ISERROR(TER_kantoor_gas_kWh/1000),0,TER_kantoor_gas_kWh/1000)*0.903</f>
        <v>13677.140715399</v>
      </c>
      <c r="E6" s="33">
        <f>$C$26*'E Balans VL '!I12/100/3.6*1000000</f>
        <v>3.0443830714574873</v>
      </c>
      <c r="F6" s="33">
        <f>$C$26*('E Balans VL '!L12+'E Balans VL '!N12)/100/3.6*1000000</f>
        <v>1205.0246824728929</v>
      </c>
      <c r="G6" s="34"/>
      <c r="H6" s="33"/>
      <c r="I6" s="33"/>
      <c r="J6" s="33">
        <f>$C$26*('E Balans VL '!D12+'E Balans VL '!E12)/100/3.6*1000000</f>
        <v>0</v>
      </c>
      <c r="K6" s="33"/>
      <c r="L6" s="33"/>
      <c r="M6" s="33"/>
      <c r="N6" s="33">
        <f>$C$26*'E Balans VL '!Y12/100/3.6*1000000</f>
        <v>6.4546851375757921</v>
      </c>
      <c r="O6" s="33"/>
      <c r="P6" s="33"/>
      <c r="R6" s="32"/>
    </row>
    <row r="7" spans="1:18">
      <c r="A7" s="32" t="s">
        <v>52</v>
      </c>
      <c r="B7" s="37">
        <f t="shared" ref="B7:B12" si="0">B27</f>
        <v>2940.27398514681</v>
      </c>
      <c r="C7" s="33"/>
      <c r="D7" s="37">
        <f>IF(ISERROR(TER_horeca_gas_kWh/1000),0,TER_horeca_gas_kWh/1000)*0.903</f>
        <v>2741.87212572</v>
      </c>
      <c r="E7" s="33">
        <f>$C$27*'E Balans VL '!I9/100/3.6*1000000</f>
        <v>0</v>
      </c>
      <c r="F7" s="33">
        <f>$C$27*('E Balans VL '!L9+'E Balans VL '!N9)/100/3.6*1000000</f>
        <v>241.09555511144725</v>
      </c>
      <c r="G7" s="34"/>
      <c r="H7" s="33"/>
      <c r="I7" s="33"/>
      <c r="J7" s="33">
        <f>$C$27*('E Balans VL '!D9+'E Balans VL '!E9)/100/3.6*1000000</f>
        <v>0</v>
      </c>
      <c r="K7" s="33"/>
      <c r="L7" s="33"/>
      <c r="M7" s="33"/>
      <c r="N7" s="33">
        <f>$C$27*'E Balans VL '!Y9/100/3.6*1000000</f>
        <v>0.90131210799319927</v>
      </c>
      <c r="O7" s="33"/>
      <c r="P7" s="33"/>
      <c r="R7" s="32"/>
    </row>
    <row r="8" spans="1:18">
      <c r="A8" s="6" t="s">
        <v>51</v>
      </c>
      <c r="B8" s="37">
        <f t="shared" si="0"/>
        <v>13196.317577340598</v>
      </c>
      <c r="C8" s="33"/>
      <c r="D8" s="37">
        <f>IF(ISERROR(TER_handel_gas_kWh/1000),0,TER_handel_gas_kWh/1000)*0.903</f>
        <v>13506.278375730002</v>
      </c>
      <c r="E8" s="33">
        <f>$C$28*'E Balans VL '!I13/100/3.6*1000000</f>
        <v>46.377843796040786</v>
      </c>
      <c r="F8" s="33">
        <f>$C$28*('E Balans VL '!L13+'E Balans VL '!N13)/100/3.6*1000000</f>
        <v>1207.4393599519788</v>
      </c>
      <c r="G8" s="34"/>
      <c r="H8" s="33"/>
      <c r="I8" s="33"/>
      <c r="J8" s="33">
        <f>$C$28*('E Balans VL '!D13+'E Balans VL '!E13)/100/3.6*1000000</f>
        <v>0</v>
      </c>
      <c r="K8" s="33"/>
      <c r="L8" s="33"/>
      <c r="M8" s="33"/>
      <c r="N8" s="33">
        <f>$C$28*'E Balans VL '!Y13/100/3.6*1000000</f>
        <v>4.7791381037792728</v>
      </c>
      <c r="O8" s="33"/>
      <c r="P8" s="33"/>
      <c r="R8" s="32"/>
    </row>
    <row r="9" spans="1:18">
      <c r="A9" s="32" t="s">
        <v>50</v>
      </c>
      <c r="B9" s="37">
        <f t="shared" si="0"/>
        <v>1282.0750207379499</v>
      </c>
      <c r="C9" s="33"/>
      <c r="D9" s="37">
        <f>IF(ISERROR(TER_gezond_gas_kWh/1000),0,TER_gezond_gas_kWh/1000)*0.903</f>
        <v>2637.4234855710001</v>
      </c>
      <c r="E9" s="33">
        <f>$C$29*'E Balans VL '!I10/100/3.6*1000000</f>
        <v>0</v>
      </c>
      <c r="F9" s="33">
        <f>$C$29*('E Balans VL '!L10+'E Balans VL '!N10)/100/3.6*1000000</f>
        <v>157.1588548651761</v>
      </c>
      <c r="G9" s="34"/>
      <c r="H9" s="33"/>
      <c r="I9" s="33"/>
      <c r="J9" s="33">
        <f>$C$29*('E Balans VL '!D10+'E Balans VL '!E10)/100/3.6*1000000</f>
        <v>0</v>
      </c>
      <c r="K9" s="33"/>
      <c r="L9" s="33"/>
      <c r="M9" s="33"/>
      <c r="N9" s="33">
        <f>$C$29*'E Balans VL '!Y10/100/3.6*1000000</f>
        <v>9.4544098577649258</v>
      </c>
      <c r="O9" s="33"/>
      <c r="P9" s="33"/>
      <c r="R9" s="32"/>
    </row>
    <row r="10" spans="1:18">
      <c r="A10" s="32" t="s">
        <v>49</v>
      </c>
      <c r="B10" s="37">
        <f t="shared" si="0"/>
        <v>2663.9524462712398</v>
      </c>
      <c r="C10" s="33"/>
      <c r="D10" s="37">
        <f>IF(ISERROR(TER_ander_gas_kWh/1000),0,TER_ander_gas_kWh/1000)*0.903</f>
        <v>2115.089164902</v>
      </c>
      <c r="E10" s="33">
        <f>$C$30*'E Balans VL '!I14/100/3.6*1000000</f>
        <v>38.15367912803714</v>
      </c>
      <c r="F10" s="33">
        <f>$C$30*('E Balans VL '!L14+'E Balans VL '!N14)/100/3.6*1000000</f>
        <v>1585.9414701000776</v>
      </c>
      <c r="G10" s="34"/>
      <c r="H10" s="33"/>
      <c r="I10" s="33"/>
      <c r="J10" s="33">
        <f>$C$30*('E Balans VL '!D14+'E Balans VL '!E14)/100/3.6*1000000</f>
        <v>2.6308715133268521E-2</v>
      </c>
      <c r="K10" s="33"/>
      <c r="L10" s="33"/>
      <c r="M10" s="33"/>
      <c r="N10" s="33">
        <f>$C$30*'E Balans VL '!Y14/100/3.6*1000000</f>
        <v>950.78312981906674</v>
      </c>
      <c r="O10" s="33"/>
      <c r="P10" s="33"/>
      <c r="R10" s="32"/>
    </row>
    <row r="11" spans="1:18">
      <c r="A11" s="32" t="s">
        <v>54</v>
      </c>
      <c r="B11" s="37">
        <f t="shared" si="0"/>
        <v>111.543360116391</v>
      </c>
      <c r="C11" s="33"/>
      <c r="D11" s="37">
        <f>IF(ISERROR(TER_onderwijs_gas_kWh/1000),0,TER_onderwijs_gas_kWh/1000)*0.903</f>
        <v>232.52252799299998</v>
      </c>
      <c r="E11" s="33">
        <f>$C$31*'E Balans VL '!I11/100/3.6*1000000</f>
        <v>0</v>
      </c>
      <c r="F11" s="33">
        <f>$C$31*('E Balans VL '!L11+'E Balans VL '!N11)/100/3.6*1000000</f>
        <v>13.040747101982173</v>
      </c>
      <c r="G11" s="34"/>
      <c r="H11" s="33"/>
      <c r="I11" s="33"/>
      <c r="J11" s="33">
        <f>$C$31*('E Balans VL '!D11+'E Balans VL '!E11)/100/3.6*1000000</f>
        <v>0</v>
      </c>
      <c r="K11" s="33"/>
      <c r="L11" s="33"/>
      <c r="M11" s="33"/>
      <c r="N11" s="33">
        <f>$C$31*'E Balans VL '!Y11/100/3.6*1000000</f>
        <v>0.31409329342793429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32901.52933756289</v>
      </c>
      <c r="C16" s="21">
        <f t="shared" ca="1" si="1"/>
        <v>0</v>
      </c>
      <c r="D16" s="21">
        <f t="shared" ca="1" si="1"/>
        <v>34910.326395315002</v>
      </c>
      <c r="E16" s="21">
        <f t="shared" si="1"/>
        <v>87.575905995535408</v>
      </c>
      <c r="F16" s="21">
        <f t="shared" ca="1" si="1"/>
        <v>4409.7006696035551</v>
      </c>
      <c r="G16" s="21">
        <f t="shared" si="1"/>
        <v>0</v>
      </c>
      <c r="H16" s="21">
        <f t="shared" si="1"/>
        <v>0</v>
      </c>
      <c r="I16" s="21">
        <f t="shared" si="1"/>
        <v>0</v>
      </c>
      <c r="J16" s="21">
        <f t="shared" si="1"/>
        <v>2.6308715133268521E-2</v>
      </c>
      <c r="K16" s="21">
        <f t="shared" si="1"/>
        <v>0</v>
      </c>
      <c r="L16" s="21">
        <f t="shared" ca="1" si="1"/>
        <v>0</v>
      </c>
      <c r="M16" s="21">
        <f t="shared" si="1"/>
        <v>0</v>
      </c>
      <c r="N16" s="21">
        <f t="shared" ca="1" si="1"/>
        <v>972.68676831960784</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0.20864178301149702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6864.6337447941996</v>
      </c>
      <c r="C20" s="23">
        <f t="shared" ref="C20:P20" ca="1" si="2">C16*C18</f>
        <v>0</v>
      </c>
      <c r="D20" s="23">
        <f t="shared" ca="1" si="2"/>
        <v>7051.8859318536306</v>
      </c>
      <c r="E20" s="23">
        <f t="shared" si="2"/>
        <v>19.879730660986539</v>
      </c>
      <c r="F20" s="23">
        <f t="shared" ca="1" si="2"/>
        <v>1177.3900787841492</v>
      </c>
      <c r="G20" s="23">
        <f t="shared" si="2"/>
        <v>0</v>
      </c>
      <c r="H20" s="23">
        <f t="shared" si="2"/>
        <v>0</v>
      </c>
      <c r="I20" s="23">
        <f t="shared" si="2"/>
        <v>0</v>
      </c>
      <c r="J20" s="23">
        <f t="shared" si="2"/>
        <v>9.3132851571770554E-3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12707.366947949899</v>
      </c>
      <c r="C26" s="39">
        <f>IF(ISERROR(B26*3.6/1000000/'E Balans VL '!Z12*100),0,B26*3.6/1000000/'E Balans VL '!Z12*100)</f>
        <v>0.35838139874361191</v>
      </c>
      <c r="D26" s="237" t="s">
        <v>702</v>
      </c>
      <c r="F26" s="6"/>
    </row>
    <row r="27" spans="1:18">
      <c r="A27" s="231" t="s">
        <v>52</v>
      </c>
      <c r="B27" s="33">
        <f>IF(ISERROR(TER_horeca_ele_kWh/1000),0,TER_horeca_ele_kWh/1000)</f>
        <v>2940.27398514681</v>
      </c>
      <c r="C27" s="39">
        <f>IF(ISERROR(B27*3.6/1000000/'E Balans VL '!Z9*100),0,B27*3.6/1000000/'E Balans VL '!Z9*100)</f>
        <v>0.21798519568175972</v>
      </c>
      <c r="D27" s="237" t="s">
        <v>702</v>
      </c>
      <c r="F27" s="6"/>
    </row>
    <row r="28" spans="1:18">
      <c r="A28" s="171" t="s">
        <v>51</v>
      </c>
      <c r="B28" s="33">
        <f>IF(ISERROR(TER_handel_ele_kWh/1000),0,TER_handel_ele_kWh/1000)</f>
        <v>13196.317577340598</v>
      </c>
      <c r="C28" s="39">
        <f>IF(ISERROR(B28*3.6/1000000/'E Balans VL '!Z13*100),0,B28*3.6/1000000/'E Balans VL '!Z13*100)</f>
        <v>0.39533029920065788</v>
      </c>
      <c r="D28" s="237" t="s">
        <v>702</v>
      </c>
      <c r="F28" s="6"/>
    </row>
    <row r="29" spans="1:18">
      <c r="A29" s="231" t="s">
        <v>50</v>
      </c>
      <c r="B29" s="33">
        <f>IF(ISERROR(TER_gezond_ele_kWh/1000),0,TER_gezond_ele_kWh/1000)</f>
        <v>1282.0750207379499</v>
      </c>
      <c r="C29" s="39">
        <f>IF(ISERROR(B29*3.6/1000000/'E Balans VL '!Z10*100),0,B29*3.6/1000000/'E Balans VL '!Z10*100)</f>
        <v>0.12677208055745218</v>
      </c>
      <c r="D29" s="237" t="s">
        <v>702</v>
      </c>
      <c r="F29" s="6"/>
    </row>
    <row r="30" spans="1:18">
      <c r="A30" s="231" t="s">
        <v>49</v>
      </c>
      <c r="B30" s="33">
        <f>IF(ISERROR(TER_ander_ele_kWh/1000),0,TER_ander_ele_kWh/1000)</f>
        <v>2663.9524462712398</v>
      </c>
      <c r="C30" s="39">
        <f>IF(ISERROR(B30*3.6/1000000/'E Balans VL '!Z14*100),0,B30*3.6/1000000/'E Balans VL '!Z14*100)</f>
        <v>0.1077490039587789</v>
      </c>
      <c r="D30" s="237" t="s">
        <v>702</v>
      </c>
      <c r="F30" s="6"/>
    </row>
    <row r="31" spans="1:18">
      <c r="A31" s="231" t="s">
        <v>54</v>
      </c>
      <c r="B31" s="33">
        <f>IF(ISERROR(TER_onderwijs_ele_kWh/1000),0,TER_onderwijs_ele_kWh/1000)</f>
        <v>111.543360116391</v>
      </c>
      <c r="C31" s="39">
        <f>IF(ISERROR(B31*3.6/1000000/'E Balans VL '!Z11*100),0,B31*3.6/1000000/'E Balans VL '!Z11*100)</f>
        <v>3.0645839332229804E-2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18301.624437868821</v>
      </c>
      <c r="C5" s="17">
        <f>IF(ISERROR('Eigen informatie GS &amp; warmtenet'!B61),0,'Eigen informatie GS &amp; warmtenet'!B61)</f>
        <v>0</v>
      </c>
      <c r="D5" s="30">
        <f>SUM(D6:D15)</f>
        <v>17855.081522816999</v>
      </c>
      <c r="E5" s="17">
        <f>SUM(E6:E15)</f>
        <v>40.584442940822839</v>
      </c>
      <c r="F5" s="17">
        <f>SUM(F6:F15)</f>
        <v>1412.6505066030525</v>
      </c>
      <c r="G5" s="18"/>
      <c r="H5" s="17"/>
      <c r="I5" s="17"/>
      <c r="J5" s="17">
        <f>SUM(J6:J15)</f>
        <v>2.52037905107712</v>
      </c>
      <c r="K5" s="17"/>
      <c r="L5" s="17"/>
      <c r="M5" s="17"/>
      <c r="N5" s="17">
        <f>SUM(N6:N15)</f>
        <v>515.414173557749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2723.4034819977896</v>
      </c>
      <c r="C8" s="33"/>
      <c r="D8" s="37">
        <f>IF( ISERROR(IND_metaal_Gas_kWH/1000),0,IND_metaal_Gas_kWH/1000)*0.903</f>
        <v>3775.3973109089998</v>
      </c>
      <c r="E8" s="33">
        <f>C30*'E Balans VL '!I18/100/3.6*1000000</f>
        <v>13.731875533836298</v>
      </c>
      <c r="F8" s="33">
        <f>C30*'E Balans VL '!L18/100/3.6*1000000+C30*'E Balans VL '!N18/100/3.6*1000000</f>
        <v>186.06849103173181</v>
      </c>
      <c r="G8" s="34"/>
      <c r="H8" s="33"/>
      <c r="I8" s="33"/>
      <c r="J8" s="40">
        <f>C30*'E Balans VL '!D18/100/3.6*1000000+C30*'E Balans VL '!E18/100/3.6*1000000</f>
        <v>2.4145294961007742</v>
      </c>
      <c r="K8" s="33"/>
      <c r="L8" s="33"/>
      <c r="M8" s="33"/>
      <c r="N8" s="33">
        <f>C30*'E Balans VL '!Y18/100/3.6*1000000</f>
        <v>36.194048437862904</v>
      </c>
      <c r="O8" s="33"/>
      <c r="P8" s="33"/>
      <c r="R8" s="32"/>
    </row>
    <row r="9" spans="1:18">
      <c r="A9" s="6" t="s">
        <v>32</v>
      </c>
      <c r="B9" s="37">
        <f t="shared" si="0"/>
        <v>1654.5849126798998</v>
      </c>
      <c r="C9" s="33"/>
      <c r="D9" s="37">
        <f>IF( ISERROR(IND_andere_gas_kWh/1000),0,IND_andere_gas_kWh/1000)*0.903</f>
        <v>2189.0500634730001</v>
      </c>
      <c r="E9" s="33">
        <f>C31*'E Balans VL '!I19/100/3.6*1000000</f>
        <v>5.2156426948345729</v>
      </c>
      <c r="F9" s="33">
        <f>C31*'E Balans VL '!L19/100/3.6*1000000+C31*'E Balans VL '!N19/100/3.6*1000000</f>
        <v>1012.8672938332963</v>
      </c>
      <c r="G9" s="34"/>
      <c r="H9" s="33"/>
      <c r="I9" s="33"/>
      <c r="J9" s="40">
        <f>C31*'E Balans VL '!D19/100/3.6*1000000+C31*'E Balans VL '!E19/100/3.6*1000000</f>
        <v>0</v>
      </c>
      <c r="K9" s="33"/>
      <c r="L9" s="33"/>
      <c r="M9" s="33"/>
      <c r="N9" s="33">
        <f>C31*'E Balans VL '!Y19/100/3.6*1000000</f>
        <v>69.378992018583091</v>
      </c>
      <c r="O9" s="33"/>
      <c r="P9" s="33"/>
      <c r="R9" s="32"/>
    </row>
    <row r="10" spans="1:18">
      <c r="A10" s="6" t="s">
        <v>40</v>
      </c>
      <c r="B10" s="37">
        <f t="shared" si="0"/>
        <v>12954.7924435636</v>
      </c>
      <c r="C10" s="33"/>
      <c r="D10" s="37">
        <f>IF( ISERROR(IND_voed_gas_kWh/1000),0,IND_voed_gas_kWh/1000)*0.903</f>
        <v>11840.908703421001</v>
      </c>
      <c r="E10" s="33">
        <f>C32*'E Balans VL '!I20/100/3.6*1000000</f>
        <v>20.646300889601054</v>
      </c>
      <c r="F10" s="33">
        <f>C32*'E Balans VL '!L20/100/3.6*1000000+C32*'E Balans VL '!N20/100/3.6*1000000</f>
        <v>210.48390644972298</v>
      </c>
      <c r="G10" s="34"/>
      <c r="H10" s="33"/>
      <c r="I10" s="33"/>
      <c r="J10" s="40">
        <f>C32*'E Balans VL '!D20/100/3.6*1000000+C32*'E Balans VL '!E20/100/3.6*1000000</f>
        <v>0</v>
      </c>
      <c r="K10" s="33"/>
      <c r="L10" s="33"/>
      <c r="M10" s="33"/>
      <c r="N10" s="33">
        <f>C32*'E Balans VL '!Y20/100/3.6*1000000</f>
        <v>409.17704641936587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929.54215411451298</v>
      </c>
      <c r="C13" s="33"/>
      <c r="D13" s="37">
        <f>IF( ISERROR(IND_papier_gas_kWh/1000),0,IND_papier_gas_kWh/1000)*0.903</f>
        <v>0</v>
      </c>
      <c r="E13" s="33">
        <f>C35*'E Balans VL '!I23/100/3.6*1000000</f>
        <v>0</v>
      </c>
      <c r="F13" s="33">
        <f>C35*'E Balans VL '!L23/100/3.6*1000000+C35*'E Balans VL '!N23/100/3.6*1000000</f>
        <v>4.0272088375582403E-2</v>
      </c>
      <c r="G13" s="34"/>
      <c r="H13" s="33"/>
      <c r="I13" s="33"/>
      <c r="J13" s="40">
        <f>C35*'E Balans VL '!D23/100/3.6*1000000+C35*'E Balans VL '!E23/100/3.6*1000000</f>
        <v>2.5613319575970638E-2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39.301445513019203</v>
      </c>
      <c r="C15" s="33"/>
      <c r="D15" s="37">
        <f>IF( ISERROR(IND_rest_gas_kWh/1000),0,IND_rest_gas_kWh/1000)*0.903</f>
        <v>49.725445014000002</v>
      </c>
      <c r="E15" s="33">
        <f>C37*'E Balans VL '!I15/100/3.6*1000000</f>
        <v>0.99062382255091885</v>
      </c>
      <c r="F15" s="33">
        <f>C37*'E Balans VL '!L15/100/3.6*1000000+C37*'E Balans VL '!N15/100/3.6*1000000</f>
        <v>3.1905431999256759</v>
      </c>
      <c r="G15" s="34"/>
      <c r="H15" s="33"/>
      <c r="I15" s="33"/>
      <c r="J15" s="40">
        <f>C37*'E Balans VL '!D15/100/3.6*1000000+C37*'E Balans VL '!E15/100/3.6*1000000</f>
        <v>8.0236235400375402E-2</v>
      </c>
      <c r="K15" s="33"/>
      <c r="L15" s="33"/>
      <c r="M15" s="33"/>
      <c r="N15" s="33">
        <f>C37*'E Balans VL '!Y15/100/3.6*1000000</f>
        <v>0.66408668193719855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18301.624437868821</v>
      </c>
      <c r="C18" s="21">
        <f>C5+C16</f>
        <v>0</v>
      </c>
      <c r="D18" s="21">
        <f>MAX((D5+D16),0)</f>
        <v>17855.081522816999</v>
      </c>
      <c r="E18" s="21">
        <f>MAX((E5+E16),0)</f>
        <v>40.584442940822839</v>
      </c>
      <c r="F18" s="21">
        <f>MAX((F5+F16),0)</f>
        <v>1412.6505066030525</v>
      </c>
      <c r="G18" s="21"/>
      <c r="H18" s="21"/>
      <c r="I18" s="21"/>
      <c r="J18" s="21">
        <f>MAX((J5+J16),0)</f>
        <v>2.52037905107712</v>
      </c>
      <c r="K18" s="21"/>
      <c r="L18" s="21">
        <f>MAX((L5+L16),0)</f>
        <v>0</v>
      </c>
      <c r="M18" s="21"/>
      <c r="N18" s="21">
        <f>MAX((N5+N16),0)</f>
        <v>515.414173557749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0.20864178301149702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3818.4835547237376</v>
      </c>
      <c r="C22" s="23">
        <f ca="1">C18*C20</f>
        <v>0</v>
      </c>
      <c r="D22" s="23">
        <f>D18*D20</f>
        <v>3606.726467609034</v>
      </c>
      <c r="E22" s="23">
        <f>E18*E20</f>
        <v>9.2126685475667855</v>
      </c>
      <c r="F22" s="23">
        <f>F18*F20</f>
        <v>377.17768526301501</v>
      </c>
      <c r="G22" s="23"/>
      <c r="H22" s="23"/>
      <c r="I22" s="23"/>
      <c r="J22" s="23">
        <f>J18*J20</f>
        <v>0.89221418408130049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2723.4034819977896</v>
      </c>
      <c r="C30" s="39">
        <f>IF(ISERROR(B30*3.6/1000000/'E Balans VL '!Z18*100),0,B30*3.6/1000000/'E Balans VL '!Z18*100)</f>
        <v>0.13518361097920314</v>
      </c>
      <c r="D30" s="237" t="s">
        <v>702</v>
      </c>
    </row>
    <row r="31" spans="1:18">
      <c r="A31" s="6" t="s">
        <v>32</v>
      </c>
      <c r="B31" s="37">
        <f>IF( ISERROR(IND_ander_ele_kWh/1000),0,IND_ander_ele_kWh/1000)</f>
        <v>1654.5849126798998</v>
      </c>
      <c r="C31" s="39">
        <f>IF(ISERROR(B31*3.6/1000000/'E Balans VL '!Z19*100),0,B31*3.6/1000000/'E Balans VL '!Z19*100)</f>
        <v>5.5833762185239402E-2</v>
      </c>
      <c r="D31" s="237" t="s">
        <v>702</v>
      </c>
    </row>
    <row r="32" spans="1:18">
      <c r="A32" s="171" t="s">
        <v>40</v>
      </c>
      <c r="B32" s="37">
        <f>IF( ISERROR(IND_voed_ele_kWh/1000),0,IND_voed_ele_kWh/1000)</f>
        <v>12954.7924435636</v>
      </c>
      <c r="C32" s="39">
        <f>IF(ISERROR(B32*3.6/1000000/'E Balans VL '!Z20*100),0,B32*3.6/1000000/'E Balans VL '!Z20*100)</f>
        <v>0.30423440163477322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929.54215411451298</v>
      </c>
      <c r="C35" s="39">
        <f>IF(ISERROR(B35*3.6/1000000/'E Balans VL '!Z22*100),0,B35*3.6/1000000/'E Balans VL '!Z22*100)</f>
        <v>0.13187485050746731</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39.301445513019203</v>
      </c>
      <c r="C37" s="39">
        <f>IF(ISERROR(B37*3.6/1000000/'E Balans VL '!Z15*100),0,B37*3.6/1000000/'E Balans VL '!Z15*100)</f>
        <v>1.4728331476794034E-4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456.28555027497504</v>
      </c>
      <c r="C5" s="17">
        <f>'Eigen informatie GS &amp; warmtenet'!B62</f>
        <v>0</v>
      </c>
      <c r="D5" s="30">
        <f>IF(ISERROR(SUM(LB_lb_gas_kWh,LB_rest_gas_kWh)/1000),0,SUM(LB_lb_gas_kWh,LB_rest_gas_kWh)/1000)*0.903</f>
        <v>2670.7708908929999</v>
      </c>
      <c r="E5" s="17">
        <f>B17*'E Balans VL '!I25/3.6*1000000/100</f>
        <v>17.016283847690335</v>
      </c>
      <c r="F5" s="17">
        <f>B17*('E Balans VL '!L25/3.6*1000000+'E Balans VL '!N25/3.6*1000000)/100</f>
        <v>1480.3666407689702</v>
      </c>
      <c r="G5" s="18"/>
      <c r="H5" s="17"/>
      <c r="I5" s="17"/>
      <c r="J5" s="17">
        <f>('E Balans VL '!D25+'E Balans VL '!E25)/3.6*1000000*landbouw!B17/100</f>
        <v>119.77720958656904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456.28555027497504</v>
      </c>
      <c r="C8" s="21">
        <f>C5+C6</f>
        <v>0</v>
      </c>
      <c r="D8" s="21">
        <f>MAX((D5+D6),0)</f>
        <v>2670.7708908929999</v>
      </c>
      <c r="E8" s="21">
        <f>MAX((E5+E6),0)</f>
        <v>17.016283847690335</v>
      </c>
      <c r="F8" s="21">
        <f>MAX((F5+F6),0)</f>
        <v>1480.3666407689702</v>
      </c>
      <c r="G8" s="21"/>
      <c r="H8" s="21"/>
      <c r="I8" s="21"/>
      <c r="J8" s="21">
        <f>MAX((J5+J6),0)</f>
        <v>119.77720958656904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0.20864178301149702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95.200230771752857</v>
      </c>
      <c r="C12" s="23">
        <f ca="1">C8*C10</f>
        <v>0</v>
      </c>
      <c r="D12" s="23">
        <f>D8*D10</f>
        <v>539.49571996038605</v>
      </c>
      <c r="E12" s="23">
        <f>E8*E10</f>
        <v>3.8626964334257061</v>
      </c>
      <c r="F12" s="23">
        <f>F8*F10</f>
        <v>395.25789308531506</v>
      </c>
      <c r="G12" s="23"/>
      <c r="H12" s="23"/>
      <c r="I12" s="23"/>
      <c r="J12" s="23">
        <f>J8*J10</f>
        <v>42.401132193645438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6.2669629644749675E-2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22.71819845096681</v>
      </c>
      <c r="C26" s="247">
        <f>B26*'GWP N2O_CH4'!B5</f>
        <v>477.08216747030303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3.3815483113287241</v>
      </c>
      <c r="C27" s="247">
        <f>B27*'GWP N2O_CH4'!B5</f>
        <v>71.012514537903201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0.29340137737802807</v>
      </c>
      <c r="C28" s="247">
        <f>B28*'GWP N2O_CH4'!B4</f>
        <v>90.954426987188697</v>
      </c>
      <c r="D28" s="50"/>
    </row>
    <row r="29" spans="1:4">
      <c r="A29" s="41" t="s">
        <v>276</v>
      </c>
      <c r="B29" s="247">
        <f>B34*'ha_N2O bodem landbouw'!B4</f>
        <v>1.9453646979323602</v>
      </c>
      <c r="C29" s="247">
        <f>B29*'GWP N2O_CH4'!B4</f>
        <v>603.06305635903163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4.4335417025439275E-4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5.4828320499532551E-4</v>
      </c>
      <c r="C5" s="440" t="s">
        <v>210</v>
      </c>
      <c r="D5" s="425">
        <f>SUM(D6:D11)</f>
        <v>2.1238431174110226E-3</v>
      </c>
      <c r="E5" s="425">
        <f>SUM(E6:E11)</f>
        <v>1.1572031228685713E-3</v>
      </c>
      <c r="F5" s="438" t="s">
        <v>210</v>
      </c>
      <c r="G5" s="425">
        <f>SUM(G6:G11)</f>
        <v>0.89398568293752712</v>
      </c>
      <c r="H5" s="425">
        <f>SUM(H6:H11)</f>
        <v>0.13586390666809645</v>
      </c>
      <c r="I5" s="440" t="s">
        <v>210</v>
      </c>
      <c r="J5" s="440" t="s">
        <v>210</v>
      </c>
      <c r="K5" s="440" t="s">
        <v>210</v>
      </c>
      <c r="L5" s="440" t="s">
        <v>210</v>
      </c>
      <c r="M5" s="425">
        <f>SUM(M6:M11)</f>
        <v>5.9777224381239613E-2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4.6568483030248444E-4</v>
      </c>
      <c r="C6" s="426"/>
      <c r="D6" s="893">
        <f>vkm_GW_PW*SUMIFS(TableVerdeelsleutelVkm[CNG],TableVerdeelsleutelVkm[Voertuigtype],"Lichte voertuigen")*SUMIFS(TableECFTransport[EnergieConsumptieFactor (PJ per km)],TableECFTransport[Index],CONCATENATE($A6,"_CNG_CNG"))</f>
        <v>1.6819114940715685E-3</v>
      </c>
      <c r="E6" s="893">
        <f>vkm_GW_PW*SUMIFS(TableVerdeelsleutelVkm[LPG],TableVerdeelsleutelVkm[Voertuigtype],"Lichte voertuigen")*SUMIFS(TableECFTransport[EnergieConsumptieFactor (PJ per km)],TableECFTransport[Index],CONCATENATE($A6,"_LPG_LPG"))</f>
        <v>9.1407572458305055E-4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0.28445473355680889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0.10765469523328537</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2.3499055116532781E-2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0.47016350524516992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4.9496665429584392E-6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2.6470941780709936E-2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5.7055739800527955E-5</v>
      </c>
      <c r="C8" s="426"/>
      <c r="D8" s="428">
        <f>vkm_NGW_PW*SUMIFS(TableVerdeelsleutelVkm[CNG],TableVerdeelsleutelVkm[Voertuigtype],"Lichte voertuigen")*SUMIFS(TableECFTransport[EnergieConsumptieFactor (PJ per km)],TableECFTransport[Index],CONCATENATE($A8,"_CNG_CNG"))</f>
        <v>3.4929855871651332E-4</v>
      </c>
      <c r="E8" s="428">
        <f>vkm_NGW_PW*SUMIFS(TableVerdeelsleutelVkm[LPG],TableVerdeelsleutelVkm[Voertuigtype],"Lichte voertuigen")*SUMIFS(TableECFTransport[EnergieConsumptieFactor (PJ per km)],TableECFTransport[Index],CONCATENATE($A8,"_LPG_LPG"))</f>
        <v>1.803937830902565E-4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5.2242084105904869E-2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2.2017292801730825E-2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4.471886868102742E-3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5.8545955607407829E-2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8.9521393977068677E-7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3.296248390113209E-3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2.5542634892313148E-5</v>
      </c>
      <c r="C10" s="426"/>
      <c r="D10" s="428">
        <f>vkm_SW_PW*SUMIFS(TableVerdeelsleutelVkm[CNG],TableVerdeelsleutelVkm[Voertuigtype],"Lichte voertuigen")*SUMIFS(TableECFTransport[EnergieConsumptieFactor (PJ per km)],TableECFTransport[Index],CONCATENATE($A10,"_CNG_CNG"))</f>
        <v>9.2633064622940644E-5</v>
      </c>
      <c r="E10" s="428">
        <f>vkm_SW_PW*SUMIFS(TableVerdeelsleutelVkm[LPG],TableVerdeelsleutelVkm[Voertuigtype],"Lichte voertuigen")*SUMIFS(TableECFTransport[EnergieConsumptieFactor (PJ per km)],TableECFTransport[Index],CONCATENATE($A10,"_LPG_LPG"))</f>
        <v>6.2733615195264303E-5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1.7348410594697664E-2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6.1859485398912317E-3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1.4067691966504895E-3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1.1230993827537823E-2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1.252127062694799E-7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6.3232302913045864E-4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152.30089027647932</v>
      </c>
      <c r="C14" s="21"/>
      <c r="D14" s="21">
        <f t="shared" ref="D14:M14" si="0">((D5)*10^9/3600)+D12</f>
        <v>589.95642150306185</v>
      </c>
      <c r="E14" s="21">
        <f t="shared" si="0"/>
        <v>321.44531190793651</v>
      </c>
      <c r="F14" s="21"/>
      <c r="G14" s="21">
        <f t="shared" si="0"/>
        <v>248329.35637153531</v>
      </c>
      <c r="H14" s="21">
        <f t="shared" si="0"/>
        <v>37739.97407447124</v>
      </c>
      <c r="I14" s="21"/>
      <c r="J14" s="21"/>
      <c r="K14" s="21"/>
      <c r="L14" s="21"/>
      <c r="M14" s="21">
        <f t="shared" si="0"/>
        <v>16604.784550344339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0.20864178301149702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31.776329301523017</v>
      </c>
      <c r="C18" s="23"/>
      <c r="D18" s="23">
        <f t="shared" ref="D18:M18" si="1">D14*D16</f>
        <v>119.1711971436185</v>
      </c>
      <c r="E18" s="23">
        <f t="shared" si="1"/>
        <v>72.968085803101587</v>
      </c>
      <c r="F18" s="23"/>
      <c r="G18" s="23">
        <f t="shared" si="1"/>
        <v>66303.938151199938</v>
      </c>
      <c r="H18" s="23">
        <f t="shared" si="1"/>
        <v>9397.2535445433386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5.1419510475379281E-3</v>
      </c>
      <c r="H50" s="321">
        <f t="shared" si="2"/>
        <v>0</v>
      </c>
      <c r="I50" s="321">
        <f t="shared" si="2"/>
        <v>0</v>
      </c>
      <c r="J50" s="321">
        <f t="shared" si="2"/>
        <v>0</v>
      </c>
      <c r="K50" s="321">
        <f t="shared" si="2"/>
        <v>0</v>
      </c>
      <c r="L50" s="321">
        <f t="shared" si="2"/>
        <v>0</v>
      </c>
      <c r="M50" s="321">
        <f t="shared" si="2"/>
        <v>2.7903155027589305E-4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5.1419510475379281E-3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2.7903155027589305E-4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1428.3197354272024</v>
      </c>
      <c r="H54" s="21">
        <f t="shared" si="3"/>
        <v>0</v>
      </c>
      <c r="I54" s="21">
        <f t="shared" si="3"/>
        <v>0</v>
      </c>
      <c r="J54" s="21">
        <f t="shared" si="3"/>
        <v>0</v>
      </c>
      <c r="K54" s="21">
        <f t="shared" si="3"/>
        <v>0</v>
      </c>
      <c r="L54" s="21">
        <f t="shared" si="3"/>
        <v>0</v>
      </c>
      <c r="M54" s="21">
        <f t="shared" si="3"/>
        <v>77.508763965525858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0.20864178301149702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381.36136935906308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4326.1130060378619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4326.1130060378619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2020-06-20T15:16:59Z</dcterms:modified>
</cp:coreProperties>
</file>