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<sst xmlns="http://schemas.openxmlformats.org/spreadsheetml/2006/main" count="2402" uniqueCount="888">
  <si>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</si>
  <si>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</si>
  <si>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</si>
  <si>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</si>
  <si>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</si>
  <si>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</si>
  <si>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</si>
  <si>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</si>
  <si>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</si>
  <si>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</si>
  <si>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</si>
  <si>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</si>
  <si>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</si>
  <si>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</si>
  <si>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</si>
  <si>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</si>
  <si>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</si>
  <si>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</si>
  <si>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</si>
  <si>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</si>
  <si>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</si>
  <si>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</si>
  <si>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</si>
  <si>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</si>
  <si>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</si>
  <si>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</si>
  <si>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</si>
  <si>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</si>
  <si>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</si>
  <si>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</si>
  <si>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</si>
  <si>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</si>
  <si>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</si>
  <si>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</si>
  <si>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</si>
  <si>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</si>
  <si>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</si>
  <si>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</si>
  <si>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</si>
  <si>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</si>
  <si>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</si>
  <si>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</si>
  <si>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</si>
  <si>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</si>
  <si>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</si>
  <si>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</si>
  <si>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</si>
  <si>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</si>
  <si>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</si>
  <si>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</si>
  <si>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</si>
  <si>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</si>
  <si>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</si>
  <si>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</si>
  <si>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</si>
  <si>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</si>
  <si>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</si>
  <si>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</si>
  <si>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</si>
  <si>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</si>
  <si>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</si>
  <si>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</si>
  <si>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</si>
  <si>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</si>
  <si>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</si>
  <si>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</si>
  <si>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</si>
  <si>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</si>
  <si>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</si>
  <si>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</si>
  <si>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</si>
  <si>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</si>
  <si>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</si>
  <si>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</si>
  <si>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</si>
  <si>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</si>
  <si>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</si>
  <si>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</si>
  <si>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</si>
  <si>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</si>
  <si>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</si>
  <si>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</si>
  <si>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</si>
  <si>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</si>
  <si>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</si>
  <si>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</si>
  <si>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</si>
  <si>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</si>
  <si>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</si>
  <si>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</si>
  <si>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</si>
  <si>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</si>
  <si>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</si>
  <si>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</si>
  <si>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</si>
  <si>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</si>
  <si>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</si>
  <si>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</si>
  <si>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</si>
  <si>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</si>
  <si>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</si>
  <si>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</si>
  <si>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</si>
  <si>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</si>
  <si>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</si>
  <si>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</si>
  <si>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</si>
  <si>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</si>
  <si>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</si>
  <si>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</si>
  <si>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</si>
  <si>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</si>
  <si>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</si>
  <si>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</si>
  <si>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</si>
  <si>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</si>
  <si>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</si>
  <si>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</si>
  <si>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</si>
  <si>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</si>
  <si>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</si>
  <si>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</si>
  <si>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</si>
  <si>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</si>
  <si>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</si>
  <si>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</si>
  <si>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</si>
  <si>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</si>
  <si>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</si>
  <si>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</si>
  <si>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</si>
  <si>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</si>
  <si>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</si>
  <si>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</si>
  <si>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</si>
  <si>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</si>
  <si>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</si>
  <si>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</si>
  <si>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</si>
  <si>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</si>
  <si>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</si>
  <si>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</si>
  <si>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</si>
  <si>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</si>
  <si>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</si>
  <si>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</si>
  <si>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</si>
  <si>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</si>
  <si>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</si>
  <si>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</si>
  <si>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</si>
  <si>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</si>
  <si>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</si>
  <si>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</si>
  <si>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</si>
  <si>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</si>
  <si>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</si>
  <si>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</si>
  <si>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</si>
  <si>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</si>
  <si>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</si>
  <si>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</si>
  <si>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</si>
  <si>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</si>
  <si>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</si>
  <si>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</si>
  <si>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</si>
  <si>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</si>
  <si>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</si>
  <si>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</si>
  <si>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</si>
  <si>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</si>
  <si>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</si>
  <si>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</si>
  <si>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</si>
  <si>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</si>
  <si>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</si>
  <si>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</si>
  <si>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</si>
  <si>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</si>
  <si>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</si>
  <si>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</si>
  <si>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</si>
  <si>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</si>
  <si>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</si>
  <si>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</si>
  <si>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</si>
  <si>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</si>
  <si>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</si>
  <si>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</si>
  <si>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</si>
  <si>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</si>
  <si>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</si>
  <si>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</si>
  <si>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</si>
  <si>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</si>
  <si>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</si>
  <si>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</si>
  <si>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</si>
  <si>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</si>
  <si>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</si>
  <si>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</si>
  <si>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</si>
  <si>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</si>
  <si>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</si>
  <si>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</si>
  <si>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</si>
  <si>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</si>
  <si>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</si>
  <si>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</si>
  <si>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</si>
  <si>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</si>
  <si>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</si>
  <si>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</si>
  <si>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</si>
  <si>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</si>
  <si>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</si>
  <si>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</si>
  <si>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</si>
  <si>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</si>
  <si>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</si>
  <si>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</si>
  <si>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</si>
  <si>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</si>
  <si>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</si>
  <si>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</si>
  <si>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</si>
  <si>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</si>
  <si>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</si>
  <si>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</si>
  <si>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</si>
  <si>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</si>
  <si>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</si>
  <si>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</si>
  <si>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</si>
  <si>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</si>
  <si>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</si>
  <si>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</si>
  <si>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</si>
  <si>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</si>
  <si>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</si>
  <si>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</si>
  <si>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</si>
  <si>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</si>
  <si>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</si>
  <si>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</si>
  <si>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</si>
  <si>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</si>
  <si>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</si>
  <si>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</si>
  <si>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</si>
  <si>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</si>
  <si>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</si>
  <si>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</si>
  <si>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</si>
  <si>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</si>
  <si>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</si>
  <si>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</si>
  <si>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</si>
  <si>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</si>
  <si>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</si>
  <si>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</si>
  <si>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</si>
  <si>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</si>
  <si>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</si>
  <si>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</si>
  <si>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</si>
  <si>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</si>
  <si>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</si>
  <si>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</si>
  <si>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</si>
  <si>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</si>
  <si>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</si>
  <si>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</si>
  <si>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</si>
  <si>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</si>
  <si>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</si>
  <si>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</si>
  <si>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</si>
  <si>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</si>
  <si>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</si>
  <si>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</si>
  <si>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</si>
  <si>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</si>
  <si>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</si>
  <si>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</si>
  <si>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</si>
  <si>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</si>
  <si>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</si>
  <si>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</si>
  <si>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</si>
  <si>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</si>
  <si>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</si>
  <si>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</si>
  <si>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</si>
  <si>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</si>
  <si>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</si>
  <si>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</si>
  <si>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</si>
  <si>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</si>
  <si>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</si>
  <si>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</si>
  <si>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</si>
  <si>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</si>
  <si>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</si>
  <si>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</si>
  <si>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</si>
  <si>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</si>
  <si>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</si>
  <si>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</si>
  <si>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</si>
  <si>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</si>
  <si>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</si>
  <si>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</si>
  <si>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</si>
  <si>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</si>
  <si>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</si>
  <si>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</si>
  <si>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</si>
  <si>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</si>
  <si>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</si>
  <si>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</si>
  <si>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</si>
  <si>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</si>
  <si>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</si>
  <si>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</si>
  <si>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</si>
  <si>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</si>
  <si>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</si>
  <si>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</si>
  <si>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</si>
  <si>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</si>
  <si>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</si>
  <si>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</si>
  <si>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</si>
  <si>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</si>
  <si>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</si>
  <si>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</si>
  <si>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</si>
  <si>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</si>
  <si>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</si>
  <si>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</si>
  <si>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</si>
  <si>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</si>
  <si>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</si>
  <si>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</si>
  <si>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</si>
  <si>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</si>
  <si>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</si>
  <si>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</si>
  <si>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</si>
  <si>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</si>
  <si>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</si>
  <si>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</si>
  <si>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</si>
  <si>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</si>
  <si>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</si>
  <si>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</si>
  <si>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</si>
  <si>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</si>
  <si>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</si>
  <si>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</si>
  <si>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</si>
  <si>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</si>
  <si>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</si>
  <si>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</si>
  <si>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</si>
  <si>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</si>
  <si>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</si>
  <si>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</si>
  <si>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</si>
  <si>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</si>
  <si>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</si>
  <si>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</si>
  <si>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</si>
  <si>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</si>
  <si>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</si>
  <si>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</si>
  <si>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</si>
  <si>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</si>
  <si>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</si>
  <si>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</si>
  <si>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</si>
  <si>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</si>
  <si>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</si>
  <si>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</si>
  <si>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</si>
  <si>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</si>
  <si>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</si>
  <si>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</si>
  <si>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</si>
  <si>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</si>
  <si>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</si>
  <si>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</si>
  <si>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</si>
  <si>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</si>
  <si>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</si>
  <si>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</si>
  <si>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</si>
  <si>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</si>
  <si>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</si>
  <si>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</si>
  <si>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</si>
  <si>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</si>
  <si>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</si>
  <si>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</si>
  <si>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</si>
  <si>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</si>
  <si>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</si>
  <si>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</si>
  <si>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</si>
  <si>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</si>
  <si>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</si>
  <si>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</si>
  <si>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</si>
  <si>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</si>
  <si>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</si>
  <si>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</si>
  <si>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</si>
  <si>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</si>
  <si>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</si>
  <si>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</si>
  <si>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</si>
  <si>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</si>
  <si>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</si>
  <si>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</si>
  <si>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</si>
  <si>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</si>
  <si>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</si>
  <si>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</si>
  <si>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</si>
  <si>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</si>
  <si>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</si>
  <si>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</si>
  <si>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</si>
  <si>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</si>
  <si>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</si>
  <si>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</si>
  <si>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</si>
  <si>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</si>
  <si>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</si>
  <si>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</si>
  <si>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</si>
  <si>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</si>
  <si>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</si>
  <si>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</si>
  <si>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</si>
  <si>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</si>
  <si>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</si>
  <si>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</si>
  <si>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</si>
  <si>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</si>
  <si>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</si>
  <si>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</si>
  <si>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</si>
  <si>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</si>
  <si>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</si>
  <si>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</si>
  <si>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</si>
  <si>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</si>
  <si>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</si>
  <si>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</si>
  <si>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</si>
  <si>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</si>
  <si>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</si>
  <si>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</si>
  <si>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</si>
  <si>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</si>
  <si>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</si>
  <si>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</si>
  <si>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</si>
  <si>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</si>
  <si>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</si>
  <si>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</si>
  <si>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</si>
  <si>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</si>
  <si>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</si>
  <si>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</si>
  <si>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</si>
  <si>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</si>
  <si>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</si>
  <si>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</si>
  <si>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</si>
  <si>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</si>
  <si>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</si>
  <si>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</si>
  <si>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</si>
  <si>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</si>
  <si>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</si>
  <si>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</si>
  <si>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</si>
  <si>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</si>
  <si>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</si>
  <si>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</si>
  <si>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</si>
  <si>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</si>
  <si>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</si>
  <si>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</si>
  <si>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</si>
  <si>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</si>
  <si>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</si>
  <si>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</si>
  <si>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</si>
  <si>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</si>
  <si>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</si>
  <si>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</si>
  <si>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</si>
  <si>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</si>
  <si>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</si>
  <si>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</si>
  <si>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</si>
  <si>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</si>
  <si>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</si>
  <si>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</si>
  <si>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</si>
  <si>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</si>
  <si>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</si>
  <si>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</si>
  <si>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</si>
  <si>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</si>
  <si>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</si>
  <si>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</si>
  <si>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</si>
  <si>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</si>
  <si>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</si>
  <si>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</si>
  <si>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</si>
  <si>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</si>
  <si>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</si>
  <si>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</si>
  <si>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</si>
  <si>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</si>
  <si>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</si>
  <si>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</si>
  <si>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</si>
  <si>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</si>
  <si>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</si>
  <si>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</si>
  <si>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</si>
  <si>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</si>
  <si>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</si>
  <si>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</si>
  <si>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</si>
  <si>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</si>
  <si>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</si>
  <si>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</si>
  <si>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</si>
  <si>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</si>
  <si>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</si>
  <si>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</si>
  <si>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</si>
  <si>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</si>
  <si>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</si>
  <si>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</si>
  <si>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</si>
  <si>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</si>
  <si>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</si>
  <si>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</si>
  <si>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</si>
  <si>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</si>
  <si>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</si>
  <si>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</si>
  <si>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</si>
  <si>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</si>
  <si>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</si>
  <si>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</si>
  <si>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</si>
  <si>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</si>
  <si>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</si>
  <si>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</si>
  <si>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</si>
  <si>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</si>
  <si>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</si>
  <si>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</si>
  <si>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</si>
  <si>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</si>
  <si>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</si>
  <si>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</si>
  <si>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</si>
  <si>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</si>
  <si>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</si>
  <si>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</si>
  <si>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</si>
  <si>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</si>
  <si>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</si>
  <si>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</si>
  <si>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</si>
  <si>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</si>
  <si>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</si>
  <si>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</si>
  <si>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</si>
  <si>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</si>
  <si>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</si>
  <si>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</si>
  <si>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</si>
  <si>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</si>
  <si>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</si>
  <si>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</si>
  <si>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</si>
  <si>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</si>
  <si>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</si>
  <si>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</si>
  <si>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</si>
  <si>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</si>
  <si>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</si>
  <si>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</si>
  <si>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</si>
  <si>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</si>
  <si>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</si>
  <si>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</si>
  <si>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</si>
  <si>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</si>
  <si>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</si>
  <si>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</si>
  <si>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</si>
  <si>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</si>
  <si>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</si>
  <si>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</si>
  <si>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</si>
  <si>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</si>
  <si>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</si>
  <si>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</si>
  <si>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</si>
  <si>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</si>
  <si>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</si>
  <si>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</si>
  <si>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</si>
  <si>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</si>
  <si>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</si>
  <si>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</si>
  <si>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</si>
  <si>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</si>
  <si>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</si>
  <si>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</si>
  <si>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</si>
  <si>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</si>
  <si>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</si>
  <si>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</si>
  <si>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</si>
  <si>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</si>
  <si>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</si>
  <si>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</si>
  <si>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</si>
  <si>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</si>
  <si>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</si>
  <si>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</si>
  <si>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</si>
  <si>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</si>
  <si>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</si>
  <si>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</si>
  <si>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</si>
  <si>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</si>
  <si>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</si>
  <si>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</si>
  <si>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</si>
  <si>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</si>
  <si>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</si>
  <si>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</si>
  <si>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</si>
  <si>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</si>
  <si>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</si>
  <si>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</si>
  <si>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</si>
  <si>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</si>
  <si>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</si>
  <si>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</si>
  <si>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</si>
  <si>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</si>
  <si>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</si>
  <si>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</si>
  <si>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</si>
  <si>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</si>
  <si>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</si>
  <si>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</si>
  <si>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</si>
  <si>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</si>
  <si>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</si>
  <si>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</si>
  <si>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</si>
  <si>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</si>
  <si>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</si>
  <si>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</si>
  <si>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</si>
  <si>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</si>
  <si>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</si>
  <si>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</si>
  <si>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</si>
  <si>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</si>
  <si>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</si>
  <si>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</si>
  <si>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</si>
  <si>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</si>
  <si>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</si>
  <si>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</si>
  <si>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</si>
  <si>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</si>
  <si>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</si>
  <si>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</si>
  <si>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</si>
  <si>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</si>
  <si>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</si>
  <si>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</si>
  <si>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</si>
  <si>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</si>
  <si>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</si>
  <si>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</si>
  <si>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</si>
  <si>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</si>
  <si>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</si>
  <si>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</si>
  <si>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</si>
  <si>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</si>
  <si>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</si>
  <si>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</si>
  <si>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</si>
  <si>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</si>
  <si>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</si>
  <si>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</si>
  <si>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</si>
  <si>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</si>
  <si>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</si>
  <si>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</si>
  <si>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</si>
  <si>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</si>
  <si>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</si>
  <si>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</si>
  <si>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</si>
  <si>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</si>
  <si>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</si>
  <si>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</si>
  <si>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</si>
  <si>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</si>
  <si>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</si>
  <si>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</si>
  <si>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</si>
  <si>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</si>
  <si>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</si>
  <si>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</si>
  <si>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</si>
  <si>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</si>
  <si>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</si>
  <si>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</si>
  <si>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</si>
  <si>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</si>
  <si>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</si>
  <si>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</si>
  <si>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</si>
  <si>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</si>
  <si>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</si>
  <si>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</si>
  <si>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</si>
  <si>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</si>
  <si>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</si>
  <si>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</si>
  <si>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</si>
  <si>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</si>
  <si>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</si>
  <si>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</si>
  <si>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</si>
  <si>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</si>
  <si>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</si>
  <si>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</si>
  <si>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</si>
  <si>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</si>
  <si>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</si>
  <si>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</si>
  <si>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</si>
  <si>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</si>
  <si>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</si>
  <si>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</si>
  <si>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</si>
  <si>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</si>
  <si>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</si>
  <si>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</si>
  <si>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</si>
  <si>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</si>
  <si>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</si>
  <si>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</si>
  <si>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</si>
  <si>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</si>
  <si>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</si>
  <si>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</si>
  <si>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</si>
  <si>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</si>
  <si>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</si>
  <si>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</si>
  <si>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</si>
  <si>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</si>
  <si>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</si>
  <si>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</si>
  <si>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</si>
  <si>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</si>
  <si>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</si>
  <si>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</si>
  <si>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</si>
  <si>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</si>
  <si>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</si>
  <si>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</si>
  <si>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</si>
  <si>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</si>
  <si>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</si>
  <si>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</si>
  <si>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</si>
  <si>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</si>
  <si>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</si>
  <si>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</si>
  <si>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</si>
  <si>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</si>
  <si>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</si>
  <si>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</si>
  <si>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</si>
  <si>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</si>
  <si>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</si>
  <si>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</si>
  <si>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</si>
  <si>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</si>
  <si>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</si>
  <si>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</si>
  <si>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</si>
  <si>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</si>
  <si>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</si>
  <si>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</si>
  <si>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</si>
  <si>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</si>
  <si>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</si>
  <si>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</si>
  <si>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</si>
  <si>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</si>
  <si>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</si>
  <si>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</si>
  <si>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</si>
  <si>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</si>
  <si>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</si>
  <si>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</si>
  <si>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</si>
  <si>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</si>
  <si>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</si>
  <si>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</si>
  <si>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</si>
  <si>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</si>
  <si>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</si>
  <si>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</si>
  <si>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</si>
  <si>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</si>
  <si>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</si>
  <si>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</si>
  <si>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</si>
  <si>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</si>
  <si>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</si>
  <si>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</si>
  <si>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</si>
  <si>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</si>
  <si>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</si>
  <si>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</si>
  <si>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</si>
  <si>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</si>
  <si>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</si>
  <si>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</si>
  <si>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</si>
  <si>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</si>
  <si>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</si>
  <si>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</si>
  <si>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</si>
  <si>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</si>
  <si>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</si>
  <si>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</si>
  <si>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</si>
  <si>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</si>
  <si>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</si>
  <si>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</si>
  <si>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</si>
  <si>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</si>
  <si>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</si>
  <si>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</si>
  <si>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</si>
  <si>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</si>
  <si>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</si>
  <si>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</si>
  <si>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</si>
  <si>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</si>
  <si>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</si>
  <si>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</si>
  <si>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</si>
  <si>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</si>
  <si>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</si>
  <si>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73098</t>
  </si>
  <si>
    <t>WELLEN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</si>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</sst>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73484.101373986152</c:v>
                </c:pt>
                <c:pt idx="1">
                  <c:v>10532.139026009998</c:v>
                </c:pt>
                <c:pt idx="2">
                  <c:v>590.54100000000005</c:v>
                </c:pt>
                <c:pt idx="3">
                  <c:v>11467.290925575448</c:v>
                </c:pt>
                <c:pt idx="4">
                  <c:v>99585.12918119703</c:v>
                </c:pt>
                <c:pt idx="5">
                  <c:v>29866.16909884843</c:v>
                </c:pt>
                <c:pt idx="6">
                  <c:v>408.14837646548665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73484.101373986152</c:v>
                </c:pt>
                <c:pt idx="1">
                  <c:v>10532.139026009998</c:v>
                </c:pt>
                <c:pt idx="2">
                  <c:v>590.54100000000005</c:v>
                </c:pt>
                <c:pt idx="3">
                  <c:v>11467.290925575448</c:v>
                </c:pt>
                <c:pt idx="4">
                  <c:v>99585.12918119703</c:v>
                </c:pt>
                <c:pt idx="5">
                  <c:v>29866.16909884843</c:v>
                </c:pt>
                <c:pt idx="6">
                  <c:v>408.14837646548665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13604.679299128038</c:v>
                </c:pt>
                <c:pt idx="1">
                  <c:v>2043.2815388686506</c:v>
                </c:pt>
                <c:pt idx="2">
                  <c:v>121.11355244415381</c:v>
                </c:pt>
                <c:pt idx="3">
                  <c:v>2789.954756575512</c:v>
                </c:pt>
                <c:pt idx="4">
                  <c:v>22212.694783787814</c:v>
                </c:pt>
                <c:pt idx="5">
                  <c:v>7417.4003957119376</c:v>
                </c:pt>
                <c:pt idx="6">
                  <c:v>103.2385113892485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13604.679299128038</c:v>
                </c:pt>
                <c:pt idx="1">
                  <c:v>2043.2815388686506</c:v>
                </c:pt>
                <c:pt idx="2">
                  <c:v>121.11355244415381</c:v>
                </c:pt>
                <c:pt idx="3">
                  <c:v>2789.954756575512</c:v>
                </c:pt>
                <c:pt idx="4">
                  <c:v>22212.694783787814</c:v>
                </c:pt>
                <c:pt idx="5">
                  <c:v>7417.4003957119376</c:v>
                </c:pt>
                <c:pt idx="6">
                  <c:v>103.2385113892485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73098</v>
      </c>
      <c r="B6" s="390"/>
      <c r="C6" s="391"/>
    </row>
    <row r="7" spans="1:7" s="388" customFormat="1" ht="15.75" customHeight="1">
      <c r="A7" s="392" t="str">
        <f>txtMunicipality</f>
        <v>WELLEN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0.20508915120906729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0.20508915120906729</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3084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1546.94</v>
      </c>
      <c r="C14" s="330"/>
      <c r="D14" s="330"/>
      <c r="E14" s="330"/>
      <c r="F14" s="330"/>
    </row>
    <row r="15" spans="1:6">
      <c r="A15" s="1298" t="s">
        <v>183</v>
      </c>
      <c r="B15" s="1299">
        <v>7</v>
      </c>
      <c r="C15" s="330"/>
      <c r="D15" s="330"/>
      <c r="E15" s="330"/>
      <c r="F15" s="330"/>
    </row>
    <row r="16" spans="1:6">
      <c r="A16" s="1298" t="s">
        <v>6</v>
      </c>
      <c r="B16" s="1299">
        <v>255</v>
      </c>
      <c r="C16" s="330"/>
      <c r="D16" s="330"/>
      <c r="E16" s="330"/>
      <c r="F16" s="330"/>
    </row>
    <row r="17" spans="1:6">
      <c r="A17" s="1298" t="s">
        <v>7</v>
      </c>
      <c r="B17" s="1299">
        <v>84</v>
      </c>
      <c r="C17" s="330"/>
      <c r="D17" s="330"/>
      <c r="E17" s="330"/>
      <c r="F17" s="330"/>
    </row>
    <row r="18" spans="1:6">
      <c r="A18" s="1298" t="s">
        <v>8</v>
      </c>
      <c r="B18" s="1299">
        <v>170</v>
      </c>
      <c r="C18" s="330"/>
      <c r="D18" s="330"/>
      <c r="E18" s="330"/>
      <c r="F18" s="330"/>
    </row>
    <row r="19" spans="1:6">
      <c r="A19" s="1298" t="s">
        <v>9</v>
      </c>
      <c r="B19" s="1299">
        <v>151</v>
      </c>
      <c r="C19" s="330"/>
      <c r="D19" s="330"/>
      <c r="E19" s="330"/>
      <c r="F19" s="330"/>
    </row>
    <row r="20" spans="1:6">
      <c r="A20" s="1298" t="s">
        <v>10</v>
      </c>
      <c r="B20" s="1299">
        <v>139</v>
      </c>
      <c r="C20" s="330"/>
      <c r="D20" s="330"/>
      <c r="E20" s="330"/>
      <c r="F20" s="330"/>
    </row>
    <row r="21" spans="1:6">
      <c r="A21" s="1298" t="s">
        <v>11</v>
      </c>
      <c r="B21" s="1299">
        <v>539</v>
      </c>
      <c r="C21" s="330"/>
      <c r="D21" s="330"/>
      <c r="E21" s="330"/>
      <c r="F21" s="330"/>
    </row>
    <row r="22" spans="1:6">
      <c r="A22" s="1298" t="s">
        <v>12</v>
      </c>
      <c r="B22" s="1299">
        <v>1653</v>
      </c>
      <c r="C22" s="330"/>
      <c r="D22" s="330"/>
      <c r="E22" s="330"/>
      <c r="F22" s="330"/>
    </row>
    <row r="23" spans="1:6">
      <c r="A23" s="1298" t="s">
        <v>13</v>
      </c>
      <c r="B23" s="1299">
        <v>17</v>
      </c>
      <c r="C23" s="330"/>
      <c r="D23" s="330"/>
      <c r="E23" s="330"/>
      <c r="F23" s="330"/>
    </row>
    <row r="24" spans="1:6">
      <c r="A24" s="1298" t="s">
        <v>14</v>
      </c>
      <c r="B24" s="1299">
        <v>3</v>
      </c>
      <c r="C24" s="330"/>
      <c r="D24" s="330"/>
      <c r="E24" s="330"/>
      <c r="F24" s="330"/>
    </row>
    <row r="25" spans="1:6">
      <c r="A25" s="1298" t="s">
        <v>15</v>
      </c>
      <c r="B25" s="1299">
        <v>228</v>
      </c>
      <c r="C25" s="330"/>
      <c r="D25" s="330"/>
      <c r="E25" s="330"/>
      <c r="F25" s="330"/>
    </row>
    <row r="26" spans="1:6">
      <c r="A26" s="1298" t="s">
        <v>16</v>
      </c>
      <c r="B26" s="1299">
        <v>42</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59</v>
      </c>
      <c r="C29" s="336"/>
      <c r="D29" s="336"/>
      <c r="E29" s="336"/>
      <c r="F29" s="336"/>
    </row>
    <row r="30" spans="1:6">
      <c r="A30" s="1293" t="s">
        <v>706</v>
      </c>
      <c r="B30" s="1302">
        <v>13</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1277</v>
      </c>
      <c r="D39" s="1299">
        <v>20277617.550000001</v>
      </c>
      <c r="E39" s="1299">
        <v>3014</v>
      </c>
      <c r="F39" s="1299">
        <v>10047169.1</v>
      </c>
    </row>
    <row r="40" spans="1:6">
      <c r="A40" s="1298" t="s">
        <v>29</v>
      </c>
      <c r="B40" s="1298" t="s">
        <v>28</v>
      </c>
      <c r="C40" s="1299">
        <v>0</v>
      </c>
      <c r="D40" s="1299">
        <v>0</v>
      </c>
      <c r="E40" s="1299">
        <v>1</v>
      </c>
      <c r="F40" s="1299">
        <v>6860</v>
      </c>
    </row>
    <row r="41" spans="1:6">
      <c r="A41" s="1298" t="s">
        <v>31</v>
      </c>
      <c r="B41" s="1298" t="s">
        <v>32</v>
      </c>
      <c r="C41" s="1299">
        <v>31</v>
      </c>
      <c r="D41" s="1299">
        <v>5043596.4929999998</v>
      </c>
      <c r="E41" s="1299">
        <v>70</v>
      </c>
      <c r="F41" s="1299">
        <v>41958022.75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89097</v>
      </c>
      <c r="E44" s="1299">
        <v>10</v>
      </c>
      <c r="F44" s="1299">
        <v>614528</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1483944</v>
      </c>
    </row>
    <row r="48" spans="1:6">
      <c r="A48" s="1298" t="s">
        <v>31</v>
      </c>
      <c r="B48" s="1298" t="s">
        <v>28</v>
      </c>
      <c r="C48" s="1299">
        <v>2</v>
      </c>
      <c r="D48" s="1299">
        <v>212511</v>
      </c>
      <c r="E48" s="1299">
        <v>0</v>
      </c>
      <c r="F48" s="1299">
        <v>0</v>
      </c>
    </row>
    <row r="49" spans="1:6">
      <c r="A49" s="1298" t="s">
        <v>31</v>
      </c>
      <c r="B49" s="1298" t="s">
        <v>39</v>
      </c>
      <c r="C49" s="1299">
        <v>0</v>
      </c>
      <c r="D49" s="1299">
        <v>0</v>
      </c>
      <c r="E49" s="1299">
        <v>0</v>
      </c>
      <c r="F49" s="1299">
        <v>0</v>
      </c>
    </row>
    <row r="50" spans="1:6">
      <c r="A50" s="1298" t="s">
        <v>31</v>
      </c>
      <c r="B50" s="1298" t="s">
        <v>40</v>
      </c>
      <c r="C50" s="1299">
        <v>4</v>
      </c>
      <c r="D50" s="1299">
        <v>243950</v>
      </c>
      <c r="E50" s="1299">
        <v>8</v>
      </c>
      <c r="F50" s="1299">
        <v>707595</v>
      </c>
    </row>
    <row r="51" spans="1:6">
      <c r="A51" s="1298" t="s">
        <v>41</v>
      </c>
      <c r="B51" s="1298" t="s">
        <v>42</v>
      </c>
      <c r="C51" s="1299">
        <v>10</v>
      </c>
      <c r="D51" s="1299">
        <v>3486924.7030000002</v>
      </c>
      <c r="E51" s="1299">
        <v>63</v>
      </c>
      <c r="F51" s="1299">
        <v>1719145.135</v>
      </c>
    </row>
    <row r="52" spans="1:6">
      <c r="A52" s="1298" t="s">
        <v>41</v>
      </c>
      <c r="B52" s="1298" t="s">
        <v>28</v>
      </c>
      <c r="C52" s="1299">
        <v>0</v>
      </c>
      <c r="D52" s="1299">
        <v>0</v>
      </c>
      <c r="E52" s="1299">
        <v>0</v>
      </c>
      <c r="F52" s="1299">
        <v>0</v>
      </c>
    </row>
    <row r="53" spans="1:6">
      <c r="A53" s="1298" t="s">
        <v>43</v>
      </c>
      <c r="B53" s="1298" t="s">
        <v>44</v>
      </c>
      <c r="C53" s="1299">
        <v>19</v>
      </c>
      <c r="D53" s="1299">
        <v>346402.8</v>
      </c>
      <c r="E53" s="1299">
        <v>50</v>
      </c>
      <c r="F53" s="1299">
        <v>155035.54999999999</v>
      </c>
    </row>
    <row r="54" spans="1:6">
      <c r="A54" s="1298" t="s">
        <v>45</v>
      </c>
      <c r="B54" s="1298" t="s">
        <v>46</v>
      </c>
      <c r="C54" s="1299">
        <v>0</v>
      </c>
      <c r="D54" s="1299">
        <v>0</v>
      </c>
      <c r="E54" s="1299">
        <v>1</v>
      </c>
      <c r="F54" s="1299">
        <v>590541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17</v>
      </c>
      <c r="D57" s="1299">
        <v>811998</v>
      </c>
      <c r="E57" s="1299">
        <v>35</v>
      </c>
      <c r="F57" s="1299">
        <v>958013.59499999997</v>
      </c>
    </row>
    <row r="58" spans="1:6">
      <c r="A58" s="1298" t="s">
        <v>48</v>
      </c>
      <c r="B58" s="1298" t="s">
        <v>50</v>
      </c>
      <c r="C58" s="1299">
        <v>8</v>
      </c>
      <c r="D58" s="1299">
        <v>799134</v>
      </c>
      <c r="E58" s="1299">
        <v>14</v>
      </c>
      <c r="F58" s="1299">
        <v>347648</v>
      </c>
    </row>
    <row r="59" spans="1:6">
      <c r="A59" s="1298" t="s">
        <v>48</v>
      </c>
      <c r="B59" s="1298" t="s">
        <v>51</v>
      </c>
      <c r="C59" s="1299">
        <v>37</v>
      </c>
      <c r="D59" s="1299">
        <v>1023365</v>
      </c>
      <c r="E59" s="1299">
        <v>90</v>
      </c>
      <c r="F59" s="1299">
        <v>1651783</v>
      </c>
    </row>
    <row r="60" spans="1:6">
      <c r="A60" s="1298" t="s">
        <v>48</v>
      </c>
      <c r="B60" s="1298" t="s">
        <v>52</v>
      </c>
      <c r="C60" s="1299">
        <v>19</v>
      </c>
      <c r="D60" s="1299">
        <v>558903</v>
      </c>
      <c r="E60" s="1299">
        <v>31</v>
      </c>
      <c r="F60" s="1299">
        <v>504639</v>
      </c>
    </row>
    <row r="61" spans="1:6">
      <c r="A61" s="1298" t="s">
        <v>48</v>
      </c>
      <c r="B61" s="1298" t="s">
        <v>53</v>
      </c>
      <c r="C61" s="1299">
        <v>24</v>
      </c>
      <c r="D61" s="1299">
        <v>1169385</v>
      </c>
      <c r="E61" s="1299">
        <v>82</v>
      </c>
      <c r="F61" s="1299">
        <v>1502389.7</v>
      </c>
    </row>
    <row r="62" spans="1:6">
      <c r="A62" s="1298" t="s">
        <v>48</v>
      </c>
      <c r="B62" s="1298" t="s">
        <v>54</v>
      </c>
      <c r="C62" s="1299">
        <v>3</v>
      </c>
      <c r="D62" s="1299">
        <v>251644</v>
      </c>
      <c r="E62" s="1299">
        <v>9</v>
      </c>
      <c r="F62" s="1299">
        <v>62348</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1</v>
      </c>
      <c r="D65" s="1299">
        <v>21198</v>
      </c>
      <c r="E65" s="1299">
        <v>0</v>
      </c>
      <c r="F65" s="1299">
        <v>0</v>
      </c>
    </row>
    <row r="66" spans="1:6">
      <c r="A66" s="1298" t="s">
        <v>55</v>
      </c>
      <c r="B66" s="1298" t="s">
        <v>57</v>
      </c>
      <c r="C66" s="1299">
        <v>0</v>
      </c>
      <c r="D66" s="1299">
        <v>0</v>
      </c>
      <c r="E66" s="1299">
        <v>3</v>
      </c>
      <c r="F66" s="1299">
        <v>9394</v>
      </c>
    </row>
    <row r="67" spans="1:6">
      <c r="A67" s="1300" t="s">
        <v>55</v>
      </c>
      <c r="B67" s="1300" t="s">
        <v>58</v>
      </c>
      <c r="C67" s="1299">
        <v>11</v>
      </c>
      <c r="D67" s="1299">
        <v>908197</v>
      </c>
      <c r="E67" s="1299">
        <v>27</v>
      </c>
      <c r="F67" s="1299">
        <v>333330.13400000002</v>
      </c>
    </row>
    <row r="68" spans="1:6">
      <c r="A68" s="1293" t="s">
        <v>55</v>
      </c>
      <c r="B68" s="1293" t="s">
        <v>59</v>
      </c>
      <c r="C68" s="1302">
        <v>0</v>
      </c>
      <c r="D68" s="1302">
        <v>0</v>
      </c>
      <c r="E68" s="1302">
        <v>7</v>
      </c>
      <c r="F68" s="1302">
        <v>30117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27481594</v>
      </c>
      <c r="E73" s="450"/>
      <c r="F73" s="330"/>
    </row>
    <row r="74" spans="1:6">
      <c r="A74" s="1298" t="s">
        <v>63</v>
      </c>
      <c r="B74" s="1298" t="s">
        <v>647</v>
      </c>
      <c r="C74" s="1312" t="s">
        <v>649</v>
      </c>
      <c r="D74" s="1313">
        <v>1909074</v>
      </c>
      <c r="E74" s="450"/>
      <c r="F74" s="330"/>
    </row>
    <row r="75" spans="1:6">
      <c r="A75" s="1298" t="s">
        <v>64</v>
      </c>
      <c r="B75" s="1298" t="s">
        <v>646</v>
      </c>
      <c r="C75" s="1312" t="s">
        <v>650</v>
      </c>
      <c r="D75" s="1313">
        <v>7635728</v>
      </c>
      <c r="E75" s="450"/>
      <c r="F75" s="330"/>
    </row>
    <row r="76" spans="1:6">
      <c r="A76" s="1298" t="s">
        <v>64</v>
      </c>
      <c r="B76" s="1298" t="s">
        <v>647</v>
      </c>
      <c r="C76" s="1312" t="s">
        <v>651</v>
      </c>
      <c r="D76" s="1313">
        <v>189785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112040</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2902.9744177312982</v>
      </c>
      <c r="C91" s="330"/>
      <c r="D91" s="330"/>
      <c r="E91" s="330"/>
      <c r="F91" s="330"/>
    </row>
    <row r="92" spans="1:6">
      <c r="A92" s="1293" t="s">
        <v>68</v>
      </c>
      <c r="B92" s="1294">
        <v>1793.2048643493449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226</v>
      </c>
      <c r="C97" s="330"/>
      <c r="D97" s="330"/>
      <c r="E97" s="330"/>
      <c r="F97" s="330"/>
    </row>
    <row r="98" spans="1:6">
      <c r="A98" s="1298" t="s">
        <v>71</v>
      </c>
      <c r="B98" s="1299">
        <v>2</v>
      </c>
      <c r="C98" s="330"/>
      <c r="D98" s="330"/>
      <c r="E98" s="330"/>
      <c r="F98" s="330"/>
    </row>
    <row r="99" spans="1:6">
      <c r="A99" s="1298" t="s">
        <v>72</v>
      </c>
      <c r="B99" s="1299">
        <v>18</v>
      </c>
      <c r="C99" s="330"/>
      <c r="D99" s="330"/>
      <c r="E99" s="330"/>
      <c r="F99" s="330"/>
    </row>
    <row r="100" spans="1:6">
      <c r="A100" s="1298" t="s">
        <v>73</v>
      </c>
      <c r="B100" s="1299">
        <v>72</v>
      </c>
      <c r="C100" s="330"/>
      <c r="D100" s="330"/>
      <c r="E100" s="330"/>
      <c r="F100" s="330"/>
    </row>
    <row r="101" spans="1:6">
      <c r="A101" s="1298" t="s">
        <v>74</v>
      </c>
      <c r="B101" s="1299">
        <v>39</v>
      </c>
      <c r="C101" s="330"/>
      <c r="D101" s="330"/>
      <c r="E101" s="330"/>
      <c r="F101" s="330"/>
    </row>
    <row r="102" spans="1:6">
      <c r="A102" s="1298" t="s">
        <v>75</v>
      </c>
      <c r="B102" s="1299">
        <v>22</v>
      </c>
      <c r="C102" s="330"/>
      <c r="D102" s="330"/>
      <c r="E102" s="330"/>
      <c r="F102" s="330"/>
    </row>
    <row r="103" spans="1:6">
      <c r="A103" s="1298" t="s">
        <v>76</v>
      </c>
      <c r="B103" s="1299">
        <v>103</v>
      </c>
      <c r="C103" s="330"/>
      <c r="D103" s="330"/>
      <c r="E103" s="330"/>
      <c r="F103" s="330"/>
    </row>
    <row r="104" spans="1:6">
      <c r="A104" s="1298" t="s">
        <v>77</v>
      </c>
      <c r="B104" s="1299">
        <v>2047</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20</v>
      </c>
      <c r="C123" s="1299">
        <v>21</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87</v>
      </c>
      <c r="C129" s="330"/>
      <c r="D129" s="330"/>
      <c r="E129" s="330"/>
      <c r="F129" s="330"/>
    </row>
    <row r="130" spans="1:6">
      <c r="A130" s="1298" t="s">
        <v>294</v>
      </c>
      <c r="B130" s="1299">
        <v>0</v>
      </c>
      <c r="C130" s="330"/>
      <c r="D130" s="330"/>
      <c r="E130" s="330"/>
      <c r="F130" s="330"/>
    </row>
    <row r="131" spans="1:6">
      <c r="A131" s="1298" t="s">
        <v>295</v>
      </c>
      <c r="B131" s="1299">
        <v>1</v>
      </c>
      <c r="C131" s="330"/>
      <c r="D131" s="330"/>
      <c r="E131" s="330"/>
      <c r="F131" s="330"/>
    </row>
    <row r="132" spans="1:6">
      <c r="A132" s="1293" t="s">
        <v>296</v>
      </c>
      <c r="B132" s="1294">
        <v>16</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65229.431501559928</v>
      </c>
      <c r="C3" s="43" t="s">
        <v>169</v>
      </c>
      <c r="D3" s="43"/>
      <c r="E3" s="154"/>
      <c r="F3" s="43"/>
      <c r="G3" s="43"/>
      <c r="H3" s="43"/>
      <c r="I3" s="43"/>
      <c r="J3" s="43"/>
      <c r="K3" s="96"/>
    </row>
    <row r="4" spans="1:11">
      <c r="A4" s="358" t="s">
        <v>170</v>
      </c>
      <c r="B4" s="49">
        <f>IF(ISERROR('SEAP template'!B78+'SEAP template'!C78),0,'SEAP template'!B78+'SEAP template'!C78)</f>
        <v>4696.1792820806431</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0.20508915120906729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590.54100000000005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590.54100000000005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0.20508915120906729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121.11355244415381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10054.0291</v>
      </c>
      <c r="C5" s="17">
        <f>IF(ISERROR('Eigen informatie GS &amp; warmtenet'!B59),0,'Eigen informatie GS &amp; warmtenet'!B59)</f>
        <v>0</v>
      </c>
      <c r="D5" s="30">
        <f>(SUM(HH_hh_gas_kWh,HH_rest_gas_kWh)/1000)*0.902</f>
        <v>18290.4110301</v>
      </c>
      <c r="E5" s="17">
        <f>B46*B57</f>
        <v>5071.2161727435414</v>
      </c>
      <c r="F5" s="17">
        <f>B51*B62</f>
        <v>22852.094929478066</v>
      </c>
      <c r="G5" s="18"/>
      <c r="H5" s="17"/>
      <c r="I5" s="17"/>
      <c r="J5" s="17">
        <f>B50*B61+C50*C61</f>
        <v>0</v>
      </c>
      <c r="K5" s="17"/>
      <c r="L5" s="17"/>
      <c r="M5" s="17"/>
      <c r="N5" s="17">
        <f>B48*B59+C48*C59</f>
        <v>13709.351741855098</v>
      </c>
      <c r="O5" s="17">
        <f>B69*B70*B71</f>
        <v>214.26748769379944</v>
      </c>
      <c r="P5" s="17">
        <f>B77*B78*B79/1000-B77*B78*B79/1000/B80</f>
        <v>389.75649438434584</v>
      </c>
    </row>
    <row r="6" spans="1:16">
      <c r="A6" s="16" t="s">
        <v>611</v>
      </c>
      <c r="B6" s="783">
        <f>kWh_PV_kleiner_dan_10kW</f>
        <v>2902.9744177312982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12957.003517731298</v>
      </c>
      <c r="C8" s="21">
        <f>C5</f>
        <v>0</v>
      </c>
      <c r="D8" s="21">
        <f>D5</f>
        <v>18290.4110301</v>
      </c>
      <c r="E8" s="21">
        <f>E5</f>
        <v>5071.2161727435414</v>
      </c>
      <c r="F8" s="21">
        <f>F5</f>
        <v>22852.094929478066</v>
      </c>
      <c r="G8" s="21"/>
      <c r="H8" s="21"/>
      <c r="I8" s="21"/>
      <c r="J8" s="21">
        <f>J5</f>
        <v>0</v>
      </c>
      <c r="K8" s="21"/>
      <c r="L8" s="21">
        <f>L5</f>
        <v>0</v>
      </c>
      <c r="M8" s="21">
        <f>M5</f>
        <v>0</v>
      </c>
      <c r="N8" s="21">
        <f>N5</f>
        <v>13709.351741855098</v>
      </c>
      <c r="O8" s="21">
        <f>O5</f>
        <v>214.26748769379944</v>
      </c>
      <c r="P8" s="21">
        <f>P5</f>
        <v>389.75649438434584</v>
      </c>
    </row>
    <row r="9" spans="1:16">
      <c r="B9" s="19"/>
      <c r="C9" s="19"/>
      <c r="D9" s="258"/>
      <c r="E9" s="19"/>
      <c r="F9" s="19"/>
      <c r="G9" s="19"/>
      <c r="H9" s="19"/>
      <c r="I9" s="19"/>
      <c r="J9" s="19"/>
      <c r="K9" s="19"/>
      <c r="L9" s="19"/>
      <c r="M9" s="19"/>
      <c r="N9" s="19"/>
      <c r="O9" s="19"/>
      <c r="P9" s="19"/>
    </row>
    <row r="10" spans="1:16">
      <c r="A10" s="24" t="s">
        <v>213</v>
      </c>
      <c r="B10" s="25">
        <f ca="1">'EF ele_warmte'!B12</f>
        <v>0.20508915120906729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2657.340853664411</v>
      </c>
      <c r="C12" s="23">
        <f ca="1">C10*C8</f>
        <v>0</v>
      </c>
      <c r="D12" s="23">
        <f>D8*D10</f>
        <v>3694.6630280802001</v>
      </c>
      <c r="E12" s="23">
        <f>E10*E8</f>
        <v>1151.1660712127839</v>
      </c>
      <c r="F12" s="23">
        <f>F10*F8</f>
        <v>6101.5093461706438</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226</v>
      </c>
      <c r="C18" s="166" t="s">
        <v>110</v>
      </c>
      <c r="D18" s="228"/>
      <c r="E18" s="15"/>
    </row>
    <row r="19" spans="1:7">
      <c r="A19" s="171" t="s">
        <v>71</v>
      </c>
      <c r="B19" s="37">
        <f>aantalw2001_ander</f>
        <v>2</v>
      </c>
      <c r="C19" s="166" t="s">
        <v>110</v>
      </c>
      <c r="D19" s="229"/>
      <c r="E19" s="15"/>
    </row>
    <row r="20" spans="1:7">
      <c r="A20" s="171" t="s">
        <v>72</v>
      </c>
      <c r="B20" s="37">
        <f>aantalw2001_propaan</f>
        <v>18</v>
      </c>
      <c r="C20" s="167">
        <f>IF(ISERROR(B20/SUM($B$20,$B$21,$B$22)*100),0,B20/SUM($B$20,$B$21,$B$22)*100)</f>
        <v>13.953488372093023</v>
      </c>
      <c r="D20" s="229"/>
      <c r="E20" s="15"/>
    </row>
    <row r="21" spans="1:7">
      <c r="A21" s="171" t="s">
        <v>73</v>
      </c>
      <c r="B21" s="37">
        <f>aantalw2001_elektriciteit</f>
        <v>72</v>
      </c>
      <c r="C21" s="167">
        <f>IF(ISERROR(B21/SUM($B$20,$B$21,$B$22)*100),0,B21/SUM($B$20,$B$21,$B$22)*100)</f>
        <v>55.813953488372093</v>
      </c>
      <c r="D21" s="229"/>
      <c r="E21" s="15"/>
    </row>
    <row r="22" spans="1:7">
      <c r="A22" s="171" t="s">
        <v>74</v>
      </c>
      <c r="B22" s="37">
        <f>aantalw2001_hout</f>
        <v>39</v>
      </c>
      <c r="C22" s="167">
        <f>IF(ISERROR(B22/SUM($B$20,$B$21,$B$22)*100),0,B22/SUM($B$20,$B$21,$B$22)*100)</f>
        <v>30.232558139534881</v>
      </c>
      <c r="D22" s="229"/>
      <c r="E22" s="15"/>
    </row>
    <row r="23" spans="1:7">
      <c r="A23" s="171" t="s">
        <v>75</v>
      </c>
      <c r="B23" s="37">
        <f>aantalw2001_niet_gespec</f>
        <v>22</v>
      </c>
      <c r="C23" s="166" t="s">
        <v>110</v>
      </c>
      <c r="D23" s="228"/>
      <c r="E23" s="15"/>
    </row>
    <row r="24" spans="1:7">
      <c r="A24" s="171" t="s">
        <v>76</v>
      </c>
      <c r="B24" s="37">
        <f>aantalw2001_steenkool</f>
        <v>103</v>
      </c>
      <c r="C24" s="166" t="s">
        <v>110</v>
      </c>
      <c r="D24" s="229"/>
      <c r="E24" s="15"/>
    </row>
    <row r="25" spans="1:7">
      <c r="A25" s="171" t="s">
        <v>77</v>
      </c>
      <c r="B25" s="37">
        <f>aantalw2001_stookolie</f>
        <v>2047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3084</v>
      </c>
      <c r="C28" s="36"/>
      <c r="D28" s="228"/>
    </row>
    <row r="29" spans="1:7" s="15" customFormat="1">
      <c r="A29" s="230" t="s">
        <v>819</v>
      </c>
      <c r="B29" s="37">
        <f>SUM(HH_hh_gas_aantal,HH_rest_gas_aantal)</f>
        <v>1277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1277</v>
      </c>
      <c r="C32" s="167">
        <f>IF(ISERROR(B32/SUM($B$32,$B$34,$B$35,$B$36,$B$38,$B$39)*100),0,B32/SUM($B$32,$B$34,$B$35,$B$36,$B$38,$B$39)*100)</f>
        <v>41.910075484082704</v>
      </c>
      <c r="D32" s="233"/>
      <c r="G32" s="15"/>
    </row>
    <row r="33" spans="1:7">
      <c r="A33" s="171" t="s">
        <v>71</v>
      </c>
      <c r="B33" s="34" t="s">
        <v>110</v>
      </c>
      <c r="C33" s="167"/>
      <c r="D33" s="233"/>
      <c r="G33" s="15"/>
    </row>
    <row r="34" spans="1:7">
      <c r="A34" s="171" t="s">
        <v>72</v>
      </c>
      <c r="B34" s="33">
        <f>IF((($B$28-$B$32-$B$39-$B$77-$B$38)*C20/100)&lt;0,0,($B$28-$B$32-$B$39-$B$77-$B$38)*C20/100)</f>
        <v>93.33488372093025</v>
      </c>
      <c r="C34" s="167">
        <f>IF(ISERROR(B34/SUM($B$32,$B$34,$B$35,$B$36,$B$38,$B$39)*100),0,B34/SUM($B$32,$B$34,$B$35,$B$36,$B$38,$B$39)*100)</f>
        <v>3.0631730791247209</v>
      </c>
      <c r="D34" s="233"/>
      <c r="G34" s="15"/>
    </row>
    <row r="35" spans="1:7">
      <c r="A35" s="171" t="s">
        <v>73</v>
      </c>
      <c r="B35" s="33">
        <f>IF((($B$28-$B$32-$B$39-$B$77-$B$38)*C21/100)&lt;0,0,($B$28-$B$32-$B$39-$B$77-$B$38)*C21/100)</f>
        <v>373.339534883721</v>
      </c>
      <c r="C35" s="167">
        <f>IF(ISERROR(B35/SUM($B$32,$B$34,$B$35,$B$36,$B$38,$B$39)*100),0,B35/SUM($B$32,$B$34,$B$35,$B$36,$B$38,$B$39)*100)</f>
        <v>12.252692316498884</v>
      </c>
      <c r="D35" s="233"/>
      <c r="G35" s="15"/>
    </row>
    <row r="36" spans="1:7">
      <c r="A36" s="171" t="s">
        <v>74</v>
      </c>
      <c r="B36" s="33">
        <f>IF((($B$28-$B$32-$B$39-$B$77-$B$38)*C22/100)&lt;0,0,($B$28-$B$32-$B$39-$B$77-$B$38)*C22/100)</f>
        <v>202.22558139534885</v>
      </c>
      <c r="C36" s="167">
        <f>IF(ISERROR(B36/SUM($B$32,$B$34,$B$35,$B$36,$B$38,$B$39)*100),0,B36/SUM($B$32,$B$34,$B$35,$B$36,$B$38,$B$39)*100)</f>
        <v>6.6368750047702276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1101.0999999999999</v>
      </c>
      <c r="C39" s="167">
        <f>IF(ISERROR(B39/SUM($B$32,$B$34,$B$35,$B$36,$B$38,$B$39)*100),0,B39/SUM($B$32,$B$34,$B$35,$B$36,$B$38,$B$39)*100)</f>
        <v>36.137184115523461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1277</v>
      </c>
      <c r="C44" s="34" t="s">
        <v>110</v>
      </c>
      <c r="D44" s="174"/>
    </row>
    <row r="45" spans="1:7">
      <c r="A45" s="171" t="s">
        <v>71</v>
      </c>
      <c r="B45" s="33" t="str">
        <f t="shared" si="0"/>
        <v>-</v>
      </c>
      <c r="C45" s="34" t="s">
        <v>110</v>
      </c>
      <c r="D45" s="174"/>
    </row>
    <row r="46" spans="1:7">
      <c r="A46" s="171" t="s">
        <v>72</v>
      </c>
      <c r="B46" s="33">
        <f t="shared" si="0"/>
        <v>93.33488372093025</v>
      </c>
      <c r="C46" s="34" t="s">
        <v>110</v>
      </c>
      <c r="D46" s="174"/>
    </row>
    <row r="47" spans="1:7">
      <c r="A47" s="171" t="s">
        <v>73</v>
      </c>
      <c r="B47" s="33">
        <f t="shared" si="0"/>
        <v>373.339534883721</v>
      </c>
      <c r="C47" s="34" t="s">
        <v>110</v>
      </c>
      <c r="D47" s="174"/>
    </row>
    <row r="48" spans="1:7">
      <c r="A48" s="171" t="s">
        <v>74</v>
      </c>
      <c r="B48" s="33">
        <f t="shared" si="0"/>
        <v>202.22558139534885</v>
      </c>
      <c r="C48" s="33">
        <f>B48*10</f>
        <v>2022.2558139534885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1101.0999999999999</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37</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5026.8212949999997</v>
      </c>
      <c r="C5" s="17">
        <f>IF(ISERROR('Eigen informatie GS &amp; warmtenet'!B60),0,'Eigen informatie GS &amp; warmtenet'!B60)</f>
        <v>0</v>
      </c>
      <c r="D5" s="30">
        <f>SUM(D6:D12)</f>
        <v>4162.2149580000005</v>
      </c>
      <c r="E5" s="17">
        <f>SUM(E6:E12)</f>
        <v>65.555323786029902</v>
      </c>
      <c r="F5" s="17">
        <f>SUM(F6:F12)</f>
        <v>586.81943437060352</v>
      </c>
      <c r="G5" s="18"/>
      <c r="H5" s="17"/>
      <c r="I5" s="17"/>
      <c r="J5" s="17">
        <f>SUM(J6:J12)</f>
        <v>1.626329112002086E-2</v>
      </c>
      <c r="K5" s="17"/>
      <c r="L5" s="17"/>
      <c r="M5" s="17"/>
      <c r="N5" s="17">
        <f>SUM(N6:N12)</f>
        <v>638.17261325574975</v>
      </c>
      <c r="O5" s="17">
        <f>B38*B39*B40</f>
        <v>0</v>
      </c>
      <c r="P5" s="17">
        <f>B46*B47*B48/1000-B46*B47*B48/1000/B49</f>
        <v>52.539138306495019</v>
      </c>
      <c r="R5" s="32"/>
    </row>
    <row r="6" spans="1:18">
      <c r="A6" s="32" t="s">
        <v>53</v>
      </c>
      <c r="B6" s="37">
        <f>B26</f>
        <v>1502.3896999999999</v>
      </c>
      <c r="C6" s="33"/>
      <c r="D6" s="37">
        <f>IF(ISERROR(TER_kantoor_gas_kWh/1000),0,TER_kantoor_gas_kWh/1000)*0.902</f>
        <v>1054.7852700000001</v>
      </c>
      <c r="E6" s="33">
        <f>$C$26*'E Balans VL '!I12/100/3.6*1000000</f>
        <v>12.089248211812379</v>
      </c>
      <c r="F6" s="33">
        <f>$C$26*('E Balans VL '!L12+'E Balans VL '!N12)/100/3.6*1000000</f>
        <v>183.68294545864828</v>
      </c>
      <c r="G6" s="34"/>
      <c r="H6" s="33"/>
      <c r="I6" s="33"/>
      <c r="J6" s="33">
        <f>$C$26*('E Balans VL '!D12+'E Balans VL '!E12)/100/3.6*1000000</f>
        <v>0</v>
      </c>
      <c r="K6" s="33"/>
      <c r="L6" s="33"/>
      <c r="M6" s="33"/>
      <c r="N6" s="33">
        <f>$C$26*'E Balans VL '!Y12/100/3.6*1000000</f>
        <v>0.8074604790649702</v>
      </c>
      <c r="O6" s="33"/>
      <c r="P6" s="33"/>
      <c r="R6" s="32"/>
    </row>
    <row r="7" spans="1:18">
      <c r="A7" s="32" t="s">
        <v>52</v>
      </c>
      <c r="B7" s="37">
        <f t="shared" ref="B7:B12" si="0">B27</f>
        <v>504.63900000000001</v>
      </c>
      <c r="C7" s="33"/>
      <c r="D7" s="37">
        <f>IF(ISERROR(TER_horeca_gas_kWh/1000),0,TER_horeca_gas_kWh/1000)*0.902</f>
        <v>504.13050600000003</v>
      </c>
      <c r="E7" s="33">
        <f>$C$27*'E Balans VL '!I9/100/3.6*1000000</f>
        <v>5.4185836832591239</v>
      </c>
      <c r="F7" s="33">
        <f>$C$27*('E Balans VL '!L9+'E Balans VL '!N9)/100/3.6*1000000</f>
        <v>60.695834863961828</v>
      </c>
      <c r="G7" s="34"/>
      <c r="H7" s="33"/>
      <c r="I7" s="33"/>
      <c r="J7" s="33">
        <f>$C$27*('E Balans VL '!D9+'E Balans VL '!E9)/100/3.6*1000000</f>
        <v>0</v>
      </c>
      <c r="K7" s="33"/>
      <c r="L7" s="33"/>
      <c r="M7" s="33"/>
      <c r="N7" s="33">
        <f>$C$27*'E Balans VL '!Y9/100/3.6*1000000</f>
        <v>7.5655613945092196E-2</v>
      </c>
      <c r="O7" s="33"/>
      <c r="P7" s="33"/>
      <c r="R7" s="32"/>
    </row>
    <row r="8" spans="1:18">
      <c r="A8" s="6" t="s">
        <v>51</v>
      </c>
      <c r="B8" s="37">
        <f t="shared" si="0"/>
        <v>1651.7829999999999</v>
      </c>
      <c r="C8" s="33"/>
      <c r="D8" s="37">
        <f>IF(ISERROR(TER_handel_gas_kWh/1000),0,TER_handel_gas_kWh/1000)*0.902</f>
        <v>923.07523000000003</v>
      </c>
      <c r="E8" s="33">
        <f>$C$28*'E Balans VL '!I13/100/3.6*1000000</f>
        <v>44.328798835401287</v>
      </c>
      <c r="F8" s="33">
        <f>$C$28*('E Balans VL '!L13+'E Balans VL '!N13)/100/3.6*1000000</f>
        <v>157.63100746474282</v>
      </c>
      <c r="G8" s="34"/>
      <c r="H8" s="33"/>
      <c r="I8" s="33"/>
      <c r="J8" s="33">
        <f>$C$28*('E Balans VL '!D13+'E Balans VL '!E13)/100/3.6*1000000</f>
        <v>0</v>
      </c>
      <c r="K8" s="33"/>
      <c r="L8" s="33"/>
      <c r="M8" s="33"/>
      <c r="N8" s="33">
        <f>$C$28*'E Balans VL '!Y13/100/3.6*1000000</f>
        <v>0.65478556260944043</v>
      </c>
      <c r="O8" s="33"/>
      <c r="P8" s="33"/>
      <c r="R8" s="32"/>
    </row>
    <row r="9" spans="1:18">
      <c r="A9" s="32" t="s">
        <v>50</v>
      </c>
      <c r="B9" s="37">
        <f t="shared" si="0"/>
        <v>347.64800000000002</v>
      </c>
      <c r="C9" s="33"/>
      <c r="D9" s="37">
        <f>IF(ISERROR(TER_gezond_gas_kWh/1000),0,TER_gezond_gas_kWh/1000)*0.902</f>
        <v>720.81886800000007</v>
      </c>
      <c r="E9" s="33">
        <f>$C$29*'E Balans VL '!I10/100/3.6*1000000</f>
        <v>0.65160555110433505</v>
      </c>
      <c r="F9" s="33">
        <f>$C$29*('E Balans VL '!L10+'E Balans VL '!N10)/100/3.6*1000000</f>
        <v>28.579837643583531</v>
      </c>
      <c r="G9" s="34"/>
      <c r="H9" s="33"/>
      <c r="I9" s="33"/>
      <c r="J9" s="33">
        <f>$C$29*('E Balans VL '!D10+'E Balans VL '!E10)/100/3.6*1000000</f>
        <v>0</v>
      </c>
      <c r="K9" s="33"/>
      <c r="L9" s="33"/>
      <c r="M9" s="33"/>
      <c r="N9" s="33">
        <f>$C$29*'E Balans VL '!Y10/100/3.6*1000000</f>
        <v>2.7049608226779065</v>
      </c>
      <c r="O9" s="33"/>
      <c r="P9" s="33"/>
      <c r="R9" s="32"/>
    </row>
    <row r="10" spans="1:18">
      <c r="A10" s="32" t="s">
        <v>49</v>
      </c>
      <c r="B10" s="37">
        <f t="shared" si="0"/>
        <v>958.01359500000001</v>
      </c>
      <c r="C10" s="33"/>
      <c r="D10" s="37">
        <f>IF(ISERROR(TER_ander_gas_kWh/1000),0,TER_ander_gas_kWh/1000)*0.902</f>
        <v>732.4221960000001</v>
      </c>
      <c r="E10" s="33">
        <f>$C$30*'E Balans VL '!I14/100/3.6*1000000</f>
        <v>1.4767876640942663</v>
      </c>
      <c r="F10" s="33">
        <f>$C$30*('E Balans VL '!L14+'E Balans VL '!N14)/100/3.6*1000000</f>
        <v>148.73187509794337</v>
      </c>
      <c r="G10" s="34"/>
      <c r="H10" s="33"/>
      <c r="I10" s="33"/>
      <c r="J10" s="33">
        <f>$C$30*('E Balans VL '!D14+'E Balans VL '!E14)/100/3.6*1000000</f>
        <v>1.626329112002086E-2</v>
      </c>
      <c r="K10" s="33"/>
      <c r="L10" s="33"/>
      <c r="M10" s="33"/>
      <c r="N10" s="33">
        <f>$C$30*'E Balans VL '!Y14/100/3.6*1000000</f>
        <v>633.79109034675662</v>
      </c>
      <c r="O10" s="33"/>
      <c r="P10" s="33"/>
      <c r="R10" s="32"/>
    </row>
    <row r="11" spans="1:18">
      <c r="A11" s="32" t="s">
        <v>54</v>
      </c>
      <c r="B11" s="37">
        <f t="shared" si="0"/>
        <v>62.347999999999999</v>
      </c>
      <c r="C11" s="33"/>
      <c r="D11" s="37">
        <f>IF(ISERROR(TER_onderwijs_gas_kWh/1000),0,TER_onderwijs_gas_kWh/1000)*0.902</f>
        <v>226.982888</v>
      </c>
      <c r="E11" s="33">
        <f>$C$31*'E Balans VL '!I11/100/3.6*1000000</f>
        <v>1.5902998403585067</v>
      </c>
      <c r="F11" s="33">
        <f>$C$31*('E Balans VL '!L11+'E Balans VL '!N11)/100/3.6*1000000</f>
        <v>7.4979338417237162</v>
      </c>
      <c r="G11" s="34"/>
      <c r="H11" s="33"/>
      <c r="I11" s="33"/>
      <c r="J11" s="33">
        <f>$C$31*('E Balans VL '!D11+'E Balans VL '!E11)/100/3.6*1000000</f>
        <v>0</v>
      </c>
      <c r="K11" s="33"/>
      <c r="L11" s="33"/>
      <c r="M11" s="33"/>
      <c r="N11" s="33">
        <f>$C$31*'E Balans VL '!Y11/100/3.6*1000000</f>
        <v>0.13866043069569142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5026.8212949999997</v>
      </c>
      <c r="C16" s="21">
        <f t="shared" ca="1" si="1"/>
        <v>0</v>
      </c>
      <c r="D16" s="21">
        <f t="shared" ca="1" si="1"/>
        <v>4162.2149580000005</v>
      </c>
      <c r="E16" s="21">
        <f t="shared" si="1"/>
        <v>65.555323786029902</v>
      </c>
      <c r="F16" s="21">
        <f t="shared" ca="1" si="1"/>
        <v>586.81943437060352</v>
      </c>
      <c r="G16" s="21">
        <f t="shared" si="1"/>
        <v>0</v>
      </c>
      <c r="H16" s="21">
        <f t="shared" si="1"/>
        <v>0</v>
      </c>
      <c r="I16" s="21">
        <f t="shared" si="1"/>
        <v>0</v>
      </c>
      <c r="J16" s="21">
        <f t="shared" si="1"/>
        <v>1.626329112002086E-2</v>
      </c>
      <c r="K16" s="21">
        <f t="shared" si="1"/>
        <v>0</v>
      </c>
      <c r="L16" s="21">
        <f t="shared" ca="1" si="1"/>
        <v>0</v>
      </c>
      <c r="M16" s="21">
        <f t="shared" si="1"/>
        <v>0</v>
      </c>
      <c r="N16" s="21">
        <f t="shared" ca="1" si="1"/>
        <v>638.17261325574975</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0.20508915120906729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1030.9465126712144</v>
      </c>
      <c r="C20" s="23">
        <f t="shared" ref="C20:P20" ca="1" si="2">C16*C18</f>
        <v>0</v>
      </c>
      <c r="D20" s="23">
        <f t="shared" ca="1" si="2"/>
        <v>840.76742151600013</v>
      </c>
      <c r="E20" s="23">
        <f t="shared" si="2"/>
        <v>14.881058499428788</v>
      </c>
      <c r="F20" s="23">
        <f t="shared" ca="1" si="2"/>
        <v>156.68078897695113</v>
      </c>
      <c r="G20" s="23">
        <f t="shared" si="2"/>
        <v>0</v>
      </c>
      <c r="H20" s="23">
        <f t="shared" si="2"/>
        <v>0</v>
      </c>
      <c r="I20" s="23">
        <f t="shared" si="2"/>
        <v>0</v>
      </c>
      <c r="J20" s="23">
        <f t="shared" si="2"/>
        <v>5.7572050564873847E-3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1502.3896999999999</v>
      </c>
      <c r="C26" s="39">
        <f>IF(ISERROR(B26*3.6/1000000/'E Balans VL '!Z12*100),0,B26*3.6/1000000/'E Balans VL '!Z12*100)</f>
        <v>3.1871822956766674E-2</v>
      </c>
      <c r="D26" s="237" t="s">
        <v>708</v>
      </c>
      <c r="F26" s="6"/>
    </row>
    <row r="27" spans="1:18">
      <c r="A27" s="231" t="s">
        <v>52</v>
      </c>
      <c r="B27" s="33">
        <f>IF(ISERROR(TER_horeca_ele_kWh/1000),0,TER_horeca_ele_kWh/1000)</f>
        <v>504.63900000000001</v>
      </c>
      <c r="C27" s="39">
        <f>IF(ISERROR(B27*3.6/1000000/'E Balans VL '!Z9*100),0,B27*3.6/1000000/'E Balans VL '!Z9*100)</f>
        <v>3.8003787047890716E-2</v>
      </c>
      <c r="D27" s="237" t="s">
        <v>708</v>
      </c>
      <c r="F27" s="6"/>
    </row>
    <row r="28" spans="1:18">
      <c r="A28" s="171" t="s">
        <v>51</v>
      </c>
      <c r="B28" s="33">
        <f>IF(ISERROR(TER_handel_ele_kWh/1000),0,TER_handel_ele_kWh/1000)</f>
        <v>1651.7829999999999</v>
      </c>
      <c r="C28" s="39">
        <f>IF(ISERROR(B28*3.6/1000000/'E Balans VL '!Z13*100),0,B28*3.6/1000000/'E Balans VL '!Z13*100)</f>
        <v>4.7945407766190933E-2</v>
      </c>
      <c r="D28" s="237" t="s">
        <v>708</v>
      </c>
      <c r="F28" s="6"/>
    </row>
    <row r="29" spans="1:18">
      <c r="A29" s="231" t="s">
        <v>50</v>
      </c>
      <c r="B29" s="33">
        <f>IF(ISERROR(TER_gezond_ele_kWh/1000),0,TER_gezond_ele_kWh/1000)</f>
        <v>347.64800000000002</v>
      </c>
      <c r="C29" s="39">
        <f>IF(ISERROR(B29*3.6/1000000/'E Balans VL '!Z10*100),0,B29*3.6/1000000/'E Balans VL '!Z10*100)</f>
        <v>3.5060715387125768E-2</v>
      </c>
      <c r="D29" s="237" t="s">
        <v>708</v>
      </c>
      <c r="F29" s="6"/>
    </row>
    <row r="30" spans="1:18">
      <c r="A30" s="231" t="s">
        <v>49</v>
      </c>
      <c r="B30" s="33">
        <f>IF(ISERROR(TER_ander_ele_kWh/1000),0,TER_ander_ele_kWh/1000)</f>
        <v>958.01359500000001</v>
      </c>
      <c r="C30" s="39">
        <f>IF(ISERROR(B30*3.6/1000000/'E Balans VL '!Z14*100),0,B30*3.6/1000000/'E Balans VL '!Z14*100)</f>
        <v>6.9516956019082074E-2</v>
      </c>
      <c r="D30" s="237" t="s">
        <v>708</v>
      </c>
      <c r="F30" s="6"/>
    </row>
    <row r="31" spans="1:18">
      <c r="A31" s="231" t="s">
        <v>54</v>
      </c>
      <c r="B31" s="33">
        <f>IF(ISERROR(TER_onderwijs_ele_kWh/1000),0,TER_onderwijs_ele_kWh/1000)</f>
        <v>62.347999999999999</v>
      </c>
      <c r="C31" s="39">
        <f>IF(ISERROR(B31*3.6/1000000/'E Balans VL '!Z11*100),0,B31*3.6/1000000/'E Balans VL '!Z11*100)</f>
        <v>1.7771718928781731E-2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44764.089749999999</v>
      </c>
      <c r="C5" s="17">
        <f>IF(ISERROR('Eigen informatie GS &amp; warmtenet'!B61),0,'Eigen informatie GS &amp; warmtenet'!B61)</f>
        <v>0</v>
      </c>
      <c r="D5" s="30">
        <f>SUM(D6:D15)</f>
        <v>5041.4173526860004</v>
      </c>
      <c r="E5" s="17">
        <f>SUM(E6:E15)</f>
        <v>11634.998615291328</v>
      </c>
      <c r="F5" s="17">
        <f>SUM(F6:F15)</f>
        <v>34887.128389519341</v>
      </c>
      <c r="G5" s="18"/>
      <c r="H5" s="17"/>
      <c r="I5" s="17"/>
      <c r="J5" s="17">
        <f>SUM(J6:J15)</f>
        <v>162.96989095603769</v>
      </c>
      <c r="K5" s="17"/>
      <c r="L5" s="17"/>
      <c r="M5" s="17"/>
      <c r="N5" s="17">
        <f>SUM(N6:N15)</f>
        <v>3094.5251827443149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614.52800000000002</v>
      </c>
      <c r="C8" s="33"/>
      <c r="D8" s="37">
        <f>IF( ISERROR(IND_metaal_Gas_kWH/1000),0,IND_metaal_Gas_kWH/1000)*0.902</f>
        <v>80.365493999999998</v>
      </c>
      <c r="E8" s="33">
        <f>C30*'E Balans VL '!I18/100/3.6*1000000</f>
        <v>4.4333882039389891</v>
      </c>
      <c r="F8" s="33">
        <f>C30*'E Balans VL '!L18/100/3.6*1000000+C30*'E Balans VL '!N18/100/3.6*1000000</f>
        <v>58.123017697426143</v>
      </c>
      <c r="G8" s="34"/>
      <c r="H8" s="33"/>
      <c r="I8" s="33"/>
      <c r="J8" s="40">
        <f>C30*'E Balans VL '!D18/100/3.6*1000000+C30*'E Balans VL '!E18/100/3.6*1000000</f>
        <v>0.61809583354395647</v>
      </c>
      <c r="K8" s="33"/>
      <c r="L8" s="33"/>
      <c r="M8" s="33"/>
      <c r="N8" s="33">
        <f>C30*'E Balans VL '!Y18/100/3.6*1000000</f>
        <v>7.7692598005705813</v>
      </c>
      <c r="O8" s="33"/>
      <c r="P8" s="33"/>
      <c r="R8" s="32"/>
    </row>
    <row r="9" spans="1:18">
      <c r="A9" s="6" t="s">
        <v>32</v>
      </c>
      <c r="B9" s="37">
        <f t="shared" si="0"/>
        <v>41958.022749999996</v>
      </c>
      <c r="C9" s="33"/>
      <c r="D9" s="37">
        <f>IF( ISERROR(IND_andere_gas_kWh/1000),0,IND_andere_gas_kWh/1000)*0.902</f>
        <v>4549.324036686</v>
      </c>
      <c r="E9" s="33">
        <f>C31*'E Balans VL '!I19/100/3.6*1000000</f>
        <v>11627.129153078644</v>
      </c>
      <c r="F9" s="33">
        <f>C31*'E Balans VL '!L19/100/3.6*1000000+C31*'E Balans VL '!N19/100/3.6*1000000</f>
        <v>34774.899927185957</v>
      </c>
      <c r="G9" s="34"/>
      <c r="H9" s="33"/>
      <c r="I9" s="33"/>
      <c r="J9" s="40">
        <f>C31*'E Balans VL '!D19/100/3.6*1000000+C31*'E Balans VL '!E19/100/3.6*1000000</f>
        <v>0</v>
      </c>
      <c r="K9" s="33"/>
      <c r="L9" s="33"/>
      <c r="M9" s="33"/>
      <c r="N9" s="33">
        <f>C31*'E Balans VL '!Y19/100/3.6*1000000</f>
        <v>3045.6392494733909</v>
      </c>
      <c r="O9" s="33"/>
      <c r="P9" s="33"/>
      <c r="R9" s="32"/>
    </row>
    <row r="10" spans="1:18">
      <c r="A10" s="6" t="s">
        <v>40</v>
      </c>
      <c r="B10" s="37">
        <f t="shared" si="0"/>
        <v>707.59500000000003</v>
      </c>
      <c r="C10" s="33"/>
      <c r="D10" s="37">
        <f>IF( ISERROR(IND_voed_gas_kWh/1000),0,IND_voed_gas_kWh/1000)*0.902</f>
        <v>220.0429</v>
      </c>
      <c r="E10" s="33">
        <f>C32*'E Balans VL '!I20/100/3.6*1000000</f>
        <v>1.2526828277929298</v>
      </c>
      <c r="F10" s="33">
        <f>C32*'E Balans VL '!L20/100/3.6*1000000+C32*'E Balans VL '!N20/100/3.6*1000000</f>
        <v>38.216401358229994</v>
      </c>
      <c r="G10" s="34"/>
      <c r="H10" s="33"/>
      <c r="I10" s="33"/>
      <c r="J10" s="40">
        <f>C32*'E Balans VL '!D20/100/3.6*1000000+C32*'E Balans VL '!E20/100/3.6*1000000</f>
        <v>0</v>
      </c>
      <c r="K10" s="33"/>
      <c r="L10" s="33"/>
      <c r="M10" s="33"/>
      <c r="N10" s="33">
        <f>C32*'E Balans VL '!Y20/100/3.6*1000000</f>
        <v>41.116673470353277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1483.944</v>
      </c>
      <c r="C13" s="33"/>
      <c r="D13" s="37">
        <f>IF( ISERROR(IND_papier_gas_kWh/1000),0,IND_papier_gas_kWh/1000)*0.902</f>
        <v>0</v>
      </c>
      <c r="E13" s="33">
        <f>C35*'E Balans VL '!I23/100/3.6*1000000</f>
        <v>2.183391180952019</v>
      </c>
      <c r="F13" s="33">
        <f>C35*'E Balans VL '!L23/100/3.6*1000000+C35*'E Balans VL '!N23/100/3.6*1000000</f>
        <v>15.889043277722783</v>
      </c>
      <c r="G13" s="34"/>
      <c r="H13" s="33"/>
      <c r="I13" s="33"/>
      <c r="J13" s="40">
        <f>C35*'E Balans VL '!D23/100/3.6*1000000+C35*'E Balans VL '!E23/100/3.6*1000000</f>
        <v>162.35179512249374</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191.684922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44764.089749999999</v>
      </c>
      <c r="C18" s="21">
        <f>C5+C16</f>
        <v>0</v>
      </c>
      <c r="D18" s="21">
        <f>MAX((D5+D16),0)</f>
        <v>5041.4173526860004</v>
      </c>
      <c r="E18" s="21">
        <f>MAX((E5+E16),0)</f>
        <v>11634.998615291328</v>
      </c>
      <c r="F18" s="21">
        <f>MAX((F5+F16),0)</f>
        <v>34887.128389519341</v>
      </c>
      <c r="G18" s="21"/>
      <c r="H18" s="21"/>
      <c r="I18" s="21"/>
      <c r="J18" s="21">
        <f>MAX((J5+J16),0)</f>
        <v>162.96989095603769</v>
      </c>
      <c r="K18" s="21"/>
      <c r="L18" s="21">
        <f>MAX((L5+L16),0)</f>
        <v>0</v>
      </c>
      <c r="M18" s="21"/>
      <c r="N18" s="21">
        <f>MAX((N5+N16),0)</f>
        <v>3094.5251827443149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0.20508915120906729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9180.6291714740091</v>
      </c>
      <c r="C22" s="23">
        <f ca="1">C18*C20</f>
        <v>0</v>
      </c>
      <c r="D22" s="23">
        <f>D18*D20</f>
        <v>1018.3663052425721</v>
      </c>
      <c r="E22" s="23">
        <f>E18*E20</f>
        <v>2641.1446856711314</v>
      </c>
      <c r="F22" s="23">
        <f>F18*F20</f>
        <v>9314.863280001664</v>
      </c>
      <c r="G22" s="23"/>
      <c r="H22" s="23"/>
      <c r="I22" s="23"/>
      <c r="J22" s="23">
        <f>J18*J20</f>
        <v>57.691341398437338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614.52800000000002</v>
      </c>
      <c r="C30" s="39">
        <f>IF(ISERROR(B30*3.6/1000000/'E Balans VL '!Z18*100),0,B30*3.6/1000000/'E Balans VL '!Z18*100)</f>
        <v>3.5475742562668403E-2</v>
      </c>
      <c r="D30" s="237" t="s">
        <v>708</v>
      </c>
    </row>
    <row r="31" spans="1:18">
      <c r="A31" s="6" t="s">
        <v>32</v>
      </c>
      <c r="B31" s="37">
        <f>IF( ISERROR(IND_ander_ele_kWh/1000),0,IND_ander_ele_kWh/1000)</f>
        <v>41958.022749999996</v>
      </c>
      <c r="C31" s="39">
        <f>IF(ISERROR(B31*3.6/1000000/'E Balans VL '!Z19*100),0,B31*3.6/1000000/'E Balans VL '!Z19*100)</f>
        <v>2.1103525426603729</v>
      </c>
      <c r="D31" s="237" t="s">
        <v>708</v>
      </c>
    </row>
    <row r="32" spans="1:18">
      <c r="A32" s="171" t="s">
        <v>40</v>
      </c>
      <c r="B32" s="37">
        <f>IF( ISERROR(IND_voed_ele_kWh/1000),0,IND_voed_ele_kWh/1000)</f>
        <v>707.59500000000003</v>
      </c>
      <c r="C32" s="39">
        <f>IF(ISERROR(B32*3.6/1000000/'E Balans VL '!Z20*100),0,B32*3.6/1000000/'E Balans VL '!Z20*100)</f>
        <v>2.3567115374653967E-2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1483.944</v>
      </c>
      <c r="C35" s="39">
        <f>IF(ISERROR(B35*3.6/1000000/'E Balans VL '!Z22*100),0,B35*3.6/1000000/'E Balans VL '!Z22*100)</f>
        <v>0.27680567822420105</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0</v>
      </c>
      <c r="C37" s="39">
        <f>IF(ISERROR(B37*3.6/1000000/'E Balans VL '!Z15*100),0,B37*3.6/1000000/'E Balans VL '!Z15*100)</f>
        <v>0</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1719.145135</v>
      </c>
      <c r="C5" s="17">
        <f>'Eigen informatie GS &amp; warmtenet'!B62</f>
        <v>0</v>
      </c>
      <c r="D5" s="30">
        <f>IF(ISERROR(SUM(LB_lb_gas_kWh,LB_rest_gas_kWh)/1000),0,SUM(LB_lb_gas_kWh,LB_rest_gas_kWh)/1000)*0.902</f>
        <v>3145.2060821060004</v>
      </c>
      <c r="E5" s="17">
        <f>B17*'E Balans VL '!I25/3.6*1000000/100</f>
        <v>53.65395275922225</v>
      </c>
      <c r="F5" s="17">
        <f>B17*('E Balans VL '!L25/3.6*1000000+'E Balans VL '!N25/3.6*1000000)/100</f>
        <v>6075.6493488506994</v>
      </c>
      <c r="G5" s="18"/>
      <c r="H5" s="17"/>
      <c r="I5" s="17"/>
      <c r="J5" s="17">
        <f>('E Balans VL '!D25+'E Balans VL '!E25)/3.6*1000000*landbouw!B17/100</f>
        <v>473.63640685952612</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1719.145135</v>
      </c>
      <c r="C8" s="21">
        <f>C5+C6</f>
        <v>0</v>
      </c>
      <c r="D8" s="21">
        <f>MAX((D5+D6),0)</f>
        <v>3145.2060821060004</v>
      </c>
      <c r="E8" s="21">
        <f>MAX((E5+E6),0)</f>
        <v>53.65395275922225</v>
      </c>
      <c r="F8" s="21">
        <f>MAX((F5+F6),0)</f>
        <v>6075.6493488506994</v>
      </c>
      <c r="G8" s="21"/>
      <c r="H8" s="21"/>
      <c r="I8" s="21"/>
      <c r="J8" s="21">
        <f>MAX((J5+J6),0)</f>
        <v>473.63640685952612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0.20508915120906729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352.57801654234737</v>
      </c>
      <c r="C12" s="23">
        <f ca="1">C8*C10</f>
        <v>0</v>
      </c>
      <c r="D12" s="23">
        <f>D8*D10</f>
        <v>635.33162858541209</v>
      </c>
      <c r="E12" s="23">
        <f>E8*E10</f>
        <v>12.179447276343451</v>
      </c>
      <c r="F12" s="23">
        <f>F8*F10</f>
        <v>1622.1983761431368</v>
      </c>
      <c r="G12" s="23"/>
      <c r="H12" s="23"/>
      <c r="I12" s="23"/>
      <c r="J12" s="23">
        <f>J8*J10</f>
        <v>167.66728802827222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0.25556324831743377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71.965147219683274</v>
      </c>
      <c r="C26" s="247">
        <f>B26*'GWP N2O_CH4'!B5</f>
        <v>1511.2680916133488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23.462325688222293</v>
      </c>
      <c r="C27" s="247">
        <f>B27*'GWP N2O_CH4'!B5</f>
        <v>492.70883945266814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0.81403204624164416</v>
      </c>
      <c r="C28" s="247">
        <f>B28*'GWP N2O_CH4'!B4</f>
        <v>252.34993433490968</v>
      </c>
      <c r="D28" s="50"/>
    </row>
    <row r="29" spans="1:4">
      <c r="A29" s="41" t="s">
        <v>276</v>
      </c>
      <c r="B29" s="247">
        <f>B34*'ha_N2O bodem landbouw'!B4</f>
        <v>10.444720189516433</v>
      </c>
      <c r="C29" s="247">
        <f>B29*'GWP N2O_CH4'!B4</f>
        <v>3237.8632587500942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2.2903390846022776E-3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6.0462913783074901E-5</v>
      </c>
      <c r="C5" s="437" t="s">
        <v>210</v>
      </c>
      <c r="D5" s="422">
        <f>SUM(D6:D11)</f>
        <v>2.2417889795217833E-4</v>
      </c>
      <c r="E5" s="422">
        <f>SUM(E6:E11)</f>
        <v>1.8865453669567002E-4</v>
      </c>
      <c r="F5" s="435" t="s">
        <v>210</v>
      </c>
      <c r="G5" s="422">
        <f>SUM(G6:G11)</f>
        <v>8.0152766212576596E-2</v>
      </c>
      <c r="H5" s="422">
        <f>SUM(H6:H11)</f>
        <v>2.0888931088037629E-2</v>
      </c>
      <c r="I5" s="437" t="s">
        <v>210</v>
      </c>
      <c r="J5" s="437" t="s">
        <v>210</v>
      </c>
      <c r="K5" s="437" t="s">
        <v>210</v>
      </c>
      <c r="L5" s="437" t="s">
        <v>210</v>
      </c>
      <c r="M5" s="422">
        <f>SUM(M6:M11)</f>
        <v>6.0032151068092109E-3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4.7316172020277301E-5</v>
      </c>
      <c r="C6" s="423"/>
      <c r="D6" s="890">
        <f>vkm_GW_PW*SUMIFS(TableVerdeelsleutelVkm[CNG],TableVerdeelsleutelVkm[Voertuigtype],"Lichte voertuigen")*SUMIFS(TableECFTransport[EnergieConsumptieFactor (PJ per km)],TableECFTransport[Index],CONCATENATE($A6,"_CNG_CNG"))</f>
        <v>1.5242443031909602E-4</v>
      </c>
      <c r="E6" s="890">
        <f>vkm_GW_PW*SUMIFS(TableVerdeelsleutelVkm[LPG],TableVerdeelsleutelVkm[Voertuigtype],"Lichte voertuigen")*SUMIFS(TableECFTransport[EnergieConsumptieFactor (PJ per km)],TableECFTransport[Index],CONCATENATE($A6,"_LPG_LPG"))</f>
        <v>1.3034980720389529E-4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4.2109432135818241E-2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1.4279050179599359E-2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3.3726900247098368E-3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1.8123538372613612E-2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2.5915032583829475E-7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1.044684362717641E-3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1.31467417627976E-5</v>
      </c>
      <c r="C8" s="423"/>
      <c r="D8" s="425">
        <f>vkm_NGW_PW*SUMIFS(TableVerdeelsleutelVkm[CNG],TableVerdeelsleutelVkm[Voertuigtype],"Lichte voertuigen")*SUMIFS(TableECFTransport[EnergieConsumptieFactor (PJ per km)],TableECFTransport[Index],CONCATENATE($A8,"_CNG_CNG"))</f>
        <v>7.1754467633082313E-5</v>
      </c>
      <c r="E8" s="425">
        <f>vkm_NGW_PW*SUMIFS(TableVerdeelsleutelVkm[LPG],TableVerdeelsleutelVkm[Voertuigtype],"Lichte voertuigen")*SUMIFS(TableECFTransport[EnergieConsumptieFactor (PJ per km)],TableECFTransport[Index],CONCATENATE($A8,"_LPG_LPG"))</f>
        <v>5.8304729491774722E-5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1.7600455221914713E-2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6.6095797088012208E-3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1.452147764645226E-3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2.3193404822300433E-3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4.2049311208734453E-8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1.3369295473650742E-4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16.795253828631918</v>
      </c>
      <c r="C14" s="21"/>
      <c r="D14" s="21">
        <f t="shared" ref="D14:M14" si="0">((D5)*10^9/3600)+D12</f>
        <v>62.271916097827308</v>
      </c>
      <c r="E14" s="21">
        <f t="shared" si="0"/>
        <v>52.404037971019449</v>
      </c>
      <c r="F14" s="21"/>
      <c r="G14" s="21">
        <f t="shared" si="0"/>
        <v>22264.657281271277</v>
      </c>
      <c r="H14" s="21">
        <f t="shared" si="0"/>
        <v>5802.4808577882304</v>
      </c>
      <c r="I14" s="21"/>
      <c r="J14" s="21"/>
      <c r="K14" s="21"/>
      <c r="L14" s="21"/>
      <c r="M14" s="21">
        <f t="shared" si="0"/>
        <v>1667.5597518914474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0.20508915120906729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3.4445243520549575</v>
      </c>
      <c r="C18" s="23"/>
      <c r="D18" s="23">
        <f t="shared" ref="D18:M18" si="1">D14*D16</f>
        <v>12.578927051761116</v>
      </c>
      <c r="E18" s="23">
        <f t="shared" si="1"/>
        <v>11.895716619421416</v>
      </c>
      <c r="F18" s="23"/>
      <c r="G18" s="23">
        <f t="shared" si="1"/>
        <v>5944.6634940994309</v>
      </c>
      <c r="H18" s="23">
        <f t="shared" si="1"/>
        <v>1444.8177335892694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1.3919799288438001E-3</v>
      </c>
      <c r="H50" s="319">
        <f t="shared" si="2"/>
        <v>0</v>
      </c>
      <c r="I50" s="319">
        <f t="shared" si="2"/>
        <v>0</v>
      </c>
      <c r="J50" s="319">
        <f t="shared" si="2"/>
        <v>0</v>
      </c>
      <c r="K50" s="319">
        <f t="shared" si="2"/>
        <v>0</v>
      </c>
      <c r="L50" s="319">
        <f t="shared" si="2"/>
        <v>0</v>
      </c>
      <c r="M50" s="319">
        <f t="shared" si="2"/>
        <v>7.7354226431951997E-5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1.3919799288438001E-3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7.7354226431951997E-5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386.66109134549998</v>
      </c>
      <c r="H54" s="21">
        <f t="shared" si="3"/>
        <v>0</v>
      </c>
      <c r="I54" s="21">
        <f t="shared" si="3"/>
        <v>0</v>
      </c>
      <c r="J54" s="21">
        <f t="shared" si="3"/>
        <v>0</v>
      </c>
      <c r="K54" s="21">
        <f t="shared" si="3"/>
        <v>0</v>
      </c>
      <c r="L54" s="21">
        <f t="shared" si="3"/>
        <v>0</v>
      </c>
      <c r="M54" s="21">
        <f t="shared" si="3"/>
        <v>21.487285119986666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0.20508915120906729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103.2385113892485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5617.3622949999999</v>
      </c>
      <c r="D10" s="686">
        <f ca="1">tertiair!C16</f>
        <v>0</v>
      </c>
      <c r="E10" s="686">
        <f ca="1">tertiair!D16</f>
        <v>4162.2149580000005</v>
      </c>
      <c r="F10" s="686">
        <f>tertiair!E16</f>
        <v>65.555323786029902</v>
      </c>
      <c r="G10" s="686">
        <f ca="1">tertiair!F16</f>
        <v>586.81943437060352</v>
      </c>
      <c r="H10" s="686">
        <f>tertiair!G16</f>
        <v>0</v>
      </c>
      <c r="I10" s="686">
        <f>tertiair!H16</f>
        <v>0</v>
      </c>
      <c r="J10" s="686">
        <f>tertiair!I16</f>
        <v>0</v>
      </c>
      <c r="K10" s="686">
        <f>tertiair!J16</f>
        <v>1.626329112002086E-2</v>
      </c>
      <c r="L10" s="686">
        <f>tertiair!K16</f>
        <v>0</v>
      </c>
      <c r="M10" s="686">
        <f ca="1">tertiair!L16</f>
        <v>0</v>
      </c>
      <c r="N10" s="686">
        <f>tertiair!M16</f>
        <v>0</v>
      </c>
      <c r="O10" s="686">
        <f ca="1">tertiair!N16</f>
        <v>638.17261325574975</v>
      </c>
      <c r="P10" s="686">
        <f>tertiair!O16</f>
        <v>0</v>
      </c>
      <c r="Q10" s="687">
        <f>tertiair!P16</f>
        <v>52.539138306495019</v>
      </c>
      <c r="R10" s="689">
        <f ca="1">SUM(C10:Q10)</f>
        <v>11122.680026009997</v>
      </c>
      <c r="S10" s="67"/>
    </row>
    <row r="11" spans="1:19" s="448" customFormat="1">
      <c r="A11" s="808" t="s">
        <v>224</v>
      </c>
      <c r="B11" s="813"/>
      <c r="C11" s="686">
        <f>huishoudens!B8</f>
        <v>12957.003517731298</v>
      </c>
      <c r="D11" s="686">
        <f>huishoudens!C8</f>
        <v>0</v>
      </c>
      <c r="E11" s="686">
        <f>huishoudens!D8</f>
        <v>18290.4110301</v>
      </c>
      <c r="F11" s="686">
        <f>huishoudens!E8</f>
        <v>5071.2161727435414</v>
      </c>
      <c r="G11" s="686">
        <f>huishoudens!F8</f>
        <v>22852.094929478066</v>
      </c>
      <c r="H11" s="686">
        <f>huishoudens!G8</f>
        <v>0</v>
      </c>
      <c r="I11" s="686">
        <f>huishoudens!H8</f>
        <v>0</v>
      </c>
      <c r="J11" s="686">
        <f>huishoudens!I8</f>
        <v>0</v>
      </c>
      <c r="K11" s="686">
        <f>huishoudens!J8</f>
        <v>0</v>
      </c>
      <c r="L11" s="686">
        <f>huishoudens!K8</f>
        <v>0</v>
      </c>
      <c r="M11" s="686">
        <f>huishoudens!L8</f>
        <v>0</v>
      </c>
      <c r="N11" s="686">
        <f>huishoudens!M8</f>
        <v>0</v>
      </c>
      <c r="O11" s="686">
        <f>huishoudens!N8</f>
        <v>13709.351741855098</v>
      </c>
      <c r="P11" s="686">
        <f>huishoudens!O8</f>
        <v>214.26748769379944</v>
      </c>
      <c r="Q11" s="687">
        <f>huishoudens!P8</f>
        <v>389.75649438434584</v>
      </c>
      <c r="R11" s="689">
        <f>SUM(C11:Q11)</f>
        <v>73484.101373986152</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44764.089749999999</v>
      </c>
      <c r="D13" s="686">
        <f>industrie!C18</f>
        <v>0</v>
      </c>
      <c r="E13" s="686">
        <f>industrie!D18</f>
        <v>5041.4173526860004</v>
      </c>
      <c r="F13" s="686">
        <f>industrie!E18</f>
        <v>11634.998615291328</v>
      </c>
      <c r="G13" s="686">
        <f>industrie!F18</f>
        <v>34887.128389519341</v>
      </c>
      <c r="H13" s="686">
        <f>industrie!G18</f>
        <v>0</v>
      </c>
      <c r="I13" s="686">
        <f>industrie!H18</f>
        <v>0</v>
      </c>
      <c r="J13" s="686">
        <f>industrie!I18</f>
        <v>0</v>
      </c>
      <c r="K13" s="686">
        <f>industrie!J18</f>
        <v>162.96989095603769</v>
      </c>
      <c r="L13" s="686">
        <f>industrie!K18</f>
        <v>0</v>
      </c>
      <c r="M13" s="686">
        <f>industrie!L18</f>
        <v>0</v>
      </c>
      <c r="N13" s="686">
        <f>industrie!M18</f>
        <v>0</v>
      </c>
      <c r="O13" s="686">
        <f>industrie!N18</f>
        <v>3094.5251827443149</v>
      </c>
      <c r="P13" s="686">
        <f>industrie!O18</f>
        <v>0</v>
      </c>
      <c r="Q13" s="687">
        <f>industrie!P18</f>
        <v>0</v>
      </c>
      <c r="R13" s="689">
        <f>SUM(C13:Q13)</f>
        <v>99585.12918119703</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63338.455562731295</v>
      </c>
      <c r="D16" s="722">
        <f t="shared" ref="D16:R16" ca="1" si="0">SUM(D9:D15)</f>
        <v>0</v>
      </c>
      <c r="E16" s="722">
        <f t="shared" ca="1" si="0"/>
        <v>27494.043340786</v>
      </c>
      <c r="F16" s="722">
        <f t="shared" si="0"/>
        <v>16771.770111820901</v>
      </c>
      <c r="G16" s="722">
        <f t="shared" ca="1" si="0"/>
        <v>58326.042753368005</v>
      </c>
      <c r="H16" s="722">
        <f t="shared" si="0"/>
        <v>0</v>
      </c>
      <c r="I16" s="722">
        <f t="shared" si="0"/>
        <v>0</v>
      </c>
      <c r="J16" s="722">
        <f t="shared" si="0"/>
        <v>0</v>
      </c>
      <c r="K16" s="722">
        <f t="shared" si="0"/>
        <v>162.98615424715771</v>
      </c>
      <c r="L16" s="722">
        <f t="shared" si="0"/>
        <v>0</v>
      </c>
      <c r="M16" s="722">
        <f t="shared" ca="1" si="0"/>
        <v>0</v>
      </c>
      <c r="N16" s="722">
        <f t="shared" si="0"/>
        <v>0</v>
      </c>
      <c r="O16" s="722">
        <f t="shared" ca="1" si="0"/>
        <v>17442.049537855164</v>
      </c>
      <c r="P16" s="722">
        <f t="shared" si="0"/>
        <v>214.26748769379944</v>
      </c>
      <c r="Q16" s="722">
        <f t="shared" si="0"/>
        <v>442.29563269084088</v>
      </c>
      <c r="R16" s="722">
        <f t="shared" ca="1" si="0"/>
        <v>184191.91058119317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386.66109134549998</v>
      </c>
      <c r="I19" s="686">
        <f>transport!H54</f>
        <v>0</v>
      </c>
      <c r="J19" s="686">
        <f>transport!I54</f>
        <v>0</v>
      </c>
      <c r="K19" s="686">
        <f>transport!J54</f>
        <v>0</v>
      </c>
      <c r="L19" s="686">
        <f>transport!K54</f>
        <v>0</v>
      </c>
      <c r="M19" s="686">
        <f>transport!L54</f>
        <v>0</v>
      </c>
      <c r="N19" s="686">
        <f>transport!M54</f>
        <v>21.487285119986666</v>
      </c>
      <c r="O19" s="686">
        <f>transport!N54</f>
        <v>0</v>
      </c>
      <c r="P19" s="686">
        <f>transport!O54</f>
        <v>0</v>
      </c>
      <c r="Q19" s="687">
        <f>transport!P54</f>
        <v>0</v>
      </c>
      <c r="R19" s="689">
        <f>SUM(C19:Q19)</f>
        <v>408.14837646548665</v>
      </c>
      <c r="S19" s="67"/>
    </row>
    <row r="20" spans="1:19" s="448" customFormat="1">
      <c r="A20" s="808" t="s">
        <v>306</v>
      </c>
      <c r="B20" s="813"/>
      <c r="C20" s="686">
        <f>transport!B14</f>
        <v>16.795253828631918</v>
      </c>
      <c r="D20" s="686">
        <f>transport!C14</f>
        <v>0</v>
      </c>
      <c r="E20" s="686">
        <f>transport!D14</f>
        <v>62.271916097827308</v>
      </c>
      <c r="F20" s="686">
        <f>transport!E14</f>
        <v>52.404037971019449</v>
      </c>
      <c r="G20" s="686">
        <f>transport!F14</f>
        <v>0</v>
      </c>
      <c r="H20" s="686">
        <f>transport!G14</f>
        <v>22264.657281271277</v>
      </c>
      <c r="I20" s="686">
        <f>transport!H14</f>
        <v>5802.4808577882304</v>
      </c>
      <c r="J20" s="686">
        <f>transport!I14</f>
        <v>0</v>
      </c>
      <c r="K20" s="686">
        <f>transport!J14</f>
        <v>0</v>
      </c>
      <c r="L20" s="686">
        <f>transport!K14</f>
        <v>0</v>
      </c>
      <c r="M20" s="686">
        <f>transport!L14</f>
        <v>0</v>
      </c>
      <c r="N20" s="686">
        <f>transport!M14</f>
        <v>1667.5597518914474</v>
      </c>
      <c r="O20" s="686">
        <f>transport!N14</f>
        <v>0</v>
      </c>
      <c r="P20" s="686">
        <f>transport!O14</f>
        <v>0</v>
      </c>
      <c r="Q20" s="687">
        <f>transport!P14</f>
        <v>0</v>
      </c>
      <c r="R20" s="689">
        <f>SUM(C20:Q20)</f>
        <v>29866.16909884843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16.795253828631918</v>
      </c>
      <c r="D22" s="811">
        <f t="shared" ref="D22:R22" si="1">SUM(D18:D21)</f>
        <v>0</v>
      </c>
      <c r="E22" s="811">
        <f t="shared" si="1"/>
        <v>62.271916097827308</v>
      </c>
      <c r="F22" s="811">
        <f t="shared" si="1"/>
        <v>52.404037971019449</v>
      </c>
      <c r="G22" s="811">
        <f t="shared" si="1"/>
        <v>0</v>
      </c>
      <c r="H22" s="811">
        <f t="shared" si="1"/>
        <v>22651.318372616777</v>
      </c>
      <c r="I22" s="811">
        <f t="shared" si="1"/>
        <v>5802.4808577882304</v>
      </c>
      <c r="J22" s="811">
        <f t="shared" si="1"/>
        <v>0</v>
      </c>
      <c r="K22" s="811">
        <f t="shared" si="1"/>
        <v>0</v>
      </c>
      <c r="L22" s="811">
        <f t="shared" si="1"/>
        <v>0</v>
      </c>
      <c r="M22" s="811">
        <f t="shared" si="1"/>
        <v>0</v>
      </c>
      <c r="N22" s="811">
        <f t="shared" si="1"/>
        <v>1689.047037011434</v>
      </c>
      <c r="O22" s="811">
        <f t="shared" si="1"/>
        <v>0</v>
      </c>
      <c r="P22" s="811">
        <f t="shared" si="1"/>
        <v>0</v>
      </c>
      <c r="Q22" s="811">
        <f t="shared" si="1"/>
        <v>0</v>
      </c>
      <c r="R22" s="811">
        <f t="shared" si="1"/>
        <v>30274.317475313917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1719.145135</v>
      </c>
      <c r="D24" s="686">
        <f>+landbouw!C8</f>
        <v>0</v>
      </c>
      <c r="E24" s="686">
        <f>+landbouw!D8</f>
        <v>3145.2060821060004</v>
      </c>
      <c r="F24" s="686">
        <f>+landbouw!E8</f>
        <v>53.65395275922225</v>
      </c>
      <c r="G24" s="686">
        <f>+landbouw!F8</f>
        <v>6075.6493488506994</v>
      </c>
      <c r="H24" s="686">
        <f>+landbouw!G8</f>
        <v>0</v>
      </c>
      <c r="I24" s="686">
        <f>+landbouw!H8</f>
        <v>0</v>
      </c>
      <c r="J24" s="686">
        <f>+landbouw!I8</f>
        <v>0</v>
      </c>
      <c r="K24" s="686">
        <f>+landbouw!J8</f>
        <v>473.63640685952612</v>
      </c>
      <c r="L24" s="686">
        <f>+landbouw!K8</f>
        <v>0</v>
      </c>
      <c r="M24" s="686">
        <f>+landbouw!L8</f>
        <v>0</v>
      </c>
      <c r="N24" s="686">
        <f>+landbouw!M8</f>
        <v>0</v>
      </c>
      <c r="O24" s="686">
        <f>+landbouw!N8</f>
        <v>0</v>
      </c>
      <c r="P24" s="686">
        <f>+landbouw!O8</f>
        <v>0</v>
      </c>
      <c r="Q24" s="687">
        <f>+landbouw!P8</f>
        <v>0</v>
      </c>
      <c r="R24" s="689">
        <f>SUM(C24:Q24)</f>
        <v>11467.290925575448</v>
      </c>
      <c r="S24" s="67"/>
    </row>
    <row r="25" spans="1:19" s="448" customFormat="1" ht="15" thickBot="1">
      <c r="A25" s="830" t="s">
        <v>724</v>
      </c>
      <c r="B25" s="949"/>
      <c r="C25" s="950">
        <f>IF(Onbekend_ele_kWh="---",0,Onbekend_ele_kWh)/1000+IF(REST_rest_ele_kWh="---",0,REST_rest_ele_kWh)/1000</f>
        <v>155.03555</v>
      </c>
      <c r="D25" s="950"/>
      <c r="E25" s="950">
        <f>IF(onbekend_gas_kWh="---",0,onbekend_gas_kWh)/1000+IF(REST_rest_gas_kWh="---",0,REST_rest_gas_kWh)/1000</f>
        <v>346.40280000000001</v>
      </c>
      <c r="F25" s="950"/>
      <c r="G25" s="950"/>
      <c r="H25" s="950"/>
      <c r="I25" s="950"/>
      <c r="J25" s="950"/>
      <c r="K25" s="950"/>
      <c r="L25" s="950"/>
      <c r="M25" s="950"/>
      <c r="N25" s="950"/>
      <c r="O25" s="950"/>
      <c r="P25" s="950"/>
      <c r="Q25" s="951"/>
      <c r="R25" s="689">
        <f>SUM(C25:Q25)</f>
        <v>501.43835000000001</v>
      </c>
      <c r="S25" s="67"/>
    </row>
    <row r="26" spans="1:19" s="448" customFormat="1" ht="15.75" thickBot="1">
      <c r="A26" s="694" t="s">
        <v>725</v>
      </c>
      <c r="B26" s="816"/>
      <c r="C26" s="811">
        <f>SUM(C24:C25)</f>
        <v>1874.180685</v>
      </c>
      <c r="D26" s="811">
        <f t="shared" ref="D26:R26" si="2">SUM(D24:D25)</f>
        <v>0</v>
      </c>
      <c r="E26" s="811">
        <f t="shared" si="2"/>
        <v>3491.6088821060002</v>
      </c>
      <c r="F26" s="811">
        <f t="shared" si="2"/>
        <v>53.65395275922225</v>
      </c>
      <c r="G26" s="811">
        <f t="shared" si="2"/>
        <v>6075.6493488506994</v>
      </c>
      <c r="H26" s="811">
        <f t="shared" si="2"/>
        <v>0</v>
      </c>
      <c r="I26" s="811">
        <f t="shared" si="2"/>
        <v>0</v>
      </c>
      <c r="J26" s="811">
        <f t="shared" si="2"/>
        <v>0</v>
      </c>
      <c r="K26" s="811">
        <f t="shared" si="2"/>
        <v>473.63640685952612</v>
      </c>
      <c r="L26" s="811">
        <f t="shared" si="2"/>
        <v>0</v>
      </c>
      <c r="M26" s="811">
        <f t="shared" si="2"/>
        <v>0</v>
      </c>
      <c r="N26" s="811">
        <f t="shared" si="2"/>
        <v>0</v>
      </c>
      <c r="O26" s="811">
        <f t="shared" si="2"/>
        <v>0</v>
      </c>
      <c r="P26" s="811">
        <f t="shared" si="2"/>
        <v>0</v>
      </c>
      <c r="Q26" s="811">
        <f t="shared" si="2"/>
        <v>0</v>
      </c>
      <c r="R26" s="811">
        <f t="shared" si="2"/>
        <v>11968.729275575448</v>
      </c>
      <c r="S26" s="67"/>
    </row>
    <row r="27" spans="1:19" s="448" customFormat="1" ht="17.25" thickTop="1" thickBot="1">
      <c r="A27" s="695" t="s">
        <v>115</v>
      </c>
      <c r="B27" s="803"/>
      <c r="C27" s="696">
        <f ca="1">C22+C16+C26</f>
        <v>65229.431501559928</v>
      </c>
      <c r="D27" s="696">
        <f t="shared" ref="D27:R27" ca="1" si="3">D22+D16+D26</f>
        <v>0</v>
      </c>
      <c r="E27" s="696">
        <f t="shared" ca="1" si="3"/>
        <v>31047.924138989827</v>
      </c>
      <c r="F27" s="696">
        <f t="shared" si="3"/>
        <v>16877.828102551142</v>
      </c>
      <c r="G27" s="696">
        <f t="shared" ca="1" si="3"/>
        <v>64401.692102218702</v>
      </c>
      <c r="H27" s="696">
        <f t="shared" si="3"/>
        <v>22651.318372616777</v>
      </c>
      <c r="I27" s="696">
        <f t="shared" si="3"/>
        <v>5802.4808577882304</v>
      </c>
      <c r="J27" s="696">
        <f t="shared" si="3"/>
        <v>0</v>
      </c>
      <c r="K27" s="696">
        <f t="shared" si="3"/>
        <v>636.62256110668386</v>
      </c>
      <c r="L27" s="696">
        <f t="shared" si="3"/>
        <v>0</v>
      </c>
      <c r="M27" s="696">
        <f t="shared" ca="1" si="3"/>
        <v>0</v>
      </c>
      <c r="N27" s="696">
        <f t="shared" si="3"/>
        <v>1689.047037011434</v>
      </c>
      <c r="O27" s="696">
        <f t="shared" ca="1" si="3"/>
        <v>17442.049537855164</v>
      </c>
      <c r="P27" s="696">
        <f t="shared" si="3"/>
        <v>214.26748769379944</v>
      </c>
      <c r="Q27" s="696">
        <f t="shared" si="3"/>
        <v>442.29563269084088</v>
      </c>
      <c r="R27" s="696">
        <f t="shared" ca="1" si="3"/>
        <v>226434.95733208253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1152.0600651153682</v>
      </c>
      <c r="D40" s="686">
        <f ca="1">tertiair!C20</f>
        <v>0</v>
      </c>
      <c r="E40" s="686">
        <f ca="1">tertiair!D20</f>
        <v>840.76742151600013</v>
      </c>
      <c r="F40" s="686">
        <f>tertiair!E20</f>
        <v>14.881058499428788</v>
      </c>
      <c r="G40" s="686">
        <f ca="1">tertiair!F20</f>
        <v>156.68078897695113</v>
      </c>
      <c r="H40" s="686">
        <f>tertiair!G20</f>
        <v>0</v>
      </c>
      <c r="I40" s="686">
        <f>tertiair!H20</f>
        <v>0</v>
      </c>
      <c r="J40" s="686">
        <f>tertiair!I20</f>
        <v>0</v>
      </c>
      <c r="K40" s="686">
        <f>tertiair!J20</f>
        <v>5.7572050564873847E-3</v>
      </c>
      <c r="L40" s="686">
        <f>tertiair!K20</f>
        <v>0</v>
      </c>
      <c r="M40" s="686">
        <f ca="1">tertiair!L20</f>
        <v>0</v>
      </c>
      <c r="N40" s="686">
        <f>tertiair!M20</f>
        <v>0</v>
      </c>
      <c r="O40" s="686">
        <f ca="1">tertiair!N20</f>
        <v>0</v>
      </c>
      <c r="P40" s="686">
        <f>tertiair!O20</f>
        <v>0</v>
      </c>
      <c r="Q40" s="769">
        <f>tertiair!P20</f>
        <v>0</v>
      </c>
      <c r="R40" s="849">
        <f t="shared" ca="1" si="4"/>
        <v>2164.3950913128047</v>
      </c>
    </row>
    <row r="41" spans="1:18">
      <c r="A41" s="821" t="s">
        <v>224</v>
      </c>
      <c r="B41" s="828"/>
      <c r="C41" s="686">
        <f ca="1">huishoudens!B12</f>
        <v>2657.340853664411</v>
      </c>
      <c r="D41" s="686">
        <f ca="1">huishoudens!C12</f>
        <v>0</v>
      </c>
      <c r="E41" s="686">
        <f>huishoudens!D12</f>
        <v>3694.6630280802001</v>
      </c>
      <c r="F41" s="686">
        <f>huishoudens!E12</f>
        <v>1151.1660712127839</v>
      </c>
      <c r="G41" s="686">
        <f>huishoudens!F12</f>
        <v>6101.5093461706438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13604.679299128038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9180.6291714740091</v>
      </c>
      <c r="D43" s="686">
        <f ca="1">industrie!C22</f>
        <v>0</v>
      </c>
      <c r="E43" s="686">
        <f>industrie!D22</f>
        <v>1018.3663052425721</v>
      </c>
      <c r="F43" s="686">
        <f>industrie!E22</f>
        <v>2641.1446856711314</v>
      </c>
      <c r="G43" s="686">
        <f>industrie!F22</f>
        <v>9314.863280001664</v>
      </c>
      <c r="H43" s="686">
        <f>industrie!G22</f>
        <v>0</v>
      </c>
      <c r="I43" s="686">
        <f>industrie!H22</f>
        <v>0</v>
      </c>
      <c r="J43" s="686">
        <f>industrie!I22</f>
        <v>0</v>
      </c>
      <c r="K43" s="686">
        <f>industrie!J22</f>
        <v>57.691341398437338</v>
      </c>
      <c r="L43" s="686">
        <f>industrie!K22</f>
        <v>0</v>
      </c>
      <c r="M43" s="686">
        <f>industrie!L22</f>
        <v>0</v>
      </c>
      <c r="N43" s="686">
        <f>industrie!M22</f>
        <v>0</v>
      </c>
      <c r="O43" s="686">
        <f>industrie!N22</f>
        <v>0</v>
      </c>
      <c r="P43" s="686">
        <f>industrie!O22</f>
        <v>0</v>
      </c>
      <c r="Q43" s="769">
        <f>industrie!P22</f>
        <v>0</v>
      </c>
      <c r="R43" s="848">
        <f t="shared" ca="1" si="4"/>
        <v>22212.694783787814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12990.030090253789</v>
      </c>
      <c r="D46" s="722">
        <f t="shared" ref="D46:Q46" ca="1" si="5">SUM(D39:D45)</f>
        <v>0</v>
      </c>
      <c r="E46" s="722">
        <f t="shared" ca="1" si="5"/>
        <v>5553.7967548387724</v>
      </c>
      <c r="F46" s="722">
        <f t="shared" si="5"/>
        <v>3807.191815383344</v>
      </c>
      <c r="G46" s="722">
        <f t="shared" ca="1" si="5"/>
        <v>15573.053415149259</v>
      </c>
      <c r="H46" s="722">
        <f t="shared" si="5"/>
        <v>0</v>
      </c>
      <c r="I46" s="722">
        <f t="shared" si="5"/>
        <v>0</v>
      </c>
      <c r="J46" s="722">
        <f t="shared" si="5"/>
        <v>0</v>
      </c>
      <c r="K46" s="722">
        <f t="shared" si="5"/>
        <v>57.697098603493828</v>
      </c>
      <c r="L46" s="722">
        <f t="shared" si="5"/>
        <v>0</v>
      </c>
      <c r="M46" s="722">
        <f t="shared" ca="1" si="5"/>
        <v>0</v>
      </c>
      <c r="N46" s="722">
        <f t="shared" si="5"/>
        <v>0</v>
      </c>
      <c r="O46" s="722">
        <f t="shared" ca="1" si="5"/>
        <v>0</v>
      </c>
      <c r="P46" s="722">
        <f t="shared" si="5"/>
        <v>0</v>
      </c>
      <c r="Q46" s="722">
        <f t="shared" si="5"/>
        <v>0</v>
      </c>
      <c r="R46" s="722">
        <f ca="1">SUM(R39:R45)</f>
        <v>37981.769174228655</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103.2385113892485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103.2385113892485</v>
      </c>
    </row>
    <row r="50" spans="1:18">
      <c r="A50" s="824" t="s">
        <v>306</v>
      </c>
      <c r="B50" s="834"/>
      <c r="C50" s="692">
        <f ca="1">transport!B18</f>
        <v>3.4445243520549575</v>
      </c>
      <c r="D50" s="692">
        <f>transport!C18</f>
        <v>0</v>
      </c>
      <c r="E50" s="692">
        <f>transport!D18</f>
        <v>12.578927051761116</v>
      </c>
      <c r="F50" s="692">
        <f>transport!E18</f>
        <v>11.895716619421416</v>
      </c>
      <c r="G50" s="692">
        <f>transport!F18</f>
        <v>0</v>
      </c>
      <c r="H50" s="692">
        <f>transport!G18</f>
        <v>5944.6634940994309</v>
      </c>
      <c r="I50" s="692">
        <f>transport!H18</f>
        <v>1444.8177335892694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7417.4003957119376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3.4445243520549575</v>
      </c>
      <c r="D52" s="722">
        <f t="shared" ref="D52:Q52" ca="1" si="6">SUM(D48:D51)</f>
        <v>0</v>
      </c>
      <c r="E52" s="722">
        <f t="shared" si="6"/>
        <v>12.578927051761116</v>
      </c>
      <c r="F52" s="722">
        <f t="shared" si="6"/>
        <v>11.895716619421416</v>
      </c>
      <c r="G52" s="722">
        <f t="shared" si="6"/>
        <v>0</v>
      </c>
      <c r="H52" s="722">
        <f t="shared" si="6"/>
        <v>6047.9020054886796</v>
      </c>
      <c r="I52" s="722">
        <f t="shared" si="6"/>
        <v>1444.8177335892694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7520.6389071011863</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352.57801654234737</v>
      </c>
      <c r="D54" s="692">
        <f ca="1">+landbouw!C12</f>
        <v>0</v>
      </c>
      <c r="E54" s="692">
        <f>+landbouw!D12</f>
        <v>635.33162858541209</v>
      </c>
      <c r="F54" s="692">
        <f>+landbouw!E12</f>
        <v>12.179447276343451</v>
      </c>
      <c r="G54" s="692">
        <f>+landbouw!F12</f>
        <v>1622.1983761431368</v>
      </c>
      <c r="H54" s="692">
        <f>+landbouw!G12</f>
        <v>0</v>
      </c>
      <c r="I54" s="692">
        <f>+landbouw!H12</f>
        <v>0</v>
      </c>
      <c r="J54" s="692">
        <f>+landbouw!I12</f>
        <v>0</v>
      </c>
      <c r="K54" s="692">
        <f>+landbouw!J12</f>
        <v>167.66728802827222</v>
      </c>
      <c r="L54" s="692">
        <f>+landbouw!K12</f>
        <v>0</v>
      </c>
      <c r="M54" s="692">
        <f>+landbouw!L12</f>
        <v>0</v>
      </c>
      <c r="N54" s="692">
        <f>+landbouw!M12</f>
        <v>0</v>
      </c>
      <c r="O54" s="692">
        <f>+landbouw!N12</f>
        <v>0</v>
      </c>
      <c r="P54" s="692">
        <f>+landbouw!O12</f>
        <v>0</v>
      </c>
      <c r="Q54" s="693">
        <f>+landbouw!P12</f>
        <v>0</v>
      </c>
      <c r="R54" s="721">
        <f ca="1">SUM(C54:Q54)</f>
        <v>2789.954756575512</v>
      </c>
    </row>
    <row r="55" spans="1:18" ht="15" thickBot="1">
      <c r="A55" s="824" t="s">
        <v>724</v>
      </c>
      <c r="B55" s="834"/>
      <c r="C55" s="692">
        <f ca="1">C25*'EF ele_warmte'!B12</f>
        <v>31.796109356730913</v>
      </c>
      <c r="D55" s="692"/>
      <c r="E55" s="692">
        <f>E25*EF_CO2_aardgas</f>
        <v>69.973365600000008</v>
      </c>
      <c r="F55" s="692"/>
      <c r="G55" s="692"/>
      <c r="H55" s="692"/>
      <c r="I55" s="692"/>
      <c r="J55" s="692"/>
      <c r="K55" s="692"/>
      <c r="L55" s="692"/>
      <c r="M55" s="692"/>
      <c r="N55" s="692"/>
      <c r="O55" s="692"/>
      <c r="P55" s="692"/>
      <c r="Q55" s="693"/>
      <c r="R55" s="721">
        <f ca="1">SUM(C55:Q55)</f>
        <v>101.76947495673092</v>
      </c>
    </row>
    <row r="56" spans="1:18" ht="15.75" thickBot="1">
      <c r="A56" s="822" t="s">
        <v>725</v>
      </c>
      <c r="B56" s="835"/>
      <c r="C56" s="722">
        <f ca="1">SUM(C54:C55)</f>
        <v>384.37412589907831</v>
      </c>
      <c r="D56" s="722">
        <f t="shared" ref="D56:Q56" ca="1" si="7">SUM(D54:D55)</f>
        <v>0</v>
      </c>
      <c r="E56" s="722">
        <f t="shared" si="7"/>
        <v>705.30499418541206</v>
      </c>
      <c r="F56" s="722">
        <f t="shared" si="7"/>
        <v>12.179447276343451</v>
      </c>
      <c r="G56" s="722">
        <f t="shared" si="7"/>
        <v>1622.1983761431368</v>
      </c>
      <c r="H56" s="722">
        <f t="shared" si="7"/>
        <v>0</v>
      </c>
      <c r="I56" s="722">
        <f t="shared" si="7"/>
        <v>0</v>
      </c>
      <c r="J56" s="722">
        <f t="shared" si="7"/>
        <v>0</v>
      </c>
      <c r="K56" s="722">
        <f t="shared" si="7"/>
        <v>167.66728802827222</v>
      </c>
      <c r="L56" s="722">
        <f t="shared" si="7"/>
        <v>0</v>
      </c>
      <c r="M56" s="722">
        <f t="shared" si="7"/>
        <v>0</v>
      </c>
      <c r="N56" s="722">
        <f t="shared" si="7"/>
        <v>0</v>
      </c>
      <c r="O56" s="722">
        <f t="shared" si="7"/>
        <v>0</v>
      </c>
      <c r="P56" s="722">
        <f t="shared" si="7"/>
        <v>0</v>
      </c>
      <c r="Q56" s="723">
        <f t="shared" si="7"/>
        <v>0</v>
      </c>
      <c r="R56" s="724">
        <f ca="1">SUM(R54:R55)</f>
        <v>2891.7242315322428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13377.848740504922</v>
      </c>
      <c r="D61" s="730">
        <f t="shared" ref="D61:Q61" ca="1" si="8">D46+D52+D56</f>
        <v>0</v>
      </c>
      <c r="E61" s="730">
        <f t="shared" ca="1" si="8"/>
        <v>6271.6806760759455</v>
      </c>
      <c r="F61" s="730">
        <f t="shared" si="8"/>
        <v>3831.2669792791089</v>
      </c>
      <c r="G61" s="730">
        <f t="shared" ca="1" si="8"/>
        <v>17195.251791292398</v>
      </c>
      <c r="H61" s="730">
        <f t="shared" si="8"/>
        <v>6047.9020054886796</v>
      </c>
      <c r="I61" s="730">
        <f t="shared" si="8"/>
        <v>1444.8177335892694</v>
      </c>
      <c r="J61" s="730">
        <f t="shared" si="8"/>
        <v>0</v>
      </c>
      <c r="K61" s="730">
        <f t="shared" si="8"/>
        <v>225.36438663176605</v>
      </c>
      <c r="L61" s="730">
        <f t="shared" si="8"/>
        <v>0</v>
      </c>
      <c r="M61" s="730">
        <f t="shared" ca="1" si="8"/>
        <v>0</v>
      </c>
      <c r="N61" s="730">
        <f t="shared" si="8"/>
        <v>0</v>
      </c>
      <c r="O61" s="730">
        <f t="shared" ca="1" si="8"/>
        <v>0</v>
      </c>
      <c r="P61" s="730">
        <f t="shared" si="8"/>
        <v>0</v>
      </c>
      <c r="Q61" s="730">
        <f t="shared" si="8"/>
        <v>0</v>
      </c>
      <c r="R61" s="730">
        <f ca="1">R46+R52+R56</f>
        <v>48394.132312862086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0.20508915120906729</v>
      </c>
      <c r="D63" s="776">
        <f t="shared" ca="1" si="9"/>
        <v>0</v>
      </c>
      <c r="E63" s="975">
        <f t="shared" ca="1" si="9"/>
        <v>0.20200000000000001</v>
      </c>
      <c r="F63" s="776">
        <f t="shared" si="9"/>
        <v>0.22699999999999998</v>
      </c>
      <c r="G63" s="776">
        <f t="shared" ca="1" si="9"/>
        <v>0.26700000000000007</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4696.1792820806431</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4696.1792820806431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4696.1792820806431</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4696.1792820806431</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12957.003517731298</v>
      </c>
      <c r="C4" s="452">
        <f>huishoudens!C8</f>
        <v>0</v>
      </c>
      <c r="D4" s="452">
        <f>huishoudens!D8</f>
        <v>18290.4110301</v>
      </c>
      <c r="E4" s="452">
        <f>huishoudens!E8</f>
        <v>5071.2161727435414</v>
      </c>
      <c r="F4" s="452">
        <f>huishoudens!F8</f>
        <v>22852.094929478066</v>
      </c>
      <c r="G4" s="452">
        <f>huishoudens!G8</f>
        <v>0</v>
      </c>
      <c r="H4" s="452">
        <f>huishoudens!H8</f>
        <v>0</v>
      </c>
      <c r="I4" s="452">
        <f>huishoudens!I8</f>
        <v>0</v>
      </c>
      <c r="J4" s="452">
        <f>huishoudens!J8</f>
        <v>0</v>
      </c>
      <c r="K4" s="452">
        <f>huishoudens!K8</f>
        <v>0</v>
      </c>
      <c r="L4" s="452">
        <f>huishoudens!L8</f>
        <v>0</v>
      </c>
      <c r="M4" s="452">
        <f>huishoudens!M8</f>
        <v>0</v>
      </c>
      <c r="N4" s="452">
        <f>huishoudens!N8</f>
        <v>13709.351741855098</v>
      </c>
      <c r="O4" s="452">
        <f>huishoudens!O8</f>
        <v>214.26748769379944</v>
      </c>
      <c r="P4" s="453">
        <f>huishoudens!P8</f>
        <v>389.75649438434584</v>
      </c>
      <c r="Q4" s="454">
        <f>SUM(B4:P4)</f>
        <v>73484.101373986152</v>
      </c>
    </row>
    <row r="5" spans="1:17">
      <c r="A5" s="451" t="s">
        <v>155</v>
      </c>
      <c r="B5" s="452">
        <f ca="1">tertiair!B16</f>
        <v>5026.8212949999997</v>
      </c>
      <c r="C5" s="452">
        <f ca="1">tertiair!C16</f>
        <v>0</v>
      </c>
      <c r="D5" s="452">
        <f ca="1">tertiair!D16</f>
        <v>4162.2149580000005</v>
      </c>
      <c r="E5" s="452">
        <f>tertiair!E16</f>
        <v>65.555323786029902</v>
      </c>
      <c r="F5" s="452">
        <f ca="1">tertiair!F16</f>
        <v>586.81943437060352</v>
      </c>
      <c r="G5" s="452">
        <f>tertiair!G16</f>
        <v>0</v>
      </c>
      <c r="H5" s="452">
        <f>tertiair!H16</f>
        <v>0</v>
      </c>
      <c r="I5" s="452">
        <f>tertiair!I16</f>
        <v>0</v>
      </c>
      <c r="J5" s="452">
        <f>tertiair!J16</f>
        <v>1.626329112002086E-2</v>
      </c>
      <c r="K5" s="452">
        <f>tertiair!K16</f>
        <v>0</v>
      </c>
      <c r="L5" s="452">
        <f ca="1">tertiair!L16</f>
        <v>0</v>
      </c>
      <c r="M5" s="452">
        <f>tertiair!M16</f>
        <v>0</v>
      </c>
      <c r="N5" s="452">
        <f ca="1">tertiair!N16</f>
        <v>638.17261325574975</v>
      </c>
      <c r="O5" s="452">
        <f>tertiair!O16</f>
        <v>0</v>
      </c>
      <c r="P5" s="453">
        <f>tertiair!P16</f>
        <v>52.539138306495019</v>
      </c>
      <c r="Q5" s="451">
        <f t="shared" ref="Q5:Q14" ca="1" si="0">SUM(B5:P5)</f>
        <v>10532.139026009998</v>
      </c>
    </row>
    <row r="6" spans="1:17">
      <c r="A6" s="451" t="s">
        <v>193</v>
      </c>
      <c r="B6" s="452">
        <f>'openbare verlichting'!B8</f>
        <v>590.54100000000005</v>
      </c>
      <c r="C6" s="452"/>
      <c r="D6" s="452"/>
      <c r="E6" s="452"/>
      <c r="F6" s="452"/>
      <c r="G6" s="452"/>
      <c r="H6" s="452"/>
      <c r="I6" s="452"/>
      <c r="J6" s="452"/>
      <c r="K6" s="452"/>
      <c r="L6" s="452"/>
      <c r="M6" s="452"/>
      <c r="N6" s="452"/>
      <c r="O6" s="452"/>
      <c r="P6" s="453"/>
      <c r="Q6" s="451">
        <f t="shared" si="0"/>
        <v>590.54100000000005</v>
      </c>
    </row>
    <row r="7" spans="1:17">
      <c r="A7" s="451" t="s">
        <v>111</v>
      </c>
      <c r="B7" s="452">
        <f>landbouw!B8</f>
        <v>1719.145135</v>
      </c>
      <c r="C7" s="452">
        <f>landbouw!C8</f>
        <v>0</v>
      </c>
      <c r="D7" s="452">
        <f>landbouw!D8</f>
        <v>3145.2060821060004</v>
      </c>
      <c r="E7" s="452">
        <f>landbouw!E8</f>
        <v>53.65395275922225</v>
      </c>
      <c r="F7" s="452">
        <f>landbouw!F8</f>
        <v>6075.6493488506994</v>
      </c>
      <c r="G7" s="452">
        <f>landbouw!G8</f>
        <v>0</v>
      </c>
      <c r="H7" s="452">
        <f>landbouw!H8</f>
        <v>0</v>
      </c>
      <c r="I7" s="452">
        <f>landbouw!I8</f>
        <v>0</v>
      </c>
      <c r="J7" s="452">
        <f>landbouw!J8</f>
        <v>473.63640685952612</v>
      </c>
      <c r="K7" s="452">
        <f>landbouw!K8</f>
        <v>0</v>
      </c>
      <c r="L7" s="452">
        <f>landbouw!L8</f>
        <v>0</v>
      </c>
      <c r="M7" s="452">
        <f>landbouw!M8</f>
        <v>0</v>
      </c>
      <c r="N7" s="452">
        <f>landbouw!N8</f>
        <v>0</v>
      </c>
      <c r="O7" s="452">
        <f>landbouw!O8</f>
        <v>0</v>
      </c>
      <c r="P7" s="453">
        <f>landbouw!P8</f>
        <v>0</v>
      </c>
      <c r="Q7" s="451">
        <f t="shared" si="0"/>
        <v>11467.290925575448</v>
      </c>
    </row>
    <row r="8" spans="1:17">
      <c r="A8" s="451" t="s">
        <v>625</v>
      </c>
      <c r="B8" s="452">
        <f>industrie!B18</f>
        <v>44764.089749999999</v>
      </c>
      <c r="C8" s="452">
        <f>industrie!C18</f>
        <v>0</v>
      </c>
      <c r="D8" s="452">
        <f>industrie!D18</f>
        <v>5041.4173526860004</v>
      </c>
      <c r="E8" s="452">
        <f>industrie!E18</f>
        <v>11634.998615291328</v>
      </c>
      <c r="F8" s="452">
        <f>industrie!F18</f>
        <v>34887.128389519341</v>
      </c>
      <c r="G8" s="452">
        <f>industrie!G18</f>
        <v>0</v>
      </c>
      <c r="H8" s="452">
        <f>industrie!H18</f>
        <v>0</v>
      </c>
      <c r="I8" s="452">
        <f>industrie!I18</f>
        <v>0</v>
      </c>
      <c r="J8" s="452">
        <f>industrie!J18</f>
        <v>162.96989095603769</v>
      </c>
      <c r="K8" s="452">
        <f>industrie!K18</f>
        <v>0</v>
      </c>
      <c r="L8" s="452">
        <f>industrie!L18</f>
        <v>0</v>
      </c>
      <c r="M8" s="452">
        <f>industrie!M18</f>
        <v>0</v>
      </c>
      <c r="N8" s="452">
        <f>industrie!N18</f>
        <v>3094.5251827443149</v>
      </c>
      <c r="O8" s="452">
        <f>industrie!O18</f>
        <v>0</v>
      </c>
      <c r="P8" s="453">
        <f>industrie!P18</f>
        <v>0</v>
      </c>
      <c r="Q8" s="451">
        <f t="shared" si="0"/>
        <v>99585.12918119703</v>
      </c>
    </row>
    <row r="9" spans="1:17" s="457" customFormat="1">
      <c r="A9" s="455" t="s">
        <v>551</v>
      </c>
      <c r="B9" s="456">
        <f>transport!B14</f>
        <v>16.795253828631918</v>
      </c>
      <c r="C9" s="456">
        <f>transport!C14</f>
        <v>0</v>
      </c>
      <c r="D9" s="456">
        <f>transport!D14</f>
        <v>62.271916097827308</v>
      </c>
      <c r="E9" s="456">
        <f>transport!E14</f>
        <v>52.404037971019449</v>
      </c>
      <c r="F9" s="456">
        <f>transport!F14</f>
        <v>0</v>
      </c>
      <c r="G9" s="456">
        <f>transport!G14</f>
        <v>22264.657281271277</v>
      </c>
      <c r="H9" s="456">
        <f>transport!H14</f>
        <v>5802.4808577882304</v>
      </c>
      <c r="I9" s="456">
        <f>transport!I14</f>
        <v>0</v>
      </c>
      <c r="J9" s="456">
        <f>transport!J14</f>
        <v>0</v>
      </c>
      <c r="K9" s="456">
        <f>transport!K14</f>
        <v>0</v>
      </c>
      <c r="L9" s="456">
        <f>transport!L14</f>
        <v>0</v>
      </c>
      <c r="M9" s="456">
        <f>transport!M14</f>
        <v>1667.5597518914474</v>
      </c>
      <c r="N9" s="456">
        <f>transport!N14</f>
        <v>0</v>
      </c>
      <c r="O9" s="456">
        <f>transport!O14</f>
        <v>0</v>
      </c>
      <c r="P9" s="456">
        <f>transport!P14</f>
        <v>0</v>
      </c>
      <c r="Q9" s="455">
        <f>SUM(B9:P9)</f>
        <v>29866.16909884843</v>
      </c>
    </row>
    <row r="10" spans="1:17">
      <c r="A10" s="451" t="s">
        <v>541</v>
      </c>
      <c r="B10" s="452">
        <f>transport!B54</f>
        <v>0</v>
      </c>
      <c r="C10" s="452">
        <f>transport!C54</f>
        <v>0</v>
      </c>
      <c r="D10" s="452">
        <f>transport!D54</f>
        <v>0</v>
      </c>
      <c r="E10" s="452">
        <f>transport!E54</f>
        <v>0</v>
      </c>
      <c r="F10" s="452">
        <f>transport!F54</f>
        <v>0</v>
      </c>
      <c r="G10" s="452">
        <f>transport!G54</f>
        <v>386.66109134549998</v>
      </c>
      <c r="H10" s="452">
        <f>transport!H54</f>
        <v>0</v>
      </c>
      <c r="I10" s="452">
        <f>transport!I54</f>
        <v>0</v>
      </c>
      <c r="J10" s="452">
        <f>transport!J54</f>
        <v>0</v>
      </c>
      <c r="K10" s="452">
        <f>transport!K54</f>
        <v>0</v>
      </c>
      <c r="L10" s="452">
        <f>transport!L54</f>
        <v>0</v>
      </c>
      <c r="M10" s="452">
        <f>transport!M54</f>
        <v>21.487285119986666</v>
      </c>
      <c r="N10" s="452">
        <f>transport!N54</f>
        <v>0</v>
      </c>
      <c r="O10" s="452">
        <f>transport!O54</f>
        <v>0</v>
      </c>
      <c r="P10" s="453">
        <f>transport!P54</f>
        <v>0</v>
      </c>
      <c r="Q10" s="451">
        <f t="shared" si="0"/>
        <v>408.14837646548665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155.03555</v>
      </c>
      <c r="C14" s="459"/>
      <c r="D14" s="459">
        <f>'SEAP template'!E25</f>
        <v>346.40280000000001</v>
      </c>
      <c r="E14" s="459"/>
      <c r="F14" s="459"/>
      <c r="G14" s="459"/>
      <c r="H14" s="459"/>
      <c r="I14" s="459"/>
      <c r="J14" s="459"/>
      <c r="K14" s="459"/>
      <c r="L14" s="459"/>
      <c r="M14" s="459"/>
      <c r="N14" s="459"/>
      <c r="O14" s="459"/>
      <c r="P14" s="460"/>
      <c r="Q14" s="451">
        <f t="shared" si="0"/>
        <v>501.43835000000001</v>
      </c>
    </row>
    <row r="15" spans="1:17" s="463" customFormat="1">
      <c r="A15" s="461" t="s">
        <v>545</v>
      </c>
      <c r="B15" s="462">
        <f ca="1">SUM(B4:B14)</f>
        <v>65229.431501559928</v>
      </c>
      <c r="C15" s="462">
        <f t="shared" ref="C15:Q15" ca="1" si="1">SUM(C4:C14)</f>
        <v>0</v>
      </c>
      <c r="D15" s="462">
        <f t="shared" ca="1" si="1"/>
        <v>31047.924138989827</v>
      </c>
      <c r="E15" s="462">
        <f t="shared" si="1"/>
        <v>16877.828102551142</v>
      </c>
      <c r="F15" s="462">
        <f t="shared" ca="1" si="1"/>
        <v>64401.692102218709</v>
      </c>
      <c r="G15" s="462">
        <f t="shared" si="1"/>
        <v>22651.318372616777</v>
      </c>
      <c r="H15" s="462">
        <f t="shared" si="1"/>
        <v>5802.4808577882304</v>
      </c>
      <c r="I15" s="462">
        <f t="shared" si="1"/>
        <v>0</v>
      </c>
      <c r="J15" s="462">
        <f t="shared" si="1"/>
        <v>636.62256110668386</v>
      </c>
      <c r="K15" s="462">
        <f t="shared" si="1"/>
        <v>0</v>
      </c>
      <c r="L15" s="462">
        <f t="shared" ca="1" si="1"/>
        <v>0</v>
      </c>
      <c r="M15" s="462">
        <f t="shared" si="1"/>
        <v>1689.047037011434</v>
      </c>
      <c r="N15" s="462">
        <f t="shared" ca="1" si="1"/>
        <v>17442.049537855164</v>
      </c>
      <c r="O15" s="462">
        <f t="shared" si="1"/>
        <v>214.26748769379944</v>
      </c>
      <c r="P15" s="462">
        <f t="shared" si="1"/>
        <v>442.29563269084088</v>
      </c>
      <c r="Q15" s="462">
        <f t="shared" ca="1" si="1"/>
        <v>226434.95733208256</v>
      </c>
    </row>
    <row r="17" spans="1:17">
      <c r="A17" s="464" t="s">
        <v>546</v>
      </c>
      <c r="B17" s="781">
        <f ca="1">huishoudens!B10</f>
        <v>0.20508915120906729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2657.340853664411</v>
      </c>
      <c r="C22" s="452">
        <f t="shared" ref="C22:C32" ca="1" si="3">C4*$C$17</f>
        <v>0</v>
      </c>
      <c r="D22" s="452">
        <f t="shared" ref="D22:D32" si="4">D4*$D$17</f>
        <v>3694.6630280802001</v>
      </c>
      <c r="E22" s="452">
        <f t="shared" ref="E22:E32" si="5">E4*$E$17</f>
        <v>1151.1660712127839</v>
      </c>
      <c r="F22" s="452">
        <f t="shared" ref="F22:F32" si="6">F4*$F$17</f>
        <v>6101.5093461706438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13604.679299128038</v>
      </c>
    </row>
    <row r="23" spans="1:17">
      <c r="A23" s="451" t="s">
        <v>155</v>
      </c>
      <c r="B23" s="452">
        <f t="shared" ca="1" si="2"/>
        <v>1030.9465126712144</v>
      </c>
      <c r="C23" s="452">
        <f t="shared" ca="1" si="3"/>
        <v>0</v>
      </c>
      <c r="D23" s="452">
        <f t="shared" ca="1" si="4"/>
        <v>840.76742151600013</v>
      </c>
      <c r="E23" s="452">
        <f t="shared" si="5"/>
        <v>14.881058499428788</v>
      </c>
      <c r="F23" s="452">
        <f t="shared" ca="1" si="6"/>
        <v>156.68078897695113</v>
      </c>
      <c r="G23" s="452">
        <f t="shared" si="7"/>
        <v>0</v>
      </c>
      <c r="H23" s="452">
        <f t="shared" si="8"/>
        <v>0</v>
      </c>
      <c r="I23" s="452">
        <f t="shared" si="9"/>
        <v>0</v>
      </c>
      <c r="J23" s="452">
        <f t="shared" si="10"/>
        <v>5.7572050564873847E-3</v>
      </c>
      <c r="K23" s="452">
        <f t="shared" si="11"/>
        <v>0</v>
      </c>
      <c r="L23" s="452">
        <f t="shared" ca="1" si="12"/>
        <v>0</v>
      </c>
      <c r="M23" s="452">
        <f t="shared" si="13"/>
        <v>0</v>
      </c>
      <c r="N23" s="452">
        <f t="shared" ca="1" si="14"/>
        <v>0</v>
      </c>
      <c r="O23" s="452">
        <f t="shared" si="15"/>
        <v>0</v>
      </c>
      <c r="P23" s="453">
        <f t="shared" si="16"/>
        <v>0</v>
      </c>
      <c r="Q23" s="451">
        <f t="shared" ref="Q23:Q31" ca="1" si="17">SUM(B23:P23)</f>
        <v>2043.2815388686506</v>
      </c>
    </row>
    <row r="24" spans="1:17">
      <c r="A24" s="451" t="s">
        <v>193</v>
      </c>
      <c r="B24" s="452">
        <f t="shared" ca="1" si="2"/>
        <v>121.11355244415381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121.11355244415381</v>
      </c>
    </row>
    <row r="25" spans="1:17">
      <c r="A25" s="451" t="s">
        <v>111</v>
      </c>
      <c r="B25" s="452">
        <f t="shared" ca="1" si="2"/>
        <v>352.57801654234737</v>
      </c>
      <c r="C25" s="452">
        <f t="shared" ca="1" si="3"/>
        <v>0</v>
      </c>
      <c r="D25" s="452">
        <f t="shared" si="4"/>
        <v>635.33162858541209</v>
      </c>
      <c r="E25" s="452">
        <f t="shared" si="5"/>
        <v>12.179447276343451</v>
      </c>
      <c r="F25" s="452">
        <f t="shared" si="6"/>
        <v>1622.1983761431368</v>
      </c>
      <c r="G25" s="452">
        <f t="shared" si="7"/>
        <v>0</v>
      </c>
      <c r="H25" s="452">
        <f t="shared" si="8"/>
        <v>0</v>
      </c>
      <c r="I25" s="452">
        <f t="shared" si="9"/>
        <v>0</v>
      </c>
      <c r="J25" s="452">
        <f t="shared" si="10"/>
        <v>167.66728802827222</v>
      </c>
      <c r="K25" s="452">
        <f t="shared" si="11"/>
        <v>0</v>
      </c>
      <c r="L25" s="452">
        <f t="shared" si="12"/>
        <v>0</v>
      </c>
      <c r="M25" s="452">
        <f t="shared" si="13"/>
        <v>0</v>
      </c>
      <c r="N25" s="452">
        <f t="shared" si="14"/>
        <v>0</v>
      </c>
      <c r="O25" s="452">
        <f t="shared" si="15"/>
        <v>0</v>
      </c>
      <c r="P25" s="453">
        <f t="shared" si="16"/>
        <v>0</v>
      </c>
      <c r="Q25" s="451">
        <f t="shared" ca="1" si="17"/>
        <v>2789.954756575512</v>
      </c>
    </row>
    <row r="26" spans="1:17">
      <c r="A26" s="451" t="s">
        <v>625</v>
      </c>
      <c r="B26" s="452">
        <f t="shared" ca="1" si="2"/>
        <v>9180.6291714740091</v>
      </c>
      <c r="C26" s="452">
        <f t="shared" ca="1" si="3"/>
        <v>0</v>
      </c>
      <c r="D26" s="452">
        <f t="shared" si="4"/>
        <v>1018.3663052425721</v>
      </c>
      <c r="E26" s="452">
        <f t="shared" si="5"/>
        <v>2641.1446856711314</v>
      </c>
      <c r="F26" s="452">
        <f t="shared" si="6"/>
        <v>9314.863280001664</v>
      </c>
      <c r="G26" s="452">
        <f t="shared" si="7"/>
        <v>0</v>
      </c>
      <c r="H26" s="452">
        <f t="shared" si="8"/>
        <v>0</v>
      </c>
      <c r="I26" s="452">
        <f t="shared" si="9"/>
        <v>0</v>
      </c>
      <c r="J26" s="452">
        <f t="shared" si="10"/>
        <v>57.691341398437338</v>
      </c>
      <c r="K26" s="452">
        <f t="shared" si="11"/>
        <v>0</v>
      </c>
      <c r="L26" s="452">
        <f t="shared" si="12"/>
        <v>0</v>
      </c>
      <c r="M26" s="452">
        <f t="shared" si="13"/>
        <v>0</v>
      </c>
      <c r="N26" s="452">
        <f t="shared" si="14"/>
        <v>0</v>
      </c>
      <c r="O26" s="452">
        <f t="shared" si="15"/>
        <v>0</v>
      </c>
      <c r="P26" s="453">
        <f t="shared" si="16"/>
        <v>0</v>
      </c>
      <c r="Q26" s="451">
        <f t="shared" ca="1" si="17"/>
        <v>22212.694783787814</v>
      </c>
    </row>
    <row r="27" spans="1:17" s="457" customFormat="1">
      <c r="A27" s="455" t="s">
        <v>551</v>
      </c>
      <c r="B27" s="775">
        <f t="shared" ca="1" si="2"/>
        <v>3.4445243520549575</v>
      </c>
      <c r="C27" s="456">
        <f t="shared" ca="1" si="3"/>
        <v>0</v>
      </c>
      <c r="D27" s="456">
        <f t="shared" si="4"/>
        <v>12.578927051761116</v>
      </c>
      <c r="E27" s="456">
        <f t="shared" si="5"/>
        <v>11.895716619421416</v>
      </c>
      <c r="F27" s="456">
        <f t="shared" si="6"/>
        <v>0</v>
      </c>
      <c r="G27" s="456">
        <f t="shared" si="7"/>
        <v>5944.6634940994309</v>
      </c>
      <c r="H27" s="456">
        <f t="shared" si="8"/>
        <v>1444.8177335892694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7417.4003957119376</v>
      </c>
    </row>
    <row r="28" spans="1:17" ht="16.5" customHeight="1">
      <c r="A28" s="451" t="s">
        <v>541</v>
      </c>
      <c r="B28" s="452">
        <f t="shared" ca="1" si="2"/>
        <v>0</v>
      </c>
      <c r="C28" s="452">
        <f t="shared" ca="1" si="3"/>
        <v>0</v>
      </c>
      <c r="D28" s="452">
        <f t="shared" si="4"/>
        <v>0</v>
      </c>
      <c r="E28" s="452">
        <f t="shared" si="5"/>
        <v>0</v>
      </c>
      <c r="F28" s="452">
        <f t="shared" si="6"/>
        <v>0</v>
      </c>
      <c r="G28" s="452">
        <f t="shared" si="7"/>
        <v>103.2385113892485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103.2385113892485</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31.796109356730913</v>
      </c>
      <c r="C32" s="452">
        <f t="shared" ca="1" si="3"/>
        <v>0</v>
      </c>
      <c r="D32" s="452">
        <f t="shared" si="4"/>
        <v>69.973365600000008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101.76947495673092</v>
      </c>
    </row>
    <row r="33" spans="1:17" s="463" customFormat="1">
      <c r="A33" s="461" t="s">
        <v>545</v>
      </c>
      <c r="B33" s="462">
        <f ca="1">SUM(B22:B32)</f>
        <v>13377.84874050492</v>
      </c>
      <c r="C33" s="462">
        <f t="shared" ref="C33:Q33" ca="1" si="19">SUM(C22:C32)</f>
        <v>0</v>
      </c>
      <c r="D33" s="462">
        <f t="shared" ca="1" si="19"/>
        <v>6271.6806760759455</v>
      </c>
      <c r="E33" s="462">
        <f t="shared" si="19"/>
        <v>3831.2669792791085</v>
      </c>
      <c r="F33" s="462">
        <f t="shared" ca="1" si="19"/>
        <v>17195.251791292394</v>
      </c>
      <c r="G33" s="462">
        <f t="shared" si="19"/>
        <v>6047.9020054886796</v>
      </c>
      <c r="H33" s="462">
        <f t="shared" si="19"/>
        <v>1444.8177335892694</v>
      </c>
      <c r="I33" s="462">
        <f t="shared" si="19"/>
        <v>0</v>
      </c>
      <c r="J33" s="462">
        <f t="shared" si="19"/>
        <v>225.36438663176605</v>
      </c>
      <c r="K33" s="462">
        <f t="shared" si="19"/>
        <v>0</v>
      </c>
      <c r="L33" s="462">
        <f t="shared" ca="1" si="19"/>
        <v>0</v>
      </c>
      <c r="M33" s="462">
        <f t="shared" si="19"/>
        <v>0</v>
      </c>
      <c r="N33" s="462">
        <f t="shared" ca="1" si="19"/>
        <v>0</v>
      </c>
      <c r="O33" s="462">
        <f t="shared" si="19"/>
        <v>0</v>
      </c>
      <c r="P33" s="462">
        <f t="shared" si="19"/>
        <v>0</v>
      </c>
      <c r="Q33" s="462">
        <f t="shared" ca="1" si="19"/>
        <v>48394.132312862079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4696.1792820806431</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4696.1792820806431</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0.20508915120906729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0.20508915120906729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2020-06-20T15:38:17Z</dcterms:modified>
</cp:coreProperties>
</file>