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B15" i="48"/>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<sst xmlns="http://schemas.openxmlformats.org/spreadsheetml/2006/main" count="2402" uniqueCount="888">
  <si>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</si>
  <si>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</si>
  <si>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</si>
  <si>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</si>
  <si>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</si>
  <si>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</si>
  <si>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</si>
  <si>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</si>
  <si>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</si>
  <si>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</si>
  <si>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</si>
  <si>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</si>
  <si>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</si>
  <si>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</si>
  <si>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</si>
  <si>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</si>
  <si>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</si>
  <si>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</si>
  <si>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</si>
  <si>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</si>
  <si>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</si>
  <si>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</si>
  <si>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</si>
  <si>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</si>
  <si>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</si>
  <si>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</si>
  <si>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</si>
  <si>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</si>
  <si>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</si>
  <si>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</si>
  <si>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</si>
  <si>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</si>
  <si>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</si>
  <si>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</si>
  <si>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</si>
  <si>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</si>
  <si>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</si>
  <si>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</si>
  <si>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</si>
  <si>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</si>
  <si>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</si>
  <si>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</si>
  <si>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</si>
  <si>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</si>
  <si>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</si>
  <si>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</si>
  <si>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</si>
  <si>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</si>
  <si>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</si>
  <si>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</si>
  <si>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</si>
  <si>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</si>
  <si>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</si>
  <si>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</si>
  <si>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</si>
  <si>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</si>
  <si>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</si>
  <si>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</si>
  <si>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</si>
  <si>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</si>
  <si>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</si>
  <si>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</si>
  <si>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</si>
  <si>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</si>
  <si>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</si>
  <si>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</si>
  <si>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</si>
  <si>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</si>
  <si>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</si>
  <si>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</si>
  <si>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</si>
  <si>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</si>
  <si>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</si>
  <si>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</si>
  <si>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</si>
  <si>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</si>
  <si>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</si>
  <si>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</si>
  <si>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</si>
  <si>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</si>
  <si>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</si>
  <si>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</si>
  <si>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</si>
  <si>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</si>
  <si>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</si>
  <si>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</si>
  <si>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</si>
  <si>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</si>
  <si>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</si>
  <si>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</si>
  <si>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</si>
  <si>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</si>
  <si>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</si>
  <si>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</si>
  <si>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</si>
  <si>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</si>
  <si>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</si>
  <si>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</si>
  <si>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</si>
  <si>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</si>
  <si>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</si>
  <si>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</si>
  <si>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</si>
  <si>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</si>
  <si>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</si>
  <si>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</si>
  <si>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</si>
  <si>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</si>
  <si>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</si>
  <si>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</si>
  <si>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</si>
  <si>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</si>
  <si>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</si>
  <si>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</si>
  <si>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</si>
  <si>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</si>
  <si>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</si>
  <si>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</si>
  <si>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</si>
  <si>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</si>
  <si>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</si>
  <si>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</si>
  <si>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</si>
  <si>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</si>
  <si>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</si>
  <si>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</si>
  <si>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</si>
  <si>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</si>
  <si>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</si>
  <si>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</si>
  <si>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</si>
  <si>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</si>
  <si>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</si>
  <si>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</si>
  <si>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</si>
  <si>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</si>
  <si>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</si>
  <si>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</si>
  <si>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</si>
  <si>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</si>
  <si>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</si>
  <si>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</si>
  <si>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</si>
  <si>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</si>
  <si>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</si>
  <si>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</si>
  <si>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</si>
  <si>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</si>
  <si>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</si>
  <si>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</si>
  <si>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</si>
  <si>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</si>
  <si>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</si>
  <si>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</si>
  <si>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</si>
  <si>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</si>
  <si>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</si>
  <si>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</si>
  <si>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</si>
  <si>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</si>
  <si>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</si>
  <si>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</si>
  <si>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</si>
  <si>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</si>
  <si>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</si>
  <si>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</si>
  <si>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</si>
  <si>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</si>
  <si>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</si>
  <si>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</si>
  <si>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</si>
  <si>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</si>
  <si>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</si>
  <si>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</si>
  <si>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</si>
  <si>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</si>
  <si>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</si>
  <si>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</si>
  <si>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</si>
  <si>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</si>
  <si>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</si>
  <si>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</si>
  <si>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</si>
  <si>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</si>
  <si>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</si>
  <si>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</si>
  <si>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</si>
  <si>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</si>
  <si>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</si>
  <si>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</si>
  <si>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</si>
  <si>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</si>
  <si>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</si>
  <si>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</si>
  <si>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</si>
  <si>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</si>
  <si>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</si>
  <si>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</si>
  <si>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</si>
  <si>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</si>
  <si>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</si>
  <si>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</si>
  <si>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</si>
  <si>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</si>
  <si>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</si>
  <si>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</si>
  <si>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</si>
  <si>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</si>
  <si>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</si>
  <si>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</si>
  <si>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</si>
  <si>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</si>
  <si>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</si>
  <si>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</si>
  <si>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</si>
  <si>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</si>
  <si>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</si>
  <si>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</si>
  <si>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</si>
  <si>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</si>
  <si>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</si>
  <si>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</si>
  <si>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</si>
  <si>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</si>
  <si>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</si>
  <si>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</si>
  <si>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</si>
  <si>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</si>
  <si>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</si>
  <si>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</si>
  <si>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</si>
  <si>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</si>
  <si>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</si>
  <si>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</si>
  <si>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</si>
  <si>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</si>
  <si>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</si>
  <si>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</si>
  <si>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</si>
  <si>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</si>
  <si>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</si>
  <si>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</si>
  <si>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</si>
  <si>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</si>
  <si>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</si>
  <si>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</si>
  <si>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</si>
  <si>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</si>
  <si>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</si>
  <si>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</si>
  <si>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</si>
  <si>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</si>
  <si>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</si>
  <si>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</si>
  <si>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</si>
  <si>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</si>
  <si>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</si>
  <si>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</si>
  <si>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</si>
  <si>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</si>
  <si>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</si>
  <si>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</si>
  <si>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</si>
  <si>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</si>
  <si>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</si>
  <si>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</si>
  <si>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</si>
  <si>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</si>
  <si>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</si>
  <si>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</si>
  <si>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</si>
  <si>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</si>
  <si>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</si>
  <si>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</si>
  <si>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</si>
  <si>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</si>
  <si>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</si>
  <si>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</si>
  <si>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</si>
  <si>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</si>
  <si>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</si>
  <si>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</si>
  <si>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</si>
  <si>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</si>
  <si>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</si>
  <si>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</si>
  <si>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</si>
  <si>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</si>
  <si>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</si>
  <si>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</si>
  <si>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</si>
  <si>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</si>
  <si>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</si>
  <si>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</si>
  <si>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</si>
  <si>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</si>
  <si>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</si>
  <si>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</si>
  <si>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</si>
  <si>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</si>
  <si>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</si>
  <si>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</si>
  <si>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</si>
  <si>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</si>
  <si>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</si>
  <si>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</si>
  <si>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</si>
  <si>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</si>
  <si>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</si>
  <si>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</si>
  <si>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</si>
  <si>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</si>
  <si>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</si>
  <si>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</si>
  <si>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</si>
  <si>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</si>
  <si>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</si>
  <si>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</si>
  <si>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</si>
  <si>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</si>
  <si>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</si>
  <si>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</si>
  <si>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</si>
  <si>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</si>
  <si>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</si>
  <si>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</si>
  <si>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</si>
  <si>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</si>
  <si>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</si>
  <si>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</si>
  <si>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</si>
  <si>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</si>
  <si>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</si>
  <si>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</si>
  <si>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</si>
  <si>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</si>
  <si>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</si>
  <si>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</si>
  <si>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</si>
  <si>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</si>
  <si>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</si>
  <si>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</si>
  <si>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</si>
  <si>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</si>
  <si>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</si>
  <si>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</si>
  <si>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</si>
  <si>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</si>
  <si>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</si>
  <si>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</si>
  <si>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</si>
  <si>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</si>
  <si>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</si>
  <si>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</si>
  <si>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</si>
  <si>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</si>
  <si>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</si>
  <si>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</si>
  <si>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</si>
  <si>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</si>
  <si>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</si>
  <si>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</si>
  <si>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</si>
  <si>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</si>
  <si>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</si>
  <si>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</si>
  <si>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</si>
  <si>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</si>
  <si>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</si>
  <si>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</si>
  <si>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</si>
  <si>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</si>
  <si>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</si>
  <si>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</si>
  <si>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</si>
  <si>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</si>
  <si>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</si>
  <si>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</si>
  <si>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</si>
  <si>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</si>
  <si>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</si>
  <si>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</si>
  <si>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</si>
  <si>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</si>
  <si>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</si>
  <si>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</si>
  <si>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</si>
  <si>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</si>
  <si>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</si>
  <si>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</si>
  <si>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</si>
  <si>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</si>
  <si>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</si>
  <si>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</si>
  <si>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</si>
  <si>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</si>
  <si>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</si>
  <si>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</si>
  <si>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</si>
  <si>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</si>
  <si>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</si>
  <si>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</si>
  <si>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</si>
  <si>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</si>
  <si>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</si>
  <si>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</si>
  <si>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</si>
  <si>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</si>
  <si>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</si>
  <si>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</si>
  <si>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</si>
  <si>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</si>
  <si>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</si>
  <si>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</si>
  <si>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</si>
  <si>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</si>
  <si>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</si>
  <si>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</si>
  <si>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</si>
  <si>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</si>
  <si>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</si>
  <si>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</si>
  <si>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</si>
  <si>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</si>
  <si>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</si>
  <si>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</si>
  <si>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</si>
  <si>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</si>
  <si>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</si>
  <si>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</si>
  <si>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</si>
  <si>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</si>
  <si>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</si>
  <si>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</si>
  <si>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</si>
  <si>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</si>
  <si>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</si>
  <si>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</si>
  <si>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</si>
  <si>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</si>
  <si>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</si>
  <si>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</si>
  <si>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</si>
  <si>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</si>
  <si>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</si>
  <si>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</si>
  <si>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</si>
  <si>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</si>
  <si>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</si>
  <si>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</si>
  <si>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</si>
  <si>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</si>
  <si>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</si>
  <si>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</si>
  <si>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</si>
  <si>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</si>
  <si>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</si>
  <si>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</si>
  <si>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</si>
  <si>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</si>
  <si>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</si>
  <si>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</si>
  <si>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</si>
  <si>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</si>
  <si>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</si>
  <si>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</si>
  <si>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</si>
  <si>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</si>
  <si>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</si>
  <si>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</si>
  <si>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</si>
  <si>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</si>
  <si>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</si>
  <si>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</si>
  <si>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</si>
  <si>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</si>
  <si>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</si>
  <si>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</si>
  <si>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</si>
  <si>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</si>
  <si>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</si>
  <si>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</si>
  <si>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</si>
  <si>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</si>
  <si>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</si>
  <si>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</si>
  <si>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</si>
  <si>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</si>
  <si>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</si>
  <si>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</si>
  <si>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</si>
  <si>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</si>
  <si>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</si>
  <si>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</si>
  <si>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</si>
  <si>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</si>
  <si>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</si>
  <si>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</si>
  <si>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</si>
  <si>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</si>
  <si>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</si>
  <si>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</si>
  <si>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</si>
  <si>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</si>
  <si>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</si>
  <si>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</si>
  <si>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</si>
  <si>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</si>
  <si>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</si>
  <si>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</si>
  <si>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</si>
  <si>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</si>
  <si>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</si>
  <si>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</si>
  <si>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</si>
  <si>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</si>
  <si>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</si>
  <si>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</si>
  <si>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</si>
  <si>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</si>
  <si>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</si>
  <si>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</si>
  <si>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</si>
  <si>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</si>
  <si>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</si>
  <si>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</si>
  <si>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</si>
  <si>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</si>
  <si>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</si>
  <si>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</si>
  <si>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</si>
  <si>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</si>
  <si>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</si>
  <si>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</si>
  <si>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</si>
  <si>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</si>
  <si>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</si>
  <si>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</si>
  <si>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</si>
  <si>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</si>
  <si>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</si>
  <si>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</si>
  <si>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</si>
  <si>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</si>
  <si>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</si>
  <si>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</si>
  <si>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</si>
  <si>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</si>
  <si>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</si>
  <si>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</si>
  <si>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</si>
  <si>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</si>
  <si>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</si>
  <si>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</si>
  <si>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</si>
  <si>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</si>
  <si>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</si>
  <si>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</si>
  <si>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</si>
  <si>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</si>
  <si>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</si>
  <si>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</si>
  <si>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</si>
  <si>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</si>
  <si>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</si>
  <si>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</si>
  <si>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</si>
  <si>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</si>
  <si>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</si>
  <si>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</si>
  <si>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</si>
  <si>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</si>
  <si>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</si>
  <si>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</si>
  <si>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</si>
  <si>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</si>
  <si>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</si>
  <si>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</si>
  <si>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</si>
  <si>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</si>
  <si>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</si>
  <si>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</si>
  <si>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</si>
  <si>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</si>
  <si>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</si>
  <si>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</si>
  <si>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</si>
  <si>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</si>
  <si>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</si>
  <si>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</si>
  <si>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</si>
  <si>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</si>
  <si>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</si>
  <si>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</si>
  <si>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</si>
  <si>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</si>
  <si>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</si>
  <si>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</si>
  <si>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</si>
  <si>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</si>
  <si>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</si>
  <si>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</si>
  <si>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</si>
  <si>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</si>
  <si>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</si>
  <si>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</si>
  <si>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</si>
  <si>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</si>
  <si>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</si>
  <si>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</si>
  <si>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</si>
  <si>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</si>
  <si>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</si>
  <si>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</si>
  <si>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</si>
  <si>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</si>
  <si>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</si>
  <si>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</si>
  <si>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</si>
  <si>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</si>
  <si>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</si>
  <si>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</si>
  <si>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</si>
  <si>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</si>
  <si>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</si>
  <si>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</si>
  <si>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</si>
  <si>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</si>
  <si>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</si>
  <si>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</si>
  <si>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</si>
  <si>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</si>
  <si>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</si>
  <si>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</si>
  <si>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</si>
  <si>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</si>
  <si>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</si>
  <si>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</si>
  <si>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</si>
  <si>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</si>
  <si>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</si>
  <si>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</si>
  <si>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</si>
  <si>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</si>
  <si>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</si>
  <si>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</si>
  <si>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</si>
  <si>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</si>
  <si>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</si>
  <si>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</si>
  <si>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</si>
  <si>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</si>
  <si>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</si>
  <si>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</si>
  <si>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</si>
  <si>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</si>
  <si>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</si>
  <si>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</si>
  <si>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</si>
  <si>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</si>
  <si>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</si>
  <si>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</si>
  <si>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</si>
  <si>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</si>
  <si>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</si>
  <si>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</si>
  <si>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</si>
  <si>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</si>
  <si>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</si>
  <si>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</si>
  <si>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</si>
  <si>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</si>
  <si>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</si>
  <si>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</si>
  <si>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</si>
  <si>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</si>
  <si>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</si>
  <si>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</si>
  <si>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</si>
  <si>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</si>
  <si>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</si>
  <si>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</si>
  <si>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</si>
  <si>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</si>
  <si>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</si>
  <si>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</si>
  <si>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</si>
  <si>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</si>
  <si>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</si>
  <si>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</si>
  <si>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</si>
  <si>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</si>
  <si>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</si>
  <si>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</si>
  <si>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</si>
  <si>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</si>
  <si>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</si>
  <si>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</si>
  <si>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</si>
  <si>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</si>
  <si>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</si>
  <si>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</si>
  <si>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</si>
  <si>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</si>
  <si>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</si>
  <si>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</si>
  <si>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</si>
  <si>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</si>
  <si>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</si>
  <si>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</si>
  <si>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</si>
  <si>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</si>
  <si>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</si>
  <si>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</si>
  <si>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</si>
  <si>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</si>
  <si>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</si>
  <si>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</si>
  <si>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</si>
  <si>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</si>
  <si>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</si>
  <si>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</si>
  <si>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</si>
  <si>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</si>
  <si>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</si>
  <si>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</si>
  <si>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</si>
  <si>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</si>
  <si>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</si>
  <si>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</si>
  <si>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</si>
  <si>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</si>
  <si>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</si>
  <si>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</si>
  <si>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</si>
  <si>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</si>
  <si>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</si>
  <si>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</si>
  <si>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</si>
  <si>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</si>
  <si>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</si>
  <si>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</si>
  <si>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</si>
  <si>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</si>
  <si>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</si>
  <si>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</si>
  <si>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</si>
  <si>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</si>
  <si>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</si>
  <si>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</si>
  <si>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</si>
  <si>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</si>
  <si>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</si>
  <si>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</si>
  <si>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</si>
  <si>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</si>
  <si>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</si>
  <si>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</si>
  <si>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</si>
  <si>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</si>
  <si>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</si>
  <si>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</si>
  <si>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</si>
  <si>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</si>
  <si>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</si>
  <si>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</si>
  <si>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</si>
  <si>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</si>
  <si>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</si>
  <si>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</si>
  <si>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</si>
  <si>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</si>
  <si>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</si>
  <si>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</si>
  <si>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</si>
  <si>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</si>
  <si>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</si>
  <si>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</si>
  <si>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</si>
  <si>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</si>
  <si>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</si>
  <si>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</si>
  <si>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</si>
  <si>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</si>
  <si>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</si>
  <si>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</si>
  <si>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</si>
  <si>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</si>
  <si>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</si>
  <si>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</si>
  <si>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</si>
  <si>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</si>
  <si>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</si>
  <si>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</si>
  <si>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</si>
  <si>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</si>
  <si>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</si>
  <si>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</si>
  <si>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</si>
  <si>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</si>
  <si>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</si>
  <si>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</si>
  <si>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</si>
  <si>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</si>
  <si>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</si>
  <si>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</si>
  <si>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</si>
  <si>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</si>
  <si>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</si>
  <si>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</si>
  <si>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</si>
  <si>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</si>
  <si>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</si>
  <si>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</si>
  <si>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</si>
  <si>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</si>
  <si>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</si>
  <si>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</si>
  <si>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</si>
  <si>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</si>
  <si>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</si>
  <si>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</si>
  <si>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</si>
  <si>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</si>
  <si>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</si>
  <si>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</si>
  <si>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</si>
  <si>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</si>
  <si>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</si>
  <si>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</si>
  <si>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</si>
  <si>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</si>
  <si>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</si>
  <si>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</si>
  <si>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</si>
  <si>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</si>
  <si>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</si>
  <si>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</si>
  <si>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</si>
  <si>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</si>
  <si>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</si>
  <si>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</si>
  <si>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</si>
  <si>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</si>
  <si>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</si>
  <si>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</si>
  <si>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</si>
  <si>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</si>
  <si>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</si>
  <si>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</si>
  <si>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</si>
  <si>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</si>
  <si>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</si>
  <si>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</si>
  <si>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</si>
  <si>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</si>
  <si>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</si>
  <si>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</si>
  <si>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</si>
  <si>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</si>
  <si>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</si>
  <si>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</si>
  <si>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</si>
  <si>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</si>
  <si>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</si>
  <si>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</si>
  <si>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</si>
  <si>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</si>
  <si>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</si>
  <si>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</si>
  <si>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</si>
  <si>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</si>
  <si>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</si>
  <si>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</si>
  <si>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</si>
  <si>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</si>
  <si>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</si>
  <si>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</si>
  <si>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</si>
  <si>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</si>
  <si>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</si>
  <si>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</si>
  <si>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</si>
  <si>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</si>
  <si>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</si>
  <si>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73028</t>
  </si>
  <si>
    <t>HERSTAPPE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</si>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</sst>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752.9947201231123</c:v>
                </c:pt>
                <c:pt idx="1">
                  <c:v>35.017352536325831</c:v>
                </c:pt>
                <c:pt idx="2">
                  <c:v>10.618</c:v>
                </c:pt>
                <c:pt idx="3">
                  <c:v>1848.5168287341551</c:v>
                </c:pt>
                <c:pt idx="4">
                  <c:v>0</c:v>
                </c:pt>
                <c:pt idx="5">
                  <c:v>2934.136084923161</c:v>
                </c:pt>
                <c:pt idx="6">
                  <c:v>14.822882397697834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752.9947201231123</c:v>
                </c:pt>
                <c:pt idx="1">
                  <c:v>35.017352536325831</c:v>
                </c:pt>
                <c:pt idx="2">
                  <c:v>10.618</c:v>
                </c:pt>
                <c:pt idx="3">
                  <c:v>1848.5168287341551</c:v>
                </c:pt>
                <c:pt idx="4">
                  <c:v>0</c:v>
                </c:pt>
                <c:pt idx="5">
                  <c:v>2934.136084923161</c:v>
                </c:pt>
                <c:pt idx="6">
                  <c:v>14.822882397697834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174.87833243095068</c:v>
                </c:pt>
                <c:pt idx="1">
                  <c:v>7.4627503353386153</c:v>
                </c:pt>
                <c:pt idx="2">
                  <c:v>2.2447108120320345</c:v>
                </c:pt>
                <c:pt idx="3">
                  <c:v>480.78476066576059</c:v>
                </c:pt>
                <c:pt idx="4">
                  <c:v>0</c:v>
                </c:pt>
                <c:pt idx="5">
                  <c:v>728.34285559919465</c:v>
                </c:pt>
                <c:pt idx="6">
                  <c:v>3.749352935048663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174.87833243095068</c:v>
                </c:pt>
                <c:pt idx="1">
                  <c:v>7.4627503353386153</c:v>
                </c:pt>
                <c:pt idx="2">
                  <c:v>2.2447108120320345</c:v>
                </c:pt>
                <c:pt idx="3">
                  <c:v>480.78476066576059</c:v>
                </c:pt>
                <c:pt idx="4">
                  <c:v>0</c:v>
                </c:pt>
                <c:pt idx="5">
                  <c:v>728.34285559919465</c:v>
                </c:pt>
                <c:pt idx="6">
                  <c:v>3.749352935048663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73028</v>
      </c>
      <c r="B6" s="390"/>
      <c r="C6" s="391"/>
    </row>
    <row r="7" spans="1:7" s="388" customFormat="1" ht="15.75" customHeight="1">
      <c r="A7" s="392" t="str">
        <f>txtMunicipality</f>
        <v>HERSTAPPE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0.21140617932115602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0.21140617932115602</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114.8</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2</v>
      </c>
      <c r="C17" s="330"/>
      <c r="D17" s="330"/>
      <c r="E17" s="330"/>
      <c r="F17" s="330"/>
    </row>
    <row r="18" spans="1:6">
      <c r="A18" s="1298" t="s">
        <v>8</v>
      </c>
      <c r="B18" s="1299">
        <v>2</v>
      </c>
      <c r="C18" s="330"/>
      <c r="D18" s="330"/>
      <c r="E18" s="330"/>
      <c r="F18" s="330"/>
    </row>
    <row r="19" spans="1:6">
      <c r="A19" s="1298" t="s">
        <v>9</v>
      </c>
      <c r="B19" s="1299">
        <v>1</v>
      </c>
      <c r="C19" s="330"/>
      <c r="D19" s="330"/>
      <c r="E19" s="330"/>
      <c r="F19" s="330"/>
    </row>
    <row r="20" spans="1:6">
      <c r="A20" s="1298" t="s">
        <v>10</v>
      </c>
      <c r="B20" s="1299">
        <v>1</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9</v>
      </c>
      <c r="C29" s="336"/>
      <c r="D29" s="336"/>
      <c r="E29" s="336"/>
      <c r="F29" s="336"/>
    </row>
    <row r="30" spans="1:6">
      <c r="A30" s="1293" t="s">
        <v>706</v>
      </c>
      <c r="B30" s="1302">
        <v>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14</v>
      </c>
      <c r="D39" s="1299">
        <v>311736</v>
      </c>
      <c r="E39" s="1299">
        <v>32</v>
      </c>
      <c r="F39" s="1299">
        <v>147623</v>
      </c>
    </row>
    <row r="40" spans="1:6">
      <c r="A40" s="1298" t="s">
        <v>29</v>
      </c>
      <c r="B40" s="1298" t="s">
        <v>28</v>
      </c>
      <c r="C40" s="1299">
        <v>0</v>
      </c>
      <c r="D40" s="1299">
        <v>0</v>
      </c>
      <c r="E40" s="1299">
        <v>0</v>
      </c>
      <c r="F40" s="1299">
        <v>0</v>
      </c>
    </row>
    <row r="41" spans="1:6">
      <c r="A41" s="1298" t="s">
        <v>31</v>
      </c>
      <c r="B41" s="1298" t="s">
        <v>32</v>
      </c>
      <c r="C41" s="1299">
        <v>0</v>
      </c>
      <c r="D41" s="1299">
        <v>0</v>
      </c>
      <c r="E41" s="1299">
        <v>0</v>
      </c>
      <c r="F41" s="1299">
        <v>0</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0</v>
      </c>
      <c r="D48" s="1299">
        <v>0</v>
      </c>
      <c r="E48" s="1299">
        <v>0</v>
      </c>
      <c r="F48" s="1299">
        <v>0</v>
      </c>
    </row>
    <row r="49" spans="1:6">
      <c r="A49" s="1298" t="s">
        <v>31</v>
      </c>
      <c r="B49" s="1298" t="s">
        <v>39</v>
      </c>
      <c r="C49" s="1299">
        <v>0</v>
      </c>
      <c r="D49" s="1299">
        <v>0</v>
      </c>
      <c r="E49" s="1299">
        <v>0</v>
      </c>
      <c r="F49" s="1299">
        <v>0</v>
      </c>
    </row>
    <row r="50" spans="1:6">
      <c r="A50" s="1298" t="s">
        <v>31</v>
      </c>
      <c r="B50" s="1298" t="s">
        <v>40</v>
      </c>
      <c r="C50" s="1299">
        <v>0</v>
      </c>
      <c r="D50" s="1299">
        <v>0</v>
      </c>
      <c r="E50" s="1299">
        <v>0</v>
      </c>
      <c r="F50" s="1299">
        <v>0</v>
      </c>
    </row>
    <row r="51" spans="1:6">
      <c r="A51" s="1298" t="s">
        <v>41</v>
      </c>
      <c r="B51" s="1298" t="s">
        <v>42</v>
      </c>
      <c r="C51" s="1299">
        <v>0</v>
      </c>
      <c r="D51" s="1299">
        <v>0</v>
      </c>
      <c r="E51" s="1299">
        <v>4</v>
      </c>
      <c r="F51" s="1299">
        <v>381092</v>
      </c>
    </row>
    <row r="52" spans="1:6">
      <c r="A52" s="1298" t="s">
        <v>41</v>
      </c>
      <c r="B52" s="1298" t="s">
        <v>28</v>
      </c>
      <c r="C52" s="1299">
        <v>1</v>
      </c>
      <c r="D52" s="1299">
        <v>4120</v>
      </c>
      <c r="E52" s="1299">
        <v>0</v>
      </c>
      <c r="F52" s="1299">
        <v>0</v>
      </c>
    </row>
    <row r="53" spans="1:6">
      <c r="A53" s="1298" t="s">
        <v>43</v>
      </c>
      <c r="B53" s="1298" t="s">
        <v>44</v>
      </c>
      <c r="C53" s="1299">
        <v>3</v>
      </c>
      <c r="D53" s="1299">
        <v>154700</v>
      </c>
      <c r="E53" s="1299">
        <v>1</v>
      </c>
      <c r="F53" s="1299">
        <v>10781</v>
      </c>
    </row>
    <row r="54" spans="1:6">
      <c r="A54" s="1298" t="s">
        <v>45</v>
      </c>
      <c r="B54" s="1298" t="s">
        <v>46</v>
      </c>
      <c r="C54" s="1299">
        <v>0</v>
      </c>
      <c r="D54" s="1299">
        <v>0</v>
      </c>
      <c r="E54" s="1299">
        <v>1</v>
      </c>
      <c r="F54" s="1299">
        <v>10618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0</v>
      </c>
      <c r="D57" s="1299">
        <v>0</v>
      </c>
      <c r="E57" s="1299">
        <v>0</v>
      </c>
      <c r="F57" s="1299">
        <v>0</v>
      </c>
    </row>
    <row r="58" spans="1:6">
      <c r="A58" s="1298" t="s">
        <v>48</v>
      </c>
      <c r="B58" s="1298" t="s">
        <v>50</v>
      </c>
      <c r="C58" s="1299">
        <v>0</v>
      </c>
      <c r="D58" s="1299">
        <v>0</v>
      </c>
      <c r="E58" s="1299">
        <v>0</v>
      </c>
      <c r="F58" s="1299">
        <v>0</v>
      </c>
    </row>
    <row r="59" spans="1:6">
      <c r="A59" s="1298" t="s">
        <v>48</v>
      </c>
      <c r="B59" s="1298" t="s">
        <v>51</v>
      </c>
      <c r="C59" s="1299">
        <v>0</v>
      </c>
      <c r="D59" s="1299">
        <v>0</v>
      </c>
      <c r="E59" s="1299">
        <v>0</v>
      </c>
      <c r="F59" s="1299">
        <v>0</v>
      </c>
    </row>
    <row r="60" spans="1:6">
      <c r="A60" s="1298" t="s">
        <v>48</v>
      </c>
      <c r="B60" s="1298" t="s">
        <v>52</v>
      </c>
      <c r="C60" s="1299">
        <v>0</v>
      </c>
      <c r="D60" s="1299">
        <v>0</v>
      </c>
      <c r="E60" s="1299">
        <v>0</v>
      </c>
      <c r="F60" s="1299">
        <v>0</v>
      </c>
    </row>
    <row r="61" spans="1:6">
      <c r="A61" s="1298" t="s">
        <v>48</v>
      </c>
      <c r="B61" s="1298" t="s">
        <v>53</v>
      </c>
      <c r="C61" s="1299">
        <v>0</v>
      </c>
      <c r="D61" s="1299">
        <v>0</v>
      </c>
      <c r="E61" s="1299">
        <v>3</v>
      </c>
      <c r="F61" s="1299">
        <v>22295</v>
      </c>
    </row>
    <row r="62" spans="1:6">
      <c r="A62" s="1298" t="s">
        <v>48</v>
      </c>
      <c r="B62" s="1298" t="s">
        <v>54</v>
      </c>
      <c r="C62" s="1299">
        <v>0</v>
      </c>
      <c r="D62" s="1299">
        <v>0</v>
      </c>
      <c r="E62" s="1299">
        <v>0</v>
      </c>
      <c r="F62" s="1299">
        <v>0</v>
      </c>
    </row>
    <row r="63" spans="1:6">
      <c r="A63" s="1298" t="s">
        <v>48</v>
      </c>
      <c r="B63" s="1298" t="s">
        <v>28</v>
      </c>
      <c r="C63" s="1299">
        <v>1</v>
      </c>
      <c r="D63" s="1299">
        <v>10665</v>
      </c>
      <c r="E63" s="1299">
        <v>1</v>
      </c>
      <c r="F63" s="1299">
        <v>154</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3083136</v>
      </c>
      <c r="E73" s="450"/>
      <c r="F73" s="330"/>
    </row>
    <row r="74" spans="1:6">
      <c r="A74" s="1298" t="s">
        <v>63</v>
      </c>
      <c r="B74" s="1298" t="s">
        <v>647</v>
      </c>
      <c r="C74" s="1312" t="s">
        <v>649</v>
      </c>
      <c r="D74" s="1313">
        <v>173517.5</v>
      </c>
      <c r="E74" s="450"/>
      <c r="F74" s="330"/>
    </row>
    <row r="75" spans="1:6">
      <c r="A75" s="1298" t="s">
        <v>64</v>
      </c>
      <c r="B75" s="1298" t="s">
        <v>646</v>
      </c>
      <c r="C75" s="1312" t="s">
        <v>650</v>
      </c>
      <c r="D75" s="1313">
        <v>593481</v>
      </c>
      <c r="E75" s="450"/>
      <c r="F75" s="330"/>
    </row>
    <row r="76" spans="1:6">
      <c r="A76" s="1298" t="s">
        <v>64</v>
      </c>
      <c r="B76" s="1298" t="s">
        <v>647</v>
      </c>
      <c r="C76" s="1312" t="s">
        <v>651</v>
      </c>
      <c r="D76" s="1313">
        <v>5675.5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4069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26.063270155929057</v>
      </c>
      <c r="C91" s="330"/>
      <c r="D91" s="330"/>
      <c r="E91" s="330"/>
      <c r="F91" s="330"/>
    </row>
    <row r="92" spans="1:6">
      <c r="A92" s="1293" t="s">
        <v>68</v>
      </c>
      <c r="B92" s="1294">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v>
      </c>
      <c r="C97" s="330"/>
      <c r="D97" s="330"/>
      <c r="E97" s="330"/>
      <c r="F97" s="330"/>
    </row>
    <row r="98" spans="1:6">
      <c r="A98" s="1298" t="s">
        <v>71</v>
      </c>
      <c r="B98" s="1299">
        <v>1</v>
      </c>
      <c r="C98" s="330"/>
      <c r="D98" s="330"/>
      <c r="E98" s="330"/>
      <c r="F98" s="330"/>
    </row>
    <row r="99" spans="1:6">
      <c r="A99" s="1298" t="s">
        <v>72</v>
      </c>
      <c r="B99" s="1299">
        <v>0</v>
      </c>
      <c r="C99" s="330"/>
      <c r="D99" s="330"/>
      <c r="E99" s="330"/>
      <c r="F99" s="330"/>
    </row>
    <row r="100" spans="1:6">
      <c r="A100" s="1298" t="s">
        <v>73</v>
      </c>
      <c r="B100" s="1299">
        <v>3</v>
      </c>
      <c r="C100" s="330"/>
      <c r="D100" s="330"/>
      <c r="E100" s="330"/>
      <c r="F100" s="330"/>
    </row>
    <row r="101" spans="1:6">
      <c r="A101" s="1298" t="s">
        <v>74</v>
      </c>
      <c r="B101" s="1299">
        <v>0</v>
      </c>
      <c r="C101" s="330"/>
      <c r="D101" s="330"/>
      <c r="E101" s="330"/>
      <c r="F101" s="330"/>
    </row>
    <row r="102" spans="1:6">
      <c r="A102" s="1298" t="s">
        <v>75</v>
      </c>
      <c r="B102" s="1299">
        <v>1</v>
      </c>
      <c r="C102" s="330"/>
      <c r="D102" s="330"/>
      <c r="E102" s="330"/>
      <c r="F102" s="330"/>
    </row>
    <row r="103" spans="1:6">
      <c r="A103" s="1298" t="s">
        <v>76</v>
      </c>
      <c r="B103" s="1299">
        <v>3</v>
      </c>
      <c r="C103" s="330"/>
      <c r="D103" s="330"/>
      <c r="E103" s="330"/>
      <c r="F103" s="330"/>
    </row>
    <row r="104" spans="1:6">
      <c r="A104" s="1298" t="s">
        <v>77</v>
      </c>
      <c r="B104" s="1299">
        <v>22</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0</v>
      </c>
      <c r="C123" s="1299">
        <v>0</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600.38465354705613</v>
      </c>
      <c r="C3" s="43" t="s">
        <v>169</v>
      </c>
      <c r="D3" s="43"/>
      <c r="E3" s="154"/>
      <c r="F3" s="43"/>
      <c r="G3" s="43"/>
      <c r="H3" s="43"/>
      <c r="I3" s="43"/>
      <c r="J3" s="43"/>
      <c r="K3" s="96"/>
    </row>
    <row r="4" spans="1:11">
      <c r="A4" s="358" t="s">
        <v>170</v>
      </c>
      <c r="B4" s="49">
        <f>IF(ISERROR('SEAP template'!B78+'SEAP template'!C78),0,'SEAP template'!B78+'SEAP template'!C78)</f>
        <v>26.063270155929057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0.21140617932115602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10.618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10.618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0.21140617932115602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2.2447108120320345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147.62299999999999</v>
      </c>
      <c r="C5" s="17">
        <f>IF(ISERROR('Eigen informatie GS &amp; warmtenet'!B59),0,'Eigen informatie GS &amp; warmtenet'!B59)</f>
        <v>0</v>
      </c>
      <c r="D5" s="30">
        <f>(SUM(HH_hh_gas_kWh,HH_rest_gas_kWh)/1000)*0.902</f>
        <v>281.18587200000002</v>
      </c>
      <c r="E5" s="17">
        <f>B46*B57</f>
        <v>0</v>
      </c>
      <c r="F5" s="17">
        <f>B51*B62</f>
        <v>269.80041239053207</v>
      </c>
      <c r="G5" s="18"/>
      <c r="H5" s="17"/>
      <c r="I5" s="17"/>
      <c r="J5" s="17">
        <f>B50*B61+C50*C61</f>
        <v>26.338207357264245</v>
      </c>
      <c r="K5" s="17"/>
      <c r="L5" s="17"/>
      <c r="M5" s="17"/>
      <c r="N5" s="17">
        <f>B48*B59+C48*C59</f>
        <v>0</v>
      </c>
      <c r="O5" s="17">
        <f>B69*B70*B71</f>
        <v>1.9839582193870318</v>
      </c>
      <c r="P5" s="17">
        <f>B77*B78*B79/1000-B77*B78*B79/1000/B80</f>
        <v>0</v>
      </c>
    </row>
    <row r="6" spans="1:16">
      <c r="A6" s="16" t="s">
        <v>611</v>
      </c>
      <c r="B6" s="783">
        <f>kWh_PV_kleiner_dan_10kW</f>
        <v>26.063270155929057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173.68627015592904</v>
      </c>
      <c r="C8" s="21">
        <f>C5</f>
        <v>0</v>
      </c>
      <c r="D8" s="21">
        <f>D5</f>
        <v>281.18587200000002</v>
      </c>
      <c r="E8" s="21">
        <f>E5</f>
        <v>0</v>
      </c>
      <c r="F8" s="21">
        <f>F5</f>
        <v>269.80041239053207</v>
      </c>
      <c r="G8" s="21"/>
      <c r="H8" s="21"/>
      <c r="I8" s="21"/>
      <c r="J8" s="21">
        <f>J5</f>
        <v>26.338207357264245</v>
      </c>
      <c r="K8" s="21"/>
      <c r="L8" s="21">
        <f>L5</f>
        <v>0</v>
      </c>
      <c r="M8" s="21">
        <f>M5</f>
        <v>0</v>
      </c>
      <c r="N8" s="21">
        <f>N5</f>
        <v>0</v>
      </c>
      <c r="O8" s="21">
        <f>O5</f>
        <v>1.9839582193870318</v>
      </c>
      <c r="P8" s="21">
        <f>P5</f>
        <v>0</v>
      </c>
    </row>
    <row r="9" spans="1:16">
      <c r="B9" s="19"/>
      <c r="C9" s="19"/>
      <c r="D9" s="258"/>
      <c r="E9" s="19"/>
      <c r="F9" s="19"/>
      <c r="G9" s="19"/>
      <c r="H9" s="19"/>
      <c r="I9" s="19"/>
      <c r="J9" s="19"/>
      <c r="K9" s="19"/>
      <c r="L9" s="19"/>
      <c r="M9" s="19"/>
      <c r="N9" s="19"/>
      <c r="O9" s="19"/>
      <c r="P9" s="19"/>
    </row>
    <row r="10" spans="1:16">
      <c r="A10" s="24" t="s">
        <v>213</v>
      </c>
      <c r="B10" s="25">
        <f ca="1">'EF ele_warmte'!B12</f>
        <v>0.21140617932115602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36.718350774207082</v>
      </c>
      <c r="C12" s="23">
        <f ca="1">C10*C8</f>
        <v>0</v>
      </c>
      <c r="D12" s="23">
        <f>D8*D10</f>
        <v>56.799546144000004</v>
      </c>
      <c r="E12" s="23">
        <f>E10*E8</f>
        <v>0</v>
      </c>
      <c r="F12" s="23">
        <f>F10*F8</f>
        <v>72.036710108272061</v>
      </c>
      <c r="G12" s="23"/>
      <c r="H12" s="23"/>
      <c r="I12" s="23"/>
      <c r="J12" s="23">
        <f>J10*J8</f>
        <v>9.3237254044715421</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v>
      </c>
      <c r="C18" s="166" t="s">
        <v>110</v>
      </c>
      <c r="D18" s="228"/>
      <c r="E18" s="15"/>
    </row>
    <row r="19" spans="1:7">
      <c r="A19" s="171" t="s">
        <v>71</v>
      </c>
      <c r="B19" s="37">
        <f>aantalw2001_ander</f>
        <v>1</v>
      </c>
      <c r="C19" s="166" t="s">
        <v>110</v>
      </c>
      <c r="D19" s="229"/>
      <c r="E19" s="15"/>
    </row>
    <row r="20" spans="1:7">
      <c r="A20" s="171" t="s">
        <v>72</v>
      </c>
      <c r="B20" s="37">
        <f>aantalw2001_propaan</f>
        <v>0</v>
      </c>
      <c r="C20" s="167">
        <f>IF(ISERROR(B20/SUM($B$20,$B$21,$B$22)*100),0,B20/SUM($B$20,$B$21,$B$22)*100)</f>
        <v>0</v>
      </c>
      <c r="D20" s="229"/>
      <c r="E20" s="15"/>
    </row>
    <row r="21" spans="1:7">
      <c r="A21" s="171" t="s">
        <v>73</v>
      </c>
      <c r="B21" s="37">
        <f>aantalw2001_elektriciteit</f>
        <v>3</v>
      </c>
      <c r="C21" s="167">
        <f>IF(ISERROR(B21/SUM($B$20,$B$21,$B$22)*100),0,B21/SUM($B$20,$B$21,$B$22)*100)</f>
        <v>100</v>
      </c>
      <c r="D21" s="229"/>
      <c r="E21" s="15"/>
    </row>
    <row r="22" spans="1:7">
      <c r="A22" s="171" t="s">
        <v>74</v>
      </c>
      <c r="B22" s="37">
        <f>aantalw2001_hout</f>
        <v>0</v>
      </c>
      <c r="C22" s="167">
        <f>IF(ISERROR(B22/SUM($B$20,$B$21,$B$22)*100),0,B22/SUM($B$20,$B$21,$B$22)*100)</f>
        <v>0</v>
      </c>
      <c r="D22" s="229"/>
      <c r="E22" s="15"/>
    </row>
    <row r="23" spans="1:7">
      <c r="A23" s="171" t="s">
        <v>75</v>
      </c>
      <c r="B23" s="37">
        <f>aantalw2001_niet_gespec</f>
        <v>1</v>
      </c>
      <c r="C23" s="166" t="s">
        <v>110</v>
      </c>
      <c r="D23" s="228"/>
      <c r="E23" s="15"/>
    </row>
    <row r="24" spans="1:7">
      <c r="A24" s="171" t="s">
        <v>76</v>
      </c>
      <c r="B24" s="37">
        <f>aantalw2001_steenkool</f>
        <v>3</v>
      </c>
      <c r="C24" s="166" t="s">
        <v>110</v>
      </c>
      <c r="D24" s="229"/>
      <c r="E24" s="15"/>
    </row>
    <row r="25" spans="1:7">
      <c r="A25" s="171" t="s">
        <v>77</v>
      </c>
      <c r="B25" s="37">
        <f>aantalw2001_stookolie</f>
        <v>22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34</v>
      </c>
      <c r="C28" s="36"/>
      <c r="D28" s="228"/>
    </row>
    <row r="29" spans="1:7" s="15" customFormat="1">
      <c r="A29" s="230" t="s">
        <v>819</v>
      </c>
      <c r="B29" s="37">
        <f>SUM(HH_hh_gas_aantal,HH_rest_gas_aantal)</f>
        <v>14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14</v>
      </c>
      <c r="C32" s="167">
        <f>IF(ISERROR(B32/SUM($B$32,$B$34,$B$35,$B$36,$B$38,$B$39)*100),0,B32/SUM($B$32,$B$34,$B$35,$B$36,$B$38,$B$39)*100)</f>
        <v>41.17647058823529</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5</v>
      </c>
      <c r="C35" s="167">
        <f>IF(ISERROR(B35/SUM($B$32,$B$34,$B$35,$B$36,$B$38,$B$39)*100),0,B35/SUM($B$32,$B$34,$B$35,$B$36,$B$38,$B$39)*100)</f>
        <v>14.705882352941178</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2</v>
      </c>
      <c r="C38" s="167">
        <f>IF(ISERROR(B38/SUM($B$32,$B$34,$B$35,$B$36,$B$38,$B$39)*100),0,B38/SUM($B$32,$B$34,$B$35,$B$36,$B$38,$B$39)*100)</f>
        <v>5.8823529411764701</v>
      </c>
      <c r="D38" s="234"/>
      <c r="G38" s="15"/>
    </row>
    <row r="39" spans="1:7">
      <c r="A39" s="171" t="s">
        <v>77</v>
      </c>
      <c r="B39" s="33">
        <f>IF((B25-(B29-B18))&lt;0,0,B25-(B29-B18)*0.9)</f>
        <v>13</v>
      </c>
      <c r="C39" s="167">
        <f>IF(ISERROR(B39/SUM($B$32,$B$34,$B$35,$B$36,$B$38,$B$39)*100),0,B39/SUM($B$32,$B$34,$B$35,$B$36,$B$38,$B$39)*100)</f>
        <v>38.235294117647058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14</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5</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2</v>
      </c>
      <c r="C50" s="33">
        <f>B50*2</f>
        <v>4</v>
      </c>
      <c r="D50" s="234"/>
    </row>
    <row r="51" spans="1:6">
      <c r="A51" s="171" t="s">
        <v>77</v>
      </c>
      <c r="B51" s="33">
        <f t="shared" si="0"/>
        <v>13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22.449000000000002</v>
      </c>
      <c r="C5" s="17">
        <f>IF(ISERROR('Eigen informatie GS &amp; warmtenet'!B60),0,'Eigen informatie GS &amp; warmtenet'!B60)</f>
        <v>0</v>
      </c>
      <c r="D5" s="30">
        <f>SUM(D6:D12)</f>
        <v>9.6198300000000003</v>
      </c>
      <c r="E5" s="17">
        <f>SUM(E6:E12)</f>
        <v>0.18138860837809367</v>
      </c>
      <c r="F5" s="17">
        <f>SUM(F6:F12)</f>
        <v>2.7434907759517841</v>
      </c>
      <c r="G5" s="18"/>
      <c r="H5" s="17"/>
      <c r="I5" s="17"/>
      <c r="J5" s="17">
        <f>SUM(J6:J12)</f>
        <v>2.9513285210251713E-7</v>
      </c>
      <c r="K5" s="17"/>
      <c r="L5" s="17"/>
      <c r="M5" s="17"/>
      <c r="N5" s="17">
        <f>SUM(N6:N12)</f>
        <v>2.3642856863100616E-2</v>
      </c>
      <c r="O5" s="17">
        <f>B38*B39*B40</f>
        <v>0</v>
      </c>
      <c r="P5" s="17">
        <f>B46*B47*B48/1000-B46*B47*B48/1000/B49</f>
        <v>0</v>
      </c>
      <c r="R5" s="32"/>
    </row>
    <row r="6" spans="1:18">
      <c r="A6" s="32" t="s">
        <v>53</v>
      </c>
      <c r="B6" s="37">
        <f>B26</f>
        <v>22.295000000000002</v>
      </c>
      <c r="C6" s="33"/>
      <c r="D6" s="37">
        <f>IF(ISERROR(TER_kantoor_gas_kWh/1000),0,TER_kantoor_gas_kWh/1000)*0.902</f>
        <v>0</v>
      </c>
      <c r="E6" s="33">
        <f>$C$26*'E Balans VL '!I12/100/3.6*1000000</f>
        <v>0.1794007166598367</v>
      </c>
      <c r="F6" s="33">
        <f>$C$26*('E Balans VL '!L12+'E Balans VL '!N12)/100/3.6*1000000</f>
        <v>2.7257982858911802</v>
      </c>
      <c r="G6" s="34"/>
      <c r="H6" s="33"/>
      <c r="I6" s="33"/>
      <c r="J6" s="33">
        <f>$C$26*('E Balans VL '!D12+'E Balans VL '!E12)/100/3.6*1000000</f>
        <v>0</v>
      </c>
      <c r="K6" s="33"/>
      <c r="L6" s="33"/>
      <c r="M6" s="33"/>
      <c r="N6" s="33">
        <f>$C$26*'E Balans VL '!Y12/100/3.6*1000000</f>
        <v>1.198246459008173E-2</v>
      </c>
      <c r="O6" s="33"/>
      <c r="P6" s="33"/>
      <c r="R6" s="32"/>
    </row>
    <row r="7" spans="1:18">
      <c r="A7" s="32" t="s">
        <v>52</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51</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0.154</v>
      </c>
      <c r="C12" s="33"/>
      <c r="D12" s="37">
        <f>IF(ISERROR(TER_rest_gas_kWh/1000),0,TER_rest_gas_kWh/1000)*0.902</f>
        <v>9.6198300000000003</v>
      </c>
      <c r="E12" s="33">
        <f>$C$32*'E Balans VL '!I8/100/3.6*1000000</f>
        <v>1.9878917182569815E-3</v>
      </c>
      <c r="F12" s="33">
        <f>$C$32*('E Balans VL '!L8+'E Balans VL '!N8)/100/3.6*1000000</f>
        <v>1.7692490060603725E-2</v>
      </c>
      <c r="G12" s="34"/>
      <c r="H12" s="33"/>
      <c r="I12" s="33"/>
      <c r="J12" s="33">
        <f>$C$32*('E Balans VL '!D8+'E Balans VL '!E8)/100/3.6*1000000</f>
        <v>2.9513285210251713E-7</v>
      </c>
      <c r="K12" s="33"/>
      <c r="L12" s="33"/>
      <c r="M12" s="33"/>
      <c r="N12" s="33">
        <f>$C$32*'E Balans VL '!Y8/100/3.6*1000000</f>
        <v>1.1660392273018886E-2</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22.449000000000002</v>
      </c>
      <c r="C16" s="21">
        <f t="shared" ca="1" si="1"/>
        <v>0</v>
      </c>
      <c r="D16" s="21">
        <f t="shared" ca="1" si="1"/>
        <v>9.6198300000000003</v>
      </c>
      <c r="E16" s="21">
        <f t="shared" si="1"/>
        <v>0.18138860837809367</v>
      </c>
      <c r="F16" s="21">
        <f t="shared" ca="1" si="1"/>
        <v>2.7434907759517841</v>
      </c>
      <c r="G16" s="21">
        <f t="shared" si="1"/>
        <v>0</v>
      </c>
      <c r="H16" s="21">
        <f t="shared" si="1"/>
        <v>0</v>
      </c>
      <c r="I16" s="21">
        <f t="shared" si="1"/>
        <v>0</v>
      </c>
      <c r="J16" s="21">
        <f t="shared" si="1"/>
        <v>2.9513285210251713E-7</v>
      </c>
      <c r="K16" s="21">
        <f t="shared" si="1"/>
        <v>0</v>
      </c>
      <c r="L16" s="21">
        <f t="shared" ca="1" si="1"/>
        <v>0</v>
      </c>
      <c r="M16" s="21">
        <f t="shared" si="1"/>
        <v>0</v>
      </c>
      <c r="N16" s="21">
        <f t="shared" ca="1" si="1"/>
        <v>2.3642856863100616E-2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0.21140617932115602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4.7458573195806322</v>
      </c>
      <c r="C20" s="23">
        <f t="shared" ref="C20:P20" ca="1" si="2">C16*C18</f>
        <v>0</v>
      </c>
      <c r="D20" s="23">
        <f t="shared" ca="1" si="2"/>
        <v>1.9432056600000003</v>
      </c>
      <c r="E20" s="23">
        <f t="shared" si="2"/>
        <v>4.1175214101827264E-2</v>
      </c>
      <c r="F20" s="23">
        <f t="shared" ca="1" si="2"/>
        <v>0.73251203717912639</v>
      </c>
      <c r="G20" s="23">
        <f t="shared" si="2"/>
        <v>0</v>
      </c>
      <c r="H20" s="23">
        <f t="shared" si="2"/>
        <v>0</v>
      </c>
      <c r="I20" s="23">
        <f t="shared" si="2"/>
        <v>0</v>
      </c>
      <c r="J20" s="23">
        <f t="shared" si="2"/>
        <v>1.0447702964429106E-7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22.295000000000002</v>
      </c>
      <c r="C26" s="39">
        <f>IF(ISERROR(B26*3.6/1000000/'E Balans VL '!Z12*100),0,B26*3.6/1000000/'E Balans VL '!Z12*100)</f>
        <v>4.729680274173293E-4</v>
      </c>
      <c r="D26" s="237" t="s">
        <v>708</v>
      </c>
      <c r="F26" s="6"/>
    </row>
    <row r="27" spans="1:18">
      <c r="A27" s="231" t="s">
        <v>52</v>
      </c>
      <c r="B27" s="33">
        <f>IF(ISERROR(TER_horeca_ele_kWh/1000),0,TER_horeca_ele_kWh/1000)</f>
        <v>0</v>
      </c>
      <c r="C27" s="39">
        <f>IF(ISERROR(B27*3.6/1000000/'E Balans VL '!Z9*100),0,B27*3.6/1000000/'E Balans VL '!Z9*100)</f>
        <v>0</v>
      </c>
      <c r="D27" s="237" t="s">
        <v>708</v>
      </c>
      <c r="F27" s="6"/>
    </row>
    <row r="28" spans="1:18">
      <c r="A28" s="171" t="s">
        <v>51</v>
      </c>
      <c r="B28" s="33">
        <f>IF(ISERROR(TER_handel_ele_kWh/1000),0,TER_handel_ele_kWh/1000)</f>
        <v>0</v>
      </c>
      <c r="C28" s="39">
        <f>IF(ISERROR(B28*3.6/1000000/'E Balans VL '!Z13*100),0,B28*3.6/1000000/'E Balans VL '!Z13*100)</f>
        <v>0</v>
      </c>
      <c r="D28" s="237" t="s">
        <v>708</v>
      </c>
      <c r="F28" s="6"/>
    </row>
    <row r="29" spans="1:18">
      <c r="A29" s="231" t="s">
        <v>50</v>
      </c>
      <c r="B29" s="33">
        <f>IF(ISERROR(TER_gezond_ele_kWh/1000),0,TER_gezond_ele_kWh/1000)</f>
        <v>0</v>
      </c>
      <c r="C29" s="39">
        <f>IF(ISERROR(B29*3.6/1000000/'E Balans VL '!Z10*100),0,B29*3.6/1000000/'E Balans VL '!Z10*100)</f>
        <v>0</v>
      </c>
      <c r="D29" s="237" t="s">
        <v>708</v>
      </c>
      <c r="F29" s="6"/>
    </row>
    <row r="30" spans="1:18">
      <c r="A30" s="231" t="s">
        <v>49</v>
      </c>
      <c r="B30" s="33">
        <f>IF(ISERROR(TER_ander_ele_kWh/1000),0,TER_ander_ele_kWh/1000)</f>
        <v>0</v>
      </c>
      <c r="C30" s="39">
        <f>IF(ISERROR(B30*3.6/1000000/'E Balans VL '!Z14*100),0,B30*3.6/1000000/'E Balans VL '!Z14*100)</f>
        <v>0</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0.154</v>
      </c>
      <c r="C32" s="39">
        <f>IF(ISERROR(B32*3.6/1000000/'E Balans VL '!Z8*100),0,B32*3.6/1000000/'E Balans VL '!Z8*100)</f>
        <v>1.261536631668598E-6</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0</v>
      </c>
      <c r="C5" s="17">
        <f>IF(ISERROR('Eigen informatie GS &amp; warmtenet'!B61),0,'Eigen informatie GS &amp; warmtenet'!B61)</f>
        <v>0</v>
      </c>
      <c r="D5" s="30">
        <f>SUM(D6:D15)</f>
        <v>0</v>
      </c>
      <c r="E5" s="17">
        <f>SUM(E6:E15)</f>
        <v>0</v>
      </c>
      <c r="F5" s="17">
        <f>SUM(F6:F15)</f>
        <v>0</v>
      </c>
      <c r="G5" s="18"/>
      <c r="H5" s="17"/>
      <c r="I5" s="17"/>
      <c r="J5" s="17">
        <f>SUM(J6:J15)</f>
        <v>0</v>
      </c>
      <c r="K5" s="17"/>
      <c r="L5" s="17"/>
      <c r="M5" s="17"/>
      <c r="N5" s="17">
        <f>SUM(N6:N15)</f>
        <v>0</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0</v>
      </c>
      <c r="C18" s="21">
        <f>C5+C16</f>
        <v>0</v>
      </c>
      <c r="D18" s="21">
        <f>MAX((D5+D16),0)</f>
        <v>0</v>
      </c>
      <c r="E18" s="21">
        <f>MAX((E5+E16),0)</f>
        <v>0</v>
      </c>
      <c r="F18" s="21">
        <f>MAX((F5+F16),0)</f>
        <v>0</v>
      </c>
      <c r="G18" s="21"/>
      <c r="H18" s="21"/>
      <c r="I18" s="21"/>
      <c r="J18" s="21">
        <f>MAX((J5+J16),0)</f>
        <v>0</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0.21140617932115602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0</v>
      </c>
      <c r="C22" s="23">
        <f ca="1">C18*C20</f>
        <v>0</v>
      </c>
      <c r="D22" s="23">
        <f>D18*D20</f>
        <v>0</v>
      </c>
      <c r="E22" s="23">
        <f>E18*E20</f>
        <v>0</v>
      </c>
      <c r="F22" s="23">
        <f>F18*F20</f>
        <v>0</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0</v>
      </c>
      <c r="C31" s="39">
        <f>IF(ISERROR(B31*3.6/1000000/'E Balans VL '!Z19*100),0,B31*3.6/1000000/'E Balans VL '!Z19*100)</f>
        <v>0</v>
      </c>
      <c r="D31" s="237" t="s">
        <v>708</v>
      </c>
    </row>
    <row r="32" spans="1:18">
      <c r="A32" s="171" t="s">
        <v>40</v>
      </c>
      <c r="B32" s="37">
        <f>IF( ISERROR(IND_voed_ele_kWh/1000),0,IND_voed_ele_kWh/1000)</f>
        <v>0</v>
      </c>
      <c r="C32" s="39">
        <f>IF(ISERROR(B32*3.6/1000000/'E Balans VL '!Z20*100),0,B32*3.6/1000000/'E Balans VL '!Z20*100)</f>
        <v>0</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0</v>
      </c>
      <c r="C37" s="39">
        <f>IF(ISERROR(B37*3.6/1000000/'E Balans VL '!Z15*100),0,B37*3.6/1000000/'E Balans VL '!Z15*100)</f>
        <v>0</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381.09199999999998</v>
      </c>
      <c r="C5" s="17">
        <f>'Eigen informatie GS &amp; warmtenet'!B62</f>
        <v>0</v>
      </c>
      <c r="D5" s="30">
        <f>IF(ISERROR(SUM(LB_lb_gas_kWh,LB_rest_gas_kWh)/1000),0,SUM(LB_lb_gas_kWh,LB_rest_gas_kWh)/1000)*0.902</f>
        <v>3.71624</v>
      </c>
      <c r="E5" s="17">
        <f>B17*'E Balans VL '!I25/3.6*1000000/100</f>
        <v>11.893755651361875</v>
      </c>
      <c r="F5" s="17">
        <f>B17*('E Balans VL '!L25/3.6*1000000+'E Balans VL '!N25/3.6*1000000)/100</f>
        <v>1346.821344232935</v>
      </c>
      <c r="G5" s="18"/>
      <c r="H5" s="17"/>
      <c r="I5" s="17"/>
      <c r="J5" s="17">
        <f>('E Balans VL '!D25+'E Balans VL '!E25)/3.6*1000000*landbouw!B17/100</f>
        <v>104.99348884985822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381.09199999999998</v>
      </c>
      <c r="C8" s="21">
        <f>C5+C6</f>
        <v>0</v>
      </c>
      <c r="D8" s="21">
        <f>MAX((D5+D6),0)</f>
        <v>3.71624</v>
      </c>
      <c r="E8" s="21">
        <f>MAX((E5+E6),0)</f>
        <v>11.893755651361875</v>
      </c>
      <c r="F8" s="21">
        <f>MAX((F5+F6),0)</f>
        <v>1346.821344232935</v>
      </c>
      <c r="G8" s="21"/>
      <c r="H8" s="21"/>
      <c r="I8" s="21"/>
      <c r="J8" s="21">
        <f>MAX((J5+J6),0)</f>
        <v>104.99348884985822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0.21140617932115602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80.565203689857981</v>
      </c>
      <c r="C12" s="23">
        <f ca="1">C8*C10</f>
        <v>0</v>
      </c>
      <c r="D12" s="23">
        <f>D8*D10</f>
        <v>0.75068048000000009</v>
      </c>
      <c r="E12" s="23">
        <f>E8*E10</f>
        <v>2.6998825328591458</v>
      </c>
      <c r="F12" s="23">
        <f>F8*F10</f>
        <v>359.60129891019363</v>
      </c>
      <c r="G12" s="23"/>
      <c r="H12" s="23"/>
      <c r="I12" s="23"/>
      <c r="J12" s="23">
        <f>J8*J10</f>
        <v>37.167695052849808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5.6652057726229998E-2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0.50960593241854713</v>
      </c>
      <c r="C26" s="247">
        <f>B26*'GWP N2O_CH4'!B5</f>
        <v>10.70172458078949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3.0676893029254498E-2</v>
      </c>
      <c r="C27" s="247">
        <f>B27*'GWP N2O_CH4'!B5</f>
        <v>0.64421475361434444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6.213115519789131E-3</v>
      </c>
      <c r="C28" s="247">
        <f>B28*'GWP N2O_CH4'!B4</f>
        <v>1.9260658111346305</v>
      </c>
      <c r="D28" s="50"/>
    </row>
    <row r="29" spans="1:4">
      <c r="A29" s="41" t="s">
        <v>276</v>
      </c>
      <c r="B29" s="247">
        <f>B34*'ha_N2O bodem landbouw'!B4</f>
        <v>0.77511337075548259</v>
      </c>
      <c r="C29" s="247">
        <f>B29*'GWP N2O_CH4'!B4</f>
        <v>240.28514493419959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1.6996840660422603E-4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6.3301802080576509E-6</v>
      </c>
      <c r="C5" s="437" t="s">
        <v>210</v>
      </c>
      <c r="D5" s="422">
        <f>SUM(D6:D11)</f>
        <v>2.2677423553027557E-5</v>
      </c>
      <c r="E5" s="422">
        <f>SUM(E6:E11)</f>
        <v>1.9155520487477495E-5</v>
      </c>
      <c r="F5" s="435" t="s">
        <v>210</v>
      </c>
      <c r="G5" s="422">
        <f>SUM(G6:G11)</f>
        <v>7.8088267942006944E-3</v>
      </c>
      <c r="H5" s="422">
        <f>SUM(H6:H11)</f>
        <v>2.115703390300989E-3</v>
      </c>
      <c r="I5" s="437" t="s">
        <v>210</v>
      </c>
      <c r="J5" s="437" t="s">
        <v>210</v>
      </c>
      <c r="K5" s="437" t="s">
        <v>210</v>
      </c>
      <c r="L5" s="437" t="s">
        <v>210</v>
      </c>
      <c r="M5" s="422">
        <f>SUM(M6:M11)</f>
        <v>5.9019659697313431E-4</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5.3083599640512005E-6</v>
      </c>
      <c r="C6" s="423"/>
      <c r="D6" s="890">
        <f>vkm_GW_PW*SUMIFS(TableVerdeelsleutelVkm[CNG],TableVerdeelsleutelVkm[Voertuigtype],"Lichte voertuigen")*SUMIFS(TableECFTransport[EnergieConsumptieFactor (PJ per km)],TableECFTransport[Index],CONCATENATE($A6,"_CNG_CNG"))</f>
        <v>1.7100363552285084E-5</v>
      </c>
      <c r="E6" s="890">
        <f>vkm_GW_PW*SUMIFS(TableVerdeelsleutelVkm[LPG],TableVerdeelsleutelVkm[Voertuigtype],"Lichte voertuigen")*SUMIFS(TableECFTransport[EnergieConsumptieFactor (PJ per km)],TableECFTransport[Index],CONCATENATE($A6,"_LPG_LPG"))</f>
        <v>1.4623830887807632E-5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4.7242203693678795E-3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1.601954153551983E-3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3.7837914467493363E-4</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1.6472651503137029E-3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2.3554412591469114E-8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9.4952327100918192E-5</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1.02182024400645E-6</v>
      </c>
      <c r="C8" s="423"/>
      <c r="D8" s="425">
        <f>vkm_NGW_PW*SUMIFS(TableVerdeelsleutelVkm[CNG],TableVerdeelsleutelVkm[Voertuigtype],"Lichte voertuigen")*SUMIFS(TableECFTransport[EnergieConsumptieFactor (PJ per km)],TableECFTransport[Index],CONCATENATE($A8,"_CNG_CNG"))</f>
        <v>5.5770600007424745E-6</v>
      </c>
      <c r="E8" s="425">
        <f>vkm_NGW_PW*SUMIFS(TableVerdeelsleutelVkm[LPG],TableVerdeelsleutelVkm[Voertuigtype],"Lichte voertuigen")*SUMIFS(TableECFTransport[EnergieConsumptieFactor (PJ per km)],TableECFTransport[Index],CONCATENATE($A8,"_LPG_LPG"))</f>
        <v>4.5316895996698618E-6</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1.3679816470095797E-3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5.137244248562884E-4</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1.1286705177416132E-4</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6.9359627509532412E-5</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1.257480126275377E-9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3.9980734231211517E-6</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1.7583833911271252</v>
      </c>
      <c r="C14" s="21"/>
      <c r="D14" s="21">
        <f t="shared" ref="D14:M14" si="0">((D5)*10^9/3600)+D12</f>
        <v>6.2992843202854329</v>
      </c>
      <c r="E14" s="21">
        <f t="shared" si="0"/>
        <v>5.3209779131881927</v>
      </c>
      <c r="F14" s="21"/>
      <c r="G14" s="21">
        <f t="shared" si="0"/>
        <v>2169.1185539446374</v>
      </c>
      <c r="H14" s="21">
        <f t="shared" si="0"/>
        <v>587.69538619471916</v>
      </c>
      <c r="I14" s="21"/>
      <c r="J14" s="21"/>
      <c r="K14" s="21"/>
      <c r="L14" s="21"/>
      <c r="M14" s="21">
        <f t="shared" si="0"/>
        <v>163.94349915920398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0.21140617932115602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0.37173311449996344</v>
      </c>
      <c r="C18" s="23"/>
      <c r="D18" s="23">
        <f t="shared" ref="D18:M18" si="1">D14*D16</f>
        <v>1.2724554326976576</v>
      </c>
      <c r="E18" s="23">
        <f t="shared" si="1"/>
        <v>1.2078619862937199</v>
      </c>
      <c r="F18" s="23"/>
      <c r="G18" s="23">
        <f t="shared" si="1"/>
        <v>579.15465390321822</v>
      </c>
      <c r="H18" s="23">
        <f t="shared" si="1"/>
        <v>146.33615116248507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5.0553073281555E-5</v>
      </c>
      <c r="H50" s="319">
        <f t="shared" si="2"/>
        <v>0</v>
      </c>
      <c r="I50" s="319">
        <f t="shared" si="2"/>
        <v>0</v>
      </c>
      <c r="J50" s="319">
        <f t="shared" si="2"/>
        <v>0</v>
      </c>
      <c r="K50" s="319">
        <f t="shared" si="2"/>
        <v>0</v>
      </c>
      <c r="L50" s="319">
        <f t="shared" si="2"/>
        <v>0</v>
      </c>
      <c r="M50" s="319">
        <f t="shared" si="2"/>
        <v>2.8093033501572E-6</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5.0553073281555E-5</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2.8093033501572E-6</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14.0425203559875</v>
      </c>
      <c r="H54" s="21">
        <f t="shared" si="3"/>
        <v>0</v>
      </c>
      <c r="I54" s="21">
        <f t="shared" si="3"/>
        <v>0</v>
      </c>
      <c r="J54" s="21">
        <f t="shared" si="3"/>
        <v>0</v>
      </c>
      <c r="K54" s="21">
        <f t="shared" si="3"/>
        <v>0</v>
      </c>
      <c r="L54" s="21">
        <f t="shared" si="3"/>
        <v>0</v>
      </c>
      <c r="M54" s="21">
        <f t="shared" si="3"/>
        <v>0.7803620417103333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0.21140617932115602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3.749352935048663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33.067</v>
      </c>
      <c r="D10" s="686">
        <f ca="1">tertiair!C16</f>
        <v>0</v>
      </c>
      <c r="E10" s="686">
        <f ca="1">tertiair!D16</f>
        <v>9.6198300000000003</v>
      </c>
      <c r="F10" s="686">
        <f>tertiair!E16</f>
        <v>0.18138860837809367</v>
      </c>
      <c r="G10" s="686">
        <f ca="1">tertiair!F16</f>
        <v>2.7434907759517841</v>
      </c>
      <c r="H10" s="686">
        <f>tertiair!G16</f>
        <v>0</v>
      </c>
      <c r="I10" s="686">
        <f>tertiair!H16</f>
        <v>0</v>
      </c>
      <c r="J10" s="686">
        <f>tertiair!I16</f>
        <v>0</v>
      </c>
      <c r="K10" s="686">
        <f>tertiair!J16</f>
        <v>2.9513285210251713E-7</v>
      </c>
      <c r="L10" s="686">
        <f>tertiair!K16</f>
        <v>0</v>
      </c>
      <c r="M10" s="686">
        <f ca="1">tertiair!L16</f>
        <v>0</v>
      </c>
      <c r="N10" s="686">
        <f>tertiair!M16</f>
        <v>0</v>
      </c>
      <c r="O10" s="686">
        <f ca="1">tertiair!N16</f>
        <v>2.3642856863100616E-2</v>
      </c>
      <c r="P10" s="686">
        <f>tertiair!O16</f>
        <v>0</v>
      </c>
      <c r="Q10" s="687">
        <f>tertiair!P16</f>
        <v>0</v>
      </c>
      <c r="R10" s="689">
        <f ca="1">SUM(C10:Q10)</f>
        <v>45.635352536325826</v>
      </c>
      <c r="S10" s="67"/>
    </row>
    <row r="11" spans="1:19" s="448" customFormat="1">
      <c r="A11" s="808" t="s">
        <v>224</v>
      </c>
      <c r="B11" s="813"/>
      <c r="C11" s="686">
        <f>huishoudens!B8</f>
        <v>173.68627015592904</v>
      </c>
      <c r="D11" s="686">
        <f>huishoudens!C8</f>
        <v>0</v>
      </c>
      <c r="E11" s="686">
        <f>huishoudens!D8</f>
        <v>281.18587200000002</v>
      </c>
      <c r="F11" s="686">
        <f>huishoudens!E8</f>
        <v>0</v>
      </c>
      <c r="G11" s="686">
        <f>huishoudens!F8</f>
        <v>269.80041239053207</v>
      </c>
      <c r="H11" s="686">
        <f>huishoudens!G8</f>
        <v>0</v>
      </c>
      <c r="I11" s="686">
        <f>huishoudens!H8</f>
        <v>0</v>
      </c>
      <c r="J11" s="686">
        <f>huishoudens!I8</f>
        <v>0</v>
      </c>
      <c r="K11" s="686">
        <f>huishoudens!J8</f>
        <v>26.338207357264245</v>
      </c>
      <c r="L11" s="686">
        <f>huishoudens!K8</f>
        <v>0</v>
      </c>
      <c r="M11" s="686">
        <f>huishoudens!L8</f>
        <v>0</v>
      </c>
      <c r="N11" s="686">
        <f>huishoudens!M8</f>
        <v>0</v>
      </c>
      <c r="O11" s="686">
        <f>huishoudens!N8</f>
        <v>0</v>
      </c>
      <c r="P11" s="686">
        <f>huishoudens!O8</f>
        <v>1.9839582193870318</v>
      </c>
      <c r="Q11" s="687">
        <f>huishoudens!P8</f>
        <v>0</v>
      </c>
      <c r="R11" s="689">
        <f>SUM(C11:Q11)</f>
        <v>752.9947201231123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0</v>
      </c>
      <c r="D13" s="686">
        <f>industrie!C18</f>
        <v>0</v>
      </c>
      <c r="E13" s="686">
        <f>industrie!D18</f>
        <v>0</v>
      </c>
      <c r="F13" s="686">
        <f>industrie!E18</f>
        <v>0</v>
      </c>
      <c r="G13" s="686">
        <f>industrie!F18</f>
        <v>0</v>
      </c>
      <c r="H13" s="686">
        <f>industrie!G18</f>
        <v>0</v>
      </c>
      <c r="I13" s="686">
        <f>industrie!H18</f>
        <v>0</v>
      </c>
      <c r="J13" s="686">
        <f>industrie!I18</f>
        <v>0</v>
      </c>
      <c r="K13" s="686">
        <f>industrie!J18</f>
        <v>0</v>
      </c>
      <c r="L13" s="686">
        <f>industrie!K18</f>
        <v>0</v>
      </c>
      <c r="M13" s="686">
        <f>industrie!L18</f>
        <v>0</v>
      </c>
      <c r="N13" s="686">
        <f>industrie!M18</f>
        <v>0</v>
      </c>
      <c r="O13" s="686">
        <f>industrie!N18</f>
        <v>0</v>
      </c>
      <c r="P13" s="686">
        <f>industrie!O18</f>
        <v>0</v>
      </c>
      <c r="Q13" s="687">
        <f>industrie!P18</f>
        <v>0</v>
      </c>
      <c r="R13" s="689">
        <f>SUM(C13:Q13)</f>
        <v>0</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206.75327015592904</v>
      </c>
      <c r="D16" s="722">
        <f t="shared" ref="D16:R16" ca="1" si="0">SUM(D9:D15)</f>
        <v>0</v>
      </c>
      <c r="E16" s="722">
        <f t="shared" ca="1" si="0"/>
        <v>290.805702</v>
      </c>
      <c r="F16" s="722">
        <f t="shared" si="0"/>
        <v>0.18138860837809367</v>
      </c>
      <c r="G16" s="722">
        <f t="shared" ca="1" si="0"/>
        <v>272.54390316648386</v>
      </c>
      <c r="H16" s="722">
        <f t="shared" si="0"/>
        <v>0</v>
      </c>
      <c r="I16" s="722">
        <f t="shared" si="0"/>
        <v>0</v>
      </c>
      <c r="J16" s="722">
        <f t="shared" si="0"/>
        <v>0</v>
      </c>
      <c r="K16" s="722">
        <f t="shared" si="0"/>
        <v>26.338207652397099</v>
      </c>
      <c r="L16" s="722">
        <f t="shared" si="0"/>
        <v>0</v>
      </c>
      <c r="M16" s="722">
        <f t="shared" ca="1" si="0"/>
        <v>0</v>
      </c>
      <c r="N16" s="722">
        <f t="shared" si="0"/>
        <v>0</v>
      </c>
      <c r="O16" s="722">
        <f t="shared" ca="1" si="0"/>
        <v>2.3642856863100616E-2</v>
      </c>
      <c r="P16" s="722">
        <f t="shared" si="0"/>
        <v>1.9839582193870318</v>
      </c>
      <c r="Q16" s="722">
        <f t="shared" si="0"/>
        <v>0</v>
      </c>
      <c r="R16" s="722">
        <f t="shared" ca="1" si="0"/>
        <v>798.63007265943816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14.0425203559875</v>
      </c>
      <c r="I19" s="686">
        <f>transport!H54</f>
        <v>0</v>
      </c>
      <c r="J19" s="686">
        <f>transport!I54</f>
        <v>0</v>
      </c>
      <c r="K19" s="686">
        <f>transport!J54</f>
        <v>0</v>
      </c>
      <c r="L19" s="686">
        <f>transport!K54</f>
        <v>0</v>
      </c>
      <c r="M19" s="686">
        <f>transport!L54</f>
        <v>0</v>
      </c>
      <c r="N19" s="686">
        <f>transport!M54</f>
        <v>0.7803620417103333</v>
      </c>
      <c r="O19" s="686">
        <f>transport!N54</f>
        <v>0</v>
      </c>
      <c r="P19" s="686">
        <f>transport!O54</f>
        <v>0</v>
      </c>
      <c r="Q19" s="687">
        <f>transport!P54</f>
        <v>0</v>
      </c>
      <c r="R19" s="689">
        <f>SUM(C19:Q19)</f>
        <v>14.822882397697834</v>
      </c>
      <c r="S19" s="67"/>
    </row>
    <row r="20" spans="1:19" s="448" customFormat="1">
      <c r="A20" s="808" t="s">
        <v>306</v>
      </c>
      <c r="B20" s="813"/>
      <c r="C20" s="686">
        <f>transport!B14</f>
        <v>1.7583833911271252</v>
      </c>
      <c r="D20" s="686">
        <f>transport!C14</f>
        <v>0</v>
      </c>
      <c r="E20" s="686">
        <f>transport!D14</f>
        <v>6.2992843202854329</v>
      </c>
      <c r="F20" s="686">
        <f>transport!E14</f>
        <v>5.3209779131881927</v>
      </c>
      <c r="G20" s="686">
        <f>transport!F14</f>
        <v>0</v>
      </c>
      <c r="H20" s="686">
        <f>transport!G14</f>
        <v>2169.1185539446374</v>
      </c>
      <c r="I20" s="686">
        <f>transport!H14</f>
        <v>587.69538619471916</v>
      </c>
      <c r="J20" s="686">
        <f>transport!I14</f>
        <v>0</v>
      </c>
      <c r="K20" s="686">
        <f>transport!J14</f>
        <v>0</v>
      </c>
      <c r="L20" s="686">
        <f>transport!K14</f>
        <v>0</v>
      </c>
      <c r="M20" s="686">
        <f>transport!L14</f>
        <v>0</v>
      </c>
      <c r="N20" s="686">
        <f>transport!M14</f>
        <v>163.94349915920398</v>
      </c>
      <c r="O20" s="686">
        <f>transport!N14</f>
        <v>0</v>
      </c>
      <c r="P20" s="686">
        <f>transport!O14</f>
        <v>0</v>
      </c>
      <c r="Q20" s="687">
        <f>transport!P14</f>
        <v>0</v>
      </c>
      <c r="R20" s="689">
        <f>SUM(C20:Q20)</f>
        <v>2934.136084923161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1.7583833911271252</v>
      </c>
      <c r="D22" s="811">
        <f t="shared" ref="D22:R22" si="1">SUM(D18:D21)</f>
        <v>0</v>
      </c>
      <c r="E22" s="811">
        <f t="shared" si="1"/>
        <v>6.2992843202854329</v>
      </c>
      <c r="F22" s="811">
        <f t="shared" si="1"/>
        <v>5.3209779131881927</v>
      </c>
      <c r="G22" s="811">
        <f t="shared" si="1"/>
        <v>0</v>
      </c>
      <c r="H22" s="811">
        <f t="shared" si="1"/>
        <v>2183.1610743006249</v>
      </c>
      <c r="I22" s="811">
        <f t="shared" si="1"/>
        <v>587.69538619471916</v>
      </c>
      <c r="J22" s="811">
        <f t="shared" si="1"/>
        <v>0</v>
      </c>
      <c r="K22" s="811">
        <f t="shared" si="1"/>
        <v>0</v>
      </c>
      <c r="L22" s="811">
        <f t="shared" si="1"/>
        <v>0</v>
      </c>
      <c r="M22" s="811">
        <f t="shared" si="1"/>
        <v>0</v>
      </c>
      <c r="N22" s="811">
        <f t="shared" si="1"/>
        <v>164.72386120091431</v>
      </c>
      <c r="O22" s="811">
        <f t="shared" si="1"/>
        <v>0</v>
      </c>
      <c r="P22" s="811">
        <f t="shared" si="1"/>
        <v>0</v>
      </c>
      <c r="Q22" s="811">
        <f t="shared" si="1"/>
        <v>0</v>
      </c>
      <c r="R22" s="811">
        <f t="shared" si="1"/>
        <v>2948.9589673208588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381.09199999999998</v>
      </c>
      <c r="D24" s="686">
        <f>+landbouw!C8</f>
        <v>0</v>
      </c>
      <c r="E24" s="686">
        <f>+landbouw!D8</f>
        <v>3.71624</v>
      </c>
      <c r="F24" s="686">
        <f>+landbouw!E8</f>
        <v>11.893755651361875</v>
      </c>
      <c r="G24" s="686">
        <f>+landbouw!F8</f>
        <v>1346.821344232935</v>
      </c>
      <c r="H24" s="686">
        <f>+landbouw!G8</f>
        <v>0</v>
      </c>
      <c r="I24" s="686">
        <f>+landbouw!H8</f>
        <v>0</v>
      </c>
      <c r="J24" s="686">
        <f>+landbouw!I8</f>
        <v>0</v>
      </c>
      <c r="K24" s="686">
        <f>+landbouw!J8</f>
        <v>104.99348884985822</v>
      </c>
      <c r="L24" s="686">
        <f>+landbouw!K8</f>
        <v>0</v>
      </c>
      <c r="M24" s="686">
        <f>+landbouw!L8</f>
        <v>0</v>
      </c>
      <c r="N24" s="686">
        <f>+landbouw!M8</f>
        <v>0</v>
      </c>
      <c r="O24" s="686">
        <f>+landbouw!N8</f>
        <v>0</v>
      </c>
      <c r="P24" s="686">
        <f>+landbouw!O8</f>
        <v>0</v>
      </c>
      <c r="Q24" s="687">
        <f>+landbouw!P8</f>
        <v>0</v>
      </c>
      <c r="R24" s="689">
        <f>SUM(C24:Q24)</f>
        <v>1848.5168287341551</v>
      </c>
      <c r="S24" s="67"/>
    </row>
    <row r="25" spans="1:19" s="448" customFormat="1" ht="15" thickBot="1">
      <c r="A25" s="830" t="s">
        <v>724</v>
      </c>
      <c r="B25" s="949"/>
      <c r="C25" s="950">
        <f>IF(Onbekend_ele_kWh="---",0,Onbekend_ele_kWh)/1000+IF(REST_rest_ele_kWh="---",0,REST_rest_ele_kWh)/1000</f>
        <v>10.781000000000001</v>
      </c>
      <c r="D25" s="950"/>
      <c r="E25" s="950">
        <f>IF(onbekend_gas_kWh="---",0,onbekend_gas_kWh)/1000+IF(REST_rest_gas_kWh="---",0,REST_rest_gas_kWh)/1000</f>
        <v>154.69999999999999</v>
      </c>
      <c r="F25" s="950"/>
      <c r="G25" s="950"/>
      <c r="H25" s="950"/>
      <c r="I25" s="950"/>
      <c r="J25" s="950"/>
      <c r="K25" s="950"/>
      <c r="L25" s="950"/>
      <c r="M25" s="950"/>
      <c r="N25" s="950"/>
      <c r="O25" s="950"/>
      <c r="P25" s="950"/>
      <c r="Q25" s="951"/>
      <c r="R25" s="689">
        <f>SUM(C25:Q25)</f>
        <v>165.48099999999999</v>
      </c>
      <c r="S25" s="67"/>
    </row>
    <row r="26" spans="1:19" s="448" customFormat="1" ht="15.75" thickBot="1">
      <c r="A26" s="694" t="s">
        <v>725</v>
      </c>
      <c r="B26" s="816"/>
      <c r="C26" s="811">
        <f>SUM(C24:C25)</f>
        <v>391.87299999999999</v>
      </c>
      <c r="D26" s="811">
        <f t="shared" ref="D26:R26" si="2">SUM(D24:D25)</f>
        <v>0</v>
      </c>
      <c r="E26" s="811">
        <f t="shared" si="2"/>
        <v>158.41623999999999</v>
      </c>
      <c r="F26" s="811">
        <f t="shared" si="2"/>
        <v>11.893755651361875</v>
      </c>
      <c r="G26" s="811">
        <f t="shared" si="2"/>
        <v>1346.821344232935</v>
      </c>
      <c r="H26" s="811">
        <f t="shared" si="2"/>
        <v>0</v>
      </c>
      <c r="I26" s="811">
        <f t="shared" si="2"/>
        <v>0</v>
      </c>
      <c r="J26" s="811">
        <f t="shared" si="2"/>
        <v>0</v>
      </c>
      <c r="K26" s="811">
        <f t="shared" si="2"/>
        <v>104.99348884985822</v>
      </c>
      <c r="L26" s="811">
        <f t="shared" si="2"/>
        <v>0</v>
      </c>
      <c r="M26" s="811">
        <f t="shared" si="2"/>
        <v>0</v>
      </c>
      <c r="N26" s="811">
        <f t="shared" si="2"/>
        <v>0</v>
      </c>
      <c r="O26" s="811">
        <f t="shared" si="2"/>
        <v>0</v>
      </c>
      <c r="P26" s="811">
        <f t="shared" si="2"/>
        <v>0</v>
      </c>
      <c r="Q26" s="811">
        <f t="shared" si="2"/>
        <v>0</v>
      </c>
      <c r="R26" s="811">
        <f t="shared" si="2"/>
        <v>2013.9978287341551</v>
      </c>
      <c r="S26" s="67"/>
    </row>
    <row r="27" spans="1:19" s="448" customFormat="1" ht="17.25" thickTop="1" thickBot="1">
      <c r="A27" s="695" t="s">
        <v>115</v>
      </c>
      <c r="B27" s="803"/>
      <c r="C27" s="696">
        <f ca="1">C22+C16+C26</f>
        <v>600.38465354705613</v>
      </c>
      <c r="D27" s="696">
        <f t="shared" ref="D27:R27" ca="1" si="3">D22+D16+D26</f>
        <v>0</v>
      </c>
      <c r="E27" s="696">
        <f t="shared" ca="1" si="3"/>
        <v>455.52122632028545</v>
      </c>
      <c r="F27" s="696">
        <f t="shared" si="3"/>
        <v>17.396122172928163</v>
      </c>
      <c r="G27" s="696">
        <f t="shared" ca="1" si="3"/>
        <v>1619.3652473994189</v>
      </c>
      <c r="H27" s="696">
        <f t="shared" si="3"/>
        <v>2183.1610743006249</v>
      </c>
      <c r="I27" s="696">
        <f t="shared" si="3"/>
        <v>587.69538619471916</v>
      </c>
      <c r="J27" s="696">
        <f t="shared" si="3"/>
        <v>0</v>
      </c>
      <c r="K27" s="696">
        <f t="shared" si="3"/>
        <v>131.33169650225531</v>
      </c>
      <c r="L27" s="696">
        <f t="shared" si="3"/>
        <v>0</v>
      </c>
      <c r="M27" s="696">
        <f t="shared" ca="1" si="3"/>
        <v>0</v>
      </c>
      <c r="N27" s="696">
        <f t="shared" si="3"/>
        <v>164.72386120091431</v>
      </c>
      <c r="O27" s="696">
        <f t="shared" ca="1" si="3"/>
        <v>2.3642856863100616E-2</v>
      </c>
      <c r="P27" s="696">
        <f t="shared" si="3"/>
        <v>1.9839582193870318</v>
      </c>
      <c r="Q27" s="696">
        <f t="shared" si="3"/>
        <v>0</v>
      </c>
      <c r="R27" s="696">
        <f t="shared" ca="1" si="3"/>
        <v>5761.5868687144521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6.9905681316126671</v>
      </c>
      <c r="D40" s="686">
        <f ca="1">tertiair!C20</f>
        <v>0</v>
      </c>
      <c r="E40" s="686">
        <f ca="1">tertiair!D20</f>
        <v>1.9432056600000003</v>
      </c>
      <c r="F40" s="686">
        <f>tertiair!E20</f>
        <v>4.1175214101827264E-2</v>
      </c>
      <c r="G40" s="686">
        <f ca="1">tertiair!F20</f>
        <v>0.73251203717912639</v>
      </c>
      <c r="H40" s="686">
        <f>tertiair!G20</f>
        <v>0</v>
      </c>
      <c r="I40" s="686">
        <f>tertiair!H20</f>
        <v>0</v>
      </c>
      <c r="J40" s="686">
        <f>tertiair!I20</f>
        <v>0</v>
      </c>
      <c r="K40" s="686">
        <f>tertiair!J20</f>
        <v>1.0447702964429106E-7</v>
      </c>
      <c r="L40" s="686">
        <f>tertiair!K20</f>
        <v>0</v>
      </c>
      <c r="M40" s="686">
        <f ca="1">tertiair!L20</f>
        <v>0</v>
      </c>
      <c r="N40" s="686">
        <f>tertiair!M20</f>
        <v>0</v>
      </c>
      <c r="O40" s="686">
        <f ca="1">tertiair!N20</f>
        <v>0</v>
      </c>
      <c r="P40" s="686">
        <f>tertiair!O20</f>
        <v>0</v>
      </c>
      <c r="Q40" s="769">
        <f>tertiair!P20</f>
        <v>0</v>
      </c>
      <c r="R40" s="849">
        <f t="shared" ca="1" si="4"/>
        <v>9.7074611473706511</v>
      </c>
    </row>
    <row r="41" spans="1:18">
      <c r="A41" s="821" t="s">
        <v>224</v>
      </c>
      <c r="B41" s="828"/>
      <c r="C41" s="686">
        <f ca="1">huishoudens!B12</f>
        <v>36.718350774207082</v>
      </c>
      <c r="D41" s="686">
        <f ca="1">huishoudens!C12</f>
        <v>0</v>
      </c>
      <c r="E41" s="686">
        <f>huishoudens!D12</f>
        <v>56.799546144000004</v>
      </c>
      <c r="F41" s="686">
        <f>huishoudens!E12</f>
        <v>0</v>
      </c>
      <c r="G41" s="686">
        <f>huishoudens!F12</f>
        <v>72.036710108272061</v>
      </c>
      <c r="H41" s="686">
        <f>huishoudens!G12</f>
        <v>0</v>
      </c>
      <c r="I41" s="686">
        <f>huishoudens!H12</f>
        <v>0</v>
      </c>
      <c r="J41" s="686">
        <f>huishoudens!I12</f>
        <v>0</v>
      </c>
      <c r="K41" s="686">
        <f>huishoudens!J12</f>
        <v>9.3237254044715421</v>
      </c>
      <c r="L41" s="686">
        <f>huishoudens!K12</f>
        <v>0</v>
      </c>
      <c r="M41" s="686">
        <f>huishoudens!L12</f>
        <v>0</v>
      </c>
      <c r="N41" s="686">
        <f>huishoudens!M12</f>
        <v>0</v>
      </c>
      <c r="O41" s="686">
        <f>huishoudens!N12</f>
        <v>0</v>
      </c>
      <c r="P41" s="686">
        <f>huishoudens!O12</f>
        <v>0</v>
      </c>
      <c r="Q41" s="769">
        <f>huishoudens!P12</f>
        <v>0</v>
      </c>
      <c r="R41" s="849">
        <f t="shared" ca="1" si="4"/>
        <v>174.87833243095068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0</v>
      </c>
      <c r="D43" s="686">
        <f ca="1">industrie!C22</f>
        <v>0</v>
      </c>
      <c r="E43" s="686">
        <f>industrie!D22</f>
        <v>0</v>
      </c>
      <c r="F43" s="686">
        <f>industrie!E22</f>
        <v>0</v>
      </c>
      <c r="G43" s="686">
        <f>industrie!F22</f>
        <v>0</v>
      </c>
      <c r="H43" s="686">
        <f>industrie!G22</f>
        <v>0</v>
      </c>
      <c r="I43" s="686">
        <f>industrie!H22</f>
        <v>0</v>
      </c>
      <c r="J43" s="686">
        <f>industrie!I22</f>
        <v>0</v>
      </c>
      <c r="K43" s="686">
        <f>industrie!J22</f>
        <v>0</v>
      </c>
      <c r="L43" s="686">
        <f>industrie!K22</f>
        <v>0</v>
      </c>
      <c r="M43" s="686">
        <f>industrie!L22</f>
        <v>0</v>
      </c>
      <c r="N43" s="686">
        <f>industrie!M22</f>
        <v>0</v>
      </c>
      <c r="O43" s="686">
        <f>industrie!N22</f>
        <v>0</v>
      </c>
      <c r="P43" s="686">
        <f>industrie!O22</f>
        <v>0</v>
      </c>
      <c r="Q43" s="769">
        <f>industrie!P22</f>
        <v>0</v>
      </c>
      <c r="R43" s="848">
        <f t="shared" ca="1" si="4"/>
        <v>0</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43.70891890581975</v>
      </c>
      <c r="D46" s="722">
        <f t="shared" ref="D46:Q46" ca="1" si="5">SUM(D39:D45)</f>
        <v>0</v>
      </c>
      <c r="E46" s="722">
        <f t="shared" ca="1" si="5"/>
        <v>58.742751804000008</v>
      </c>
      <c r="F46" s="722">
        <f t="shared" si="5"/>
        <v>4.1175214101827264E-2</v>
      </c>
      <c r="G46" s="722">
        <f t="shared" ca="1" si="5"/>
        <v>72.769222145451181</v>
      </c>
      <c r="H46" s="722">
        <f t="shared" si="5"/>
        <v>0</v>
      </c>
      <c r="I46" s="722">
        <f t="shared" si="5"/>
        <v>0</v>
      </c>
      <c r="J46" s="722">
        <f t="shared" si="5"/>
        <v>0</v>
      </c>
      <c r="K46" s="722">
        <f t="shared" si="5"/>
        <v>9.3237255089485718</v>
      </c>
      <c r="L46" s="722">
        <f t="shared" si="5"/>
        <v>0</v>
      </c>
      <c r="M46" s="722">
        <f t="shared" ca="1" si="5"/>
        <v>0</v>
      </c>
      <c r="N46" s="722">
        <f t="shared" si="5"/>
        <v>0</v>
      </c>
      <c r="O46" s="722">
        <f t="shared" ca="1" si="5"/>
        <v>0</v>
      </c>
      <c r="P46" s="722">
        <f t="shared" si="5"/>
        <v>0</v>
      </c>
      <c r="Q46" s="722">
        <f t="shared" si="5"/>
        <v>0</v>
      </c>
      <c r="R46" s="722">
        <f ca="1">SUM(R39:R45)</f>
        <v>184.58579357832133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3.749352935048663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3.749352935048663</v>
      </c>
    </row>
    <row r="50" spans="1:18">
      <c r="A50" s="824" t="s">
        <v>306</v>
      </c>
      <c r="B50" s="834"/>
      <c r="C50" s="692">
        <f ca="1">transport!B18</f>
        <v>0.37173311449996344</v>
      </c>
      <c r="D50" s="692">
        <f>transport!C18</f>
        <v>0</v>
      </c>
      <c r="E50" s="692">
        <f>transport!D18</f>
        <v>1.2724554326976576</v>
      </c>
      <c r="F50" s="692">
        <f>transport!E18</f>
        <v>1.2078619862937199</v>
      </c>
      <c r="G50" s="692">
        <f>transport!F18</f>
        <v>0</v>
      </c>
      <c r="H50" s="692">
        <f>transport!G18</f>
        <v>579.15465390321822</v>
      </c>
      <c r="I50" s="692">
        <f>transport!H18</f>
        <v>146.33615116248507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728.34285559919465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0.37173311449996344</v>
      </c>
      <c r="D52" s="722">
        <f t="shared" ref="D52:Q52" ca="1" si="6">SUM(D48:D51)</f>
        <v>0</v>
      </c>
      <c r="E52" s="722">
        <f t="shared" si="6"/>
        <v>1.2724554326976576</v>
      </c>
      <c r="F52" s="722">
        <f t="shared" si="6"/>
        <v>1.2078619862937199</v>
      </c>
      <c r="G52" s="722">
        <f t="shared" si="6"/>
        <v>0</v>
      </c>
      <c r="H52" s="722">
        <f t="shared" si="6"/>
        <v>582.90400683826692</v>
      </c>
      <c r="I52" s="722">
        <f t="shared" si="6"/>
        <v>146.33615116248507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732.09220853424335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80.565203689857981</v>
      </c>
      <c r="D54" s="692">
        <f ca="1">+landbouw!C12</f>
        <v>0</v>
      </c>
      <c r="E54" s="692">
        <f>+landbouw!D12</f>
        <v>0.75068048000000009</v>
      </c>
      <c r="F54" s="692">
        <f>+landbouw!E12</f>
        <v>2.6998825328591458</v>
      </c>
      <c r="G54" s="692">
        <f>+landbouw!F12</f>
        <v>359.60129891019363</v>
      </c>
      <c r="H54" s="692">
        <f>+landbouw!G12</f>
        <v>0</v>
      </c>
      <c r="I54" s="692">
        <f>+landbouw!H12</f>
        <v>0</v>
      </c>
      <c r="J54" s="692">
        <f>+landbouw!I12</f>
        <v>0</v>
      </c>
      <c r="K54" s="692">
        <f>+landbouw!J12</f>
        <v>37.167695052849808</v>
      </c>
      <c r="L54" s="692">
        <f>+landbouw!K12</f>
        <v>0</v>
      </c>
      <c r="M54" s="692">
        <f>+landbouw!L12</f>
        <v>0</v>
      </c>
      <c r="N54" s="692">
        <f>+landbouw!M12</f>
        <v>0</v>
      </c>
      <c r="O54" s="692">
        <f>+landbouw!N12</f>
        <v>0</v>
      </c>
      <c r="P54" s="692">
        <f>+landbouw!O12</f>
        <v>0</v>
      </c>
      <c r="Q54" s="693">
        <f>+landbouw!P12</f>
        <v>0</v>
      </c>
      <c r="R54" s="721">
        <f ca="1">SUM(C54:Q54)</f>
        <v>480.78476066576059</v>
      </c>
    </row>
    <row r="55" spans="1:18" ht="15" thickBot="1">
      <c r="A55" s="824" t="s">
        <v>724</v>
      </c>
      <c r="B55" s="834"/>
      <c r="C55" s="692">
        <f ca="1">C25*'EF ele_warmte'!B12</f>
        <v>2.2791700192613833</v>
      </c>
      <c r="D55" s="692"/>
      <c r="E55" s="692">
        <f>E25*EF_CO2_aardgas</f>
        <v>31.249400000000001</v>
      </c>
      <c r="F55" s="692"/>
      <c r="G55" s="692"/>
      <c r="H55" s="692"/>
      <c r="I55" s="692"/>
      <c r="J55" s="692"/>
      <c r="K55" s="692"/>
      <c r="L55" s="692"/>
      <c r="M55" s="692"/>
      <c r="N55" s="692"/>
      <c r="O55" s="692"/>
      <c r="P55" s="692"/>
      <c r="Q55" s="693"/>
      <c r="R55" s="721">
        <f ca="1">SUM(C55:Q55)</f>
        <v>33.528570019261387</v>
      </c>
    </row>
    <row r="56" spans="1:18" ht="15.75" thickBot="1">
      <c r="A56" s="822" t="s">
        <v>725</v>
      </c>
      <c r="B56" s="835"/>
      <c r="C56" s="722">
        <f ca="1">SUM(C54:C55)</f>
        <v>82.844373709119367</v>
      </c>
      <c r="D56" s="722">
        <f t="shared" ref="D56:Q56" ca="1" si="7">SUM(D54:D55)</f>
        <v>0</v>
      </c>
      <c r="E56" s="722">
        <f t="shared" si="7"/>
        <v>32.000080480000001</v>
      </c>
      <c r="F56" s="722">
        <f t="shared" si="7"/>
        <v>2.6998825328591458</v>
      </c>
      <c r="G56" s="722">
        <f t="shared" si="7"/>
        <v>359.60129891019363</v>
      </c>
      <c r="H56" s="722">
        <f t="shared" si="7"/>
        <v>0</v>
      </c>
      <c r="I56" s="722">
        <f t="shared" si="7"/>
        <v>0</v>
      </c>
      <c r="J56" s="722">
        <f t="shared" si="7"/>
        <v>0</v>
      </c>
      <c r="K56" s="722">
        <f t="shared" si="7"/>
        <v>37.167695052849808</v>
      </c>
      <c r="L56" s="722">
        <f t="shared" si="7"/>
        <v>0</v>
      </c>
      <c r="M56" s="722">
        <f t="shared" si="7"/>
        <v>0</v>
      </c>
      <c r="N56" s="722">
        <f t="shared" si="7"/>
        <v>0</v>
      </c>
      <c r="O56" s="722">
        <f t="shared" si="7"/>
        <v>0</v>
      </c>
      <c r="P56" s="722">
        <f t="shared" si="7"/>
        <v>0</v>
      </c>
      <c r="Q56" s="723">
        <f t="shared" si="7"/>
        <v>0</v>
      </c>
      <c r="R56" s="724">
        <f ca="1">SUM(R54:R55)</f>
        <v>514.31333068502192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126.92502572943908</v>
      </c>
      <c r="D61" s="730">
        <f t="shared" ref="D61:Q61" ca="1" si="8">D46+D52+D56</f>
        <v>0</v>
      </c>
      <c r="E61" s="730">
        <f t="shared" ca="1" si="8"/>
        <v>92.015287716697657</v>
      </c>
      <c r="F61" s="730">
        <f t="shared" si="8"/>
        <v>3.948919733254693</v>
      </c>
      <c r="G61" s="730">
        <f t="shared" ca="1" si="8"/>
        <v>432.37052105564482</v>
      </c>
      <c r="H61" s="730">
        <f t="shared" si="8"/>
        <v>582.90400683826692</v>
      </c>
      <c r="I61" s="730">
        <f t="shared" si="8"/>
        <v>146.33615116248507</v>
      </c>
      <c r="J61" s="730">
        <f t="shared" si="8"/>
        <v>0</v>
      </c>
      <c r="K61" s="730">
        <f t="shared" si="8"/>
        <v>46.491420561798378</v>
      </c>
      <c r="L61" s="730">
        <f t="shared" si="8"/>
        <v>0</v>
      </c>
      <c r="M61" s="730">
        <f t="shared" ca="1" si="8"/>
        <v>0</v>
      </c>
      <c r="N61" s="730">
        <f t="shared" si="8"/>
        <v>0</v>
      </c>
      <c r="O61" s="730">
        <f t="shared" ca="1" si="8"/>
        <v>0</v>
      </c>
      <c r="P61" s="730">
        <f t="shared" si="8"/>
        <v>0</v>
      </c>
      <c r="Q61" s="730">
        <f t="shared" si="8"/>
        <v>0</v>
      </c>
      <c r="R61" s="730">
        <f ca="1">R46+R52+R56</f>
        <v>1430.9913327975864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0.21140617932115602</v>
      </c>
      <c r="D63" s="776">
        <f t="shared" ca="1" si="9"/>
        <v>0</v>
      </c>
      <c r="E63" s="975">
        <f t="shared" ca="1" si="9"/>
        <v>0.20199999999999999</v>
      </c>
      <c r="F63" s="776">
        <f t="shared" si="9"/>
        <v>0.22700000000000001</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26.063270155929057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26.063270155929057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26.063270155929057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26.063270155929057</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173.68627015592904</v>
      </c>
      <c r="C4" s="452">
        <f>huishoudens!C8</f>
        <v>0</v>
      </c>
      <c r="D4" s="452">
        <f>huishoudens!D8</f>
        <v>281.18587200000002</v>
      </c>
      <c r="E4" s="452">
        <f>huishoudens!E8</f>
        <v>0</v>
      </c>
      <c r="F4" s="452">
        <f>huishoudens!F8</f>
        <v>269.80041239053207</v>
      </c>
      <c r="G4" s="452">
        <f>huishoudens!G8</f>
        <v>0</v>
      </c>
      <c r="H4" s="452">
        <f>huishoudens!H8</f>
        <v>0</v>
      </c>
      <c r="I4" s="452">
        <f>huishoudens!I8</f>
        <v>0</v>
      </c>
      <c r="J4" s="452">
        <f>huishoudens!J8</f>
        <v>26.338207357264245</v>
      </c>
      <c r="K4" s="452">
        <f>huishoudens!K8</f>
        <v>0</v>
      </c>
      <c r="L4" s="452">
        <f>huishoudens!L8</f>
        <v>0</v>
      </c>
      <c r="M4" s="452">
        <f>huishoudens!M8</f>
        <v>0</v>
      </c>
      <c r="N4" s="452">
        <f>huishoudens!N8</f>
        <v>0</v>
      </c>
      <c r="O4" s="452">
        <f>huishoudens!O8</f>
        <v>1.9839582193870318</v>
      </c>
      <c r="P4" s="453">
        <f>huishoudens!P8</f>
        <v>0</v>
      </c>
      <c r="Q4" s="454">
        <f>SUM(B4:P4)</f>
        <v>752.9947201231123</v>
      </c>
    </row>
    <row r="5" spans="1:17">
      <c r="A5" s="451" t="s">
        <v>155</v>
      </c>
      <c r="B5" s="452">
        <f ca="1">tertiair!B16</f>
        <v>22.449000000000002</v>
      </c>
      <c r="C5" s="452">
        <f ca="1">tertiair!C16</f>
        <v>0</v>
      </c>
      <c r="D5" s="452">
        <f ca="1">tertiair!D16</f>
        <v>9.6198300000000003</v>
      </c>
      <c r="E5" s="452">
        <f>tertiair!E16</f>
        <v>0.18138860837809367</v>
      </c>
      <c r="F5" s="452">
        <f ca="1">tertiair!F16</f>
        <v>2.7434907759517841</v>
      </c>
      <c r="G5" s="452">
        <f>tertiair!G16</f>
        <v>0</v>
      </c>
      <c r="H5" s="452">
        <f>tertiair!H16</f>
        <v>0</v>
      </c>
      <c r="I5" s="452">
        <f>tertiair!I16</f>
        <v>0</v>
      </c>
      <c r="J5" s="452">
        <f>tertiair!J16</f>
        <v>2.9513285210251713E-7</v>
      </c>
      <c r="K5" s="452">
        <f>tertiair!K16</f>
        <v>0</v>
      </c>
      <c r="L5" s="452">
        <f ca="1">tertiair!L16</f>
        <v>0</v>
      </c>
      <c r="M5" s="452">
        <f>tertiair!M16</f>
        <v>0</v>
      </c>
      <c r="N5" s="452">
        <f ca="1">tertiair!N16</f>
        <v>2.3642856863100616E-2</v>
      </c>
      <c r="O5" s="452">
        <f>tertiair!O16</f>
        <v>0</v>
      </c>
      <c r="P5" s="453">
        <f>tertiair!P16</f>
        <v>0</v>
      </c>
      <c r="Q5" s="451">
        <f t="shared" ref="Q5:Q14" ca="1" si="0">SUM(B5:P5)</f>
        <v>35.017352536325831</v>
      </c>
    </row>
    <row r="6" spans="1:17">
      <c r="A6" s="451" t="s">
        <v>193</v>
      </c>
      <c r="B6" s="452">
        <f>'openbare verlichting'!B8</f>
        <v>10.618</v>
      </c>
      <c r="C6" s="452"/>
      <c r="D6" s="452"/>
      <c r="E6" s="452"/>
      <c r="F6" s="452"/>
      <c r="G6" s="452"/>
      <c r="H6" s="452"/>
      <c r="I6" s="452"/>
      <c r="J6" s="452"/>
      <c r="K6" s="452"/>
      <c r="L6" s="452"/>
      <c r="M6" s="452"/>
      <c r="N6" s="452"/>
      <c r="O6" s="452"/>
      <c r="P6" s="453"/>
      <c r="Q6" s="451">
        <f t="shared" si="0"/>
        <v>10.618</v>
      </c>
    </row>
    <row r="7" spans="1:17">
      <c r="A7" s="451" t="s">
        <v>111</v>
      </c>
      <c r="B7" s="452">
        <f>landbouw!B8</f>
        <v>381.09199999999998</v>
      </c>
      <c r="C7" s="452">
        <f>landbouw!C8</f>
        <v>0</v>
      </c>
      <c r="D7" s="452">
        <f>landbouw!D8</f>
        <v>3.71624</v>
      </c>
      <c r="E7" s="452">
        <f>landbouw!E8</f>
        <v>11.893755651361875</v>
      </c>
      <c r="F7" s="452">
        <f>landbouw!F8</f>
        <v>1346.821344232935</v>
      </c>
      <c r="G7" s="452">
        <f>landbouw!G8</f>
        <v>0</v>
      </c>
      <c r="H7" s="452">
        <f>landbouw!H8</f>
        <v>0</v>
      </c>
      <c r="I7" s="452">
        <f>landbouw!I8</f>
        <v>0</v>
      </c>
      <c r="J7" s="452">
        <f>landbouw!J8</f>
        <v>104.99348884985822</v>
      </c>
      <c r="K7" s="452">
        <f>landbouw!K8</f>
        <v>0</v>
      </c>
      <c r="L7" s="452">
        <f>landbouw!L8</f>
        <v>0</v>
      </c>
      <c r="M7" s="452">
        <f>landbouw!M8</f>
        <v>0</v>
      </c>
      <c r="N7" s="452">
        <f>landbouw!N8</f>
        <v>0</v>
      </c>
      <c r="O7" s="452">
        <f>landbouw!O8</f>
        <v>0</v>
      </c>
      <c r="P7" s="453">
        <f>landbouw!P8</f>
        <v>0</v>
      </c>
      <c r="Q7" s="451">
        <f t="shared" si="0"/>
        <v>1848.5168287341551</v>
      </c>
    </row>
    <row r="8" spans="1:17">
      <c r="A8" s="451" t="s">
        <v>625</v>
      </c>
      <c r="B8" s="452">
        <f>industrie!B18</f>
        <v>0</v>
      </c>
      <c r="C8" s="452">
        <f>industrie!C18</f>
        <v>0</v>
      </c>
      <c r="D8" s="452">
        <f>industrie!D18</f>
        <v>0</v>
      </c>
      <c r="E8" s="452">
        <f>industrie!E18</f>
        <v>0</v>
      </c>
      <c r="F8" s="452">
        <f>industrie!F18</f>
        <v>0</v>
      </c>
      <c r="G8" s="452">
        <f>industrie!G18</f>
        <v>0</v>
      </c>
      <c r="H8" s="452">
        <f>industrie!H18</f>
        <v>0</v>
      </c>
      <c r="I8" s="452">
        <f>industrie!I18</f>
        <v>0</v>
      </c>
      <c r="J8" s="452">
        <f>industrie!J18</f>
        <v>0</v>
      </c>
      <c r="K8" s="452">
        <f>industrie!K18</f>
        <v>0</v>
      </c>
      <c r="L8" s="452">
        <f>industrie!L18</f>
        <v>0</v>
      </c>
      <c r="M8" s="452">
        <f>industrie!M18</f>
        <v>0</v>
      </c>
      <c r="N8" s="452">
        <f>industrie!N18</f>
        <v>0</v>
      </c>
      <c r="O8" s="452">
        <f>industrie!O18</f>
        <v>0</v>
      </c>
      <c r="P8" s="453">
        <f>industrie!P18</f>
        <v>0</v>
      </c>
      <c r="Q8" s="451">
        <f t="shared" si="0"/>
        <v>0</v>
      </c>
    </row>
    <row r="9" spans="1:17" s="457" customFormat="1">
      <c r="A9" s="455" t="s">
        <v>551</v>
      </c>
      <c r="B9" s="456">
        <f>transport!B14</f>
        <v>1.7583833911271252</v>
      </c>
      <c r="C9" s="456">
        <f>transport!C14</f>
        <v>0</v>
      </c>
      <c r="D9" s="456">
        <f>transport!D14</f>
        <v>6.2992843202854329</v>
      </c>
      <c r="E9" s="456">
        <f>transport!E14</f>
        <v>5.3209779131881927</v>
      </c>
      <c r="F9" s="456">
        <f>transport!F14</f>
        <v>0</v>
      </c>
      <c r="G9" s="456">
        <f>transport!G14</f>
        <v>2169.1185539446374</v>
      </c>
      <c r="H9" s="456">
        <f>transport!H14</f>
        <v>587.69538619471916</v>
      </c>
      <c r="I9" s="456">
        <f>transport!I14</f>
        <v>0</v>
      </c>
      <c r="J9" s="456">
        <f>transport!J14</f>
        <v>0</v>
      </c>
      <c r="K9" s="456">
        <f>transport!K14</f>
        <v>0</v>
      </c>
      <c r="L9" s="456">
        <f>transport!L14</f>
        <v>0</v>
      </c>
      <c r="M9" s="456">
        <f>transport!M14</f>
        <v>163.94349915920398</v>
      </c>
      <c r="N9" s="456">
        <f>transport!N14</f>
        <v>0</v>
      </c>
      <c r="O9" s="456">
        <f>transport!O14</f>
        <v>0</v>
      </c>
      <c r="P9" s="456">
        <f>transport!P14</f>
        <v>0</v>
      </c>
      <c r="Q9" s="455">
        <f>SUM(B9:P9)</f>
        <v>2934.136084923161</v>
      </c>
    </row>
    <row r="10" spans="1:17">
      <c r="A10" s="451" t="s">
        <v>541</v>
      </c>
      <c r="B10" s="452">
        <f>transport!B54</f>
        <v>0</v>
      </c>
      <c r="C10" s="452">
        <f>transport!C54</f>
        <v>0</v>
      </c>
      <c r="D10" s="452">
        <f>transport!D54</f>
        <v>0</v>
      </c>
      <c r="E10" s="452">
        <f>transport!E54</f>
        <v>0</v>
      </c>
      <c r="F10" s="452">
        <f>transport!F54</f>
        <v>0</v>
      </c>
      <c r="G10" s="452">
        <f>transport!G54</f>
        <v>14.0425203559875</v>
      </c>
      <c r="H10" s="452">
        <f>transport!H54</f>
        <v>0</v>
      </c>
      <c r="I10" s="452">
        <f>transport!I54</f>
        <v>0</v>
      </c>
      <c r="J10" s="452">
        <f>transport!J54</f>
        <v>0</v>
      </c>
      <c r="K10" s="452">
        <f>transport!K54</f>
        <v>0</v>
      </c>
      <c r="L10" s="452">
        <f>transport!L54</f>
        <v>0</v>
      </c>
      <c r="M10" s="452">
        <f>transport!M54</f>
        <v>0.7803620417103333</v>
      </c>
      <c r="N10" s="452">
        <f>transport!N54</f>
        <v>0</v>
      </c>
      <c r="O10" s="452">
        <f>transport!O54</f>
        <v>0</v>
      </c>
      <c r="P10" s="453">
        <f>transport!P54</f>
        <v>0</v>
      </c>
      <c r="Q10" s="451">
        <f t="shared" si="0"/>
        <v>14.822882397697834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10.781000000000001</v>
      </c>
      <c r="C14" s="459"/>
      <c r="D14" s="459">
        <f>'SEAP template'!E25</f>
        <v>154.69999999999999</v>
      </c>
      <c r="E14" s="459"/>
      <c r="F14" s="459"/>
      <c r="G14" s="459"/>
      <c r="H14" s="459"/>
      <c r="I14" s="459"/>
      <c r="J14" s="459"/>
      <c r="K14" s="459"/>
      <c r="L14" s="459"/>
      <c r="M14" s="459"/>
      <c r="N14" s="459"/>
      <c r="O14" s="459"/>
      <c r="P14" s="460"/>
      <c r="Q14" s="451">
        <f t="shared" si="0"/>
        <v>165.48099999999999</v>
      </c>
    </row>
    <row r="15" spans="1:17" s="463" customFormat="1">
      <c r="A15" s="461" t="s">
        <v>545</v>
      </c>
      <c r="B15" s="462">
        <f ca="1">SUM(B4:B14)</f>
        <v>600.38465354705613</v>
      </c>
      <c r="C15" s="462">
        <f t="shared" ref="C15:Q15" ca="1" si="1">SUM(C4:C14)</f>
        <v>0</v>
      </c>
      <c r="D15" s="462">
        <f t="shared" ca="1" si="1"/>
        <v>455.52122632028545</v>
      </c>
      <c r="E15" s="462">
        <f t="shared" si="1"/>
        <v>17.396122172928159</v>
      </c>
      <c r="F15" s="462">
        <f t="shared" ca="1" si="1"/>
        <v>1619.3652473994189</v>
      </c>
      <c r="G15" s="462">
        <f t="shared" si="1"/>
        <v>2183.1610743006249</v>
      </c>
      <c r="H15" s="462">
        <f t="shared" si="1"/>
        <v>587.69538619471916</v>
      </c>
      <c r="I15" s="462">
        <f t="shared" si="1"/>
        <v>0</v>
      </c>
      <c r="J15" s="462">
        <f t="shared" si="1"/>
        <v>131.33169650225531</v>
      </c>
      <c r="K15" s="462">
        <f t="shared" si="1"/>
        <v>0</v>
      </c>
      <c r="L15" s="462">
        <f t="shared" ca="1" si="1"/>
        <v>0</v>
      </c>
      <c r="M15" s="462">
        <f t="shared" si="1"/>
        <v>164.72386120091431</v>
      </c>
      <c r="N15" s="462">
        <f t="shared" ca="1" si="1"/>
        <v>2.3642856863100616E-2</v>
      </c>
      <c r="O15" s="462">
        <f t="shared" si="1"/>
        <v>1.9839582193870318</v>
      </c>
      <c r="P15" s="462">
        <f t="shared" si="1"/>
        <v>0</v>
      </c>
      <c r="Q15" s="462">
        <f t="shared" ca="1" si="1"/>
        <v>5761.5868687144512</v>
      </c>
    </row>
    <row r="17" spans="1:17">
      <c r="A17" s="464" t="s">
        <v>546</v>
      </c>
      <c r="B17" s="781">
        <f ca="1">huishoudens!B10</f>
        <v>0.21140617932115602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36.718350774207082</v>
      </c>
      <c r="C22" s="452">
        <f t="shared" ref="C22:C32" ca="1" si="3">C4*$C$17</f>
        <v>0</v>
      </c>
      <c r="D22" s="452">
        <f t="shared" ref="D22:D32" si="4">D4*$D$17</f>
        <v>56.799546144000004</v>
      </c>
      <c r="E22" s="452">
        <f t="shared" ref="E22:E32" si="5">E4*$E$17</f>
        <v>0</v>
      </c>
      <c r="F22" s="452">
        <f t="shared" ref="F22:F32" si="6">F4*$F$17</f>
        <v>72.036710108272061</v>
      </c>
      <c r="G22" s="452">
        <f t="shared" ref="G22:G32" si="7">G4*$G$17</f>
        <v>0</v>
      </c>
      <c r="H22" s="452">
        <f t="shared" ref="H22:H32" si="8">H4*$H$17</f>
        <v>0</v>
      </c>
      <c r="I22" s="452">
        <f t="shared" ref="I22:I32" si="9">I4*$I$17</f>
        <v>0</v>
      </c>
      <c r="J22" s="452">
        <f t="shared" ref="J22:J32" si="10">J4*$J$17</f>
        <v>9.3237254044715421</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174.87833243095068</v>
      </c>
    </row>
    <row r="23" spans="1:17">
      <c r="A23" s="451" t="s">
        <v>155</v>
      </c>
      <c r="B23" s="452">
        <f t="shared" ca="1" si="2"/>
        <v>4.7458573195806322</v>
      </c>
      <c r="C23" s="452">
        <f t="shared" ca="1" si="3"/>
        <v>0</v>
      </c>
      <c r="D23" s="452">
        <f t="shared" ca="1" si="4"/>
        <v>1.9432056600000003</v>
      </c>
      <c r="E23" s="452">
        <f t="shared" si="5"/>
        <v>4.1175214101827264E-2</v>
      </c>
      <c r="F23" s="452">
        <f t="shared" ca="1" si="6"/>
        <v>0.73251203717912639</v>
      </c>
      <c r="G23" s="452">
        <f t="shared" si="7"/>
        <v>0</v>
      </c>
      <c r="H23" s="452">
        <f t="shared" si="8"/>
        <v>0</v>
      </c>
      <c r="I23" s="452">
        <f t="shared" si="9"/>
        <v>0</v>
      </c>
      <c r="J23" s="452">
        <f t="shared" si="10"/>
        <v>1.0447702964429106E-7</v>
      </c>
      <c r="K23" s="452">
        <f t="shared" si="11"/>
        <v>0</v>
      </c>
      <c r="L23" s="452">
        <f t="shared" ca="1" si="12"/>
        <v>0</v>
      </c>
      <c r="M23" s="452">
        <f t="shared" si="13"/>
        <v>0</v>
      </c>
      <c r="N23" s="452">
        <f t="shared" ca="1" si="14"/>
        <v>0</v>
      </c>
      <c r="O23" s="452">
        <f t="shared" si="15"/>
        <v>0</v>
      </c>
      <c r="P23" s="453">
        <f t="shared" si="16"/>
        <v>0</v>
      </c>
      <c r="Q23" s="451">
        <f t="shared" ref="Q23:Q31" ca="1" si="17">SUM(B23:P23)</f>
        <v>7.4627503353386153</v>
      </c>
    </row>
    <row r="24" spans="1:17">
      <c r="A24" s="451" t="s">
        <v>193</v>
      </c>
      <c r="B24" s="452">
        <f t="shared" ca="1" si="2"/>
        <v>2.2447108120320345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2.2447108120320345</v>
      </c>
    </row>
    <row r="25" spans="1:17">
      <c r="A25" s="451" t="s">
        <v>111</v>
      </c>
      <c r="B25" s="452">
        <f t="shared" ca="1" si="2"/>
        <v>80.565203689857981</v>
      </c>
      <c r="C25" s="452">
        <f t="shared" ca="1" si="3"/>
        <v>0</v>
      </c>
      <c r="D25" s="452">
        <f t="shared" si="4"/>
        <v>0.75068048000000009</v>
      </c>
      <c r="E25" s="452">
        <f t="shared" si="5"/>
        <v>2.6998825328591458</v>
      </c>
      <c r="F25" s="452">
        <f t="shared" si="6"/>
        <v>359.60129891019363</v>
      </c>
      <c r="G25" s="452">
        <f t="shared" si="7"/>
        <v>0</v>
      </c>
      <c r="H25" s="452">
        <f t="shared" si="8"/>
        <v>0</v>
      </c>
      <c r="I25" s="452">
        <f t="shared" si="9"/>
        <v>0</v>
      </c>
      <c r="J25" s="452">
        <f t="shared" si="10"/>
        <v>37.167695052849808</v>
      </c>
      <c r="K25" s="452">
        <f t="shared" si="11"/>
        <v>0</v>
      </c>
      <c r="L25" s="452">
        <f t="shared" si="12"/>
        <v>0</v>
      </c>
      <c r="M25" s="452">
        <f t="shared" si="13"/>
        <v>0</v>
      </c>
      <c r="N25" s="452">
        <f t="shared" si="14"/>
        <v>0</v>
      </c>
      <c r="O25" s="452">
        <f t="shared" si="15"/>
        <v>0</v>
      </c>
      <c r="P25" s="453">
        <f t="shared" si="16"/>
        <v>0</v>
      </c>
      <c r="Q25" s="451">
        <f t="shared" ca="1" si="17"/>
        <v>480.78476066576059</v>
      </c>
    </row>
    <row r="26" spans="1:17">
      <c r="A26" s="451" t="s">
        <v>625</v>
      </c>
      <c r="B26" s="452">
        <f t="shared" ca="1" si="2"/>
        <v>0</v>
      </c>
      <c r="C26" s="452">
        <f t="shared" ca="1" si="3"/>
        <v>0</v>
      </c>
      <c r="D26" s="452">
        <f t="shared" si="4"/>
        <v>0</v>
      </c>
      <c r="E26" s="452">
        <f t="shared" si="5"/>
        <v>0</v>
      </c>
      <c r="F26" s="452">
        <f t="shared" si="6"/>
        <v>0</v>
      </c>
      <c r="G26" s="452">
        <f t="shared" si="7"/>
        <v>0</v>
      </c>
      <c r="H26" s="452">
        <f t="shared" si="8"/>
        <v>0</v>
      </c>
      <c r="I26" s="452">
        <f t="shared" si="9"/>
        <v>0</v>
      </c>
      <c r="J26" s="452">
        <f t="shared" si="10"/>
        <v>0</v>
      </c>
      <c r="K26" s="452">
        <f t="shared" si="11"/>
        <v>0</v>
      </c>
      <c r="L26" s="452">
        <f t="shared" si="12"/>
        <v>0</v>
      </c>
      <c r="M26" s="452">
        <f t="shared" si="13"/>
        <v>0</v>
      </c>
      <c r="N26" s="452">
        <f t="shared" si="14"/>
        <v>0</v>
      </c>
      <c r="O26" s="452">
        <f t="shared" si="15"/>
        <v>0</v>
      </c>
      <c r="P26" s="453">
        <f t="shared" si="16"/>
        <v>0</v>
      </c>
      <c r="Q26" s="451">
        <f t="shared" ca="1" si="17"/>
        <v>0</v>
      </c>
    </row>
    <row r="27" spans="1:17" s="457" customFormat="1">
      <c r="A27" s="455" t="s">
        <v>551</v>
      </c>
      <c r="B27" s="775">
        <f t="shared" ca="1" si="2"/>
        <v>0.37173311449996344</v>
      </c>
      <c r="C27" s="456">
        <f t="shared" ca="1" si="3"/>
        <v>0</v>
      </c>
      <c r="D27" s="456">
        <f t="shared" si="4"/>
        <v>1.2724554326976576</v>
      </c>
      <c r="E27" s="456">
        <f t="shared" si="5"/>
        <v>1.2078619862937199</v>
      </c>
      <c r="F27" s="456">
        <f t="shared" si="6"/>
        <v>0</v>
      </c>
      <c r="G27" s="456">
        <f t="shared" si="7"/>
        <v>579.15465390321822</v>
      </c>
      <c r="H27" s="456">
        <f t="shared" si="8"/>
        <v>146.33615116248507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728.34285559919465</v>
      </c>
    </row>
    <row r="28" spans="1:17" ht="16.5" customHeight="1">
      <c r="A28" s="451" t="s">
        <v>541</v>
      </c>
      <c r="B28" s="452">
        <f t="shared" ca="1" si="2"/>
        <v>0</v>
      </c>
      <c r="C28" s="452">
        <f t="shared" ca="1" si="3"/>
        <v>0</v>
      </c>
      <c r="D28" s="452">
        <f t="shared" si="4"/>
        <v>0</v>
      </c>
      <c r="E28" s="452">
        <f t="shared" si="5"/>
        <v>0</v>
      </c>
      <c r="F28" s="452">
        <f t="shared" si="6"/>
        <v>0</v>
      </c>
      <c r="G28" s="452">
        <f t="shared" si="7"/>
        <v>3.749352935048663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3.749352935048663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2.2791700192613833</v>
      </c>
      <c r="C32" s="452">
        <f t="shared" ca="1" si="3"/>
        <v>0</v>
      </c>
      <c r="D32" s="452">
        <f t="shared" si="4"/>
        <v>31.249400000000001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33.528570019261387</v>
      </c>
    </row>
    <row r="33" spans="1:17" s="463" customFormat="1">
      <c r="A33" s="461" t="s">
        <v>545</v>
      </c>
      <c r="B33" s="462">
        <f ca="1">SUM(B22:B32)</f>
        <v>126.92502572943907</v>
      </c>
      <c r="C33" s="462">
        <f t="shared" ref="C33:Q33" ca="1" si="19">SUM(C22:C32)</f>
        <v>0</v>
      </c>
      <c r="D33" s="462">
        <f t="shared" ca="1" si="19"/>
        <v>92.015287716697657</v>
      </c>
      <c r="E33" s="462">
        <f t="shared" si="19"/>
        <v>3.948919733254693</v>
      </c>
      <c r="F33" s="462">
        <f t="shared" ca="1" si="19"/>
        <v>432.37052105564482</v>
      </c>
      <c r="G33" s="462">
        <f t="shared" si="19"/>
        <v>582.90400683826692</v>
      </c>
      <c r="H33" s="462">
        <f t="shared" si="19"/>
        <v>146.33615116248507</v>
      </c>
      <c r="I33" s="462">
        <f t="shared" si="19"/>
        <v>0</v>
      </c>
      <c r="J33" s="462">
        <f t="shared" si="19"/>
        <v>46.491420561798378</v>
      </c>
      <c r="K33" s="462">
        <f t="shared" si="19"/>
        <v>0</v>
      </c>
      <c r="L33" s="462">
        <f t="shared" ca="1" si="19"/>
        <v>0</v>
      </c>
      <c r="M33" s="462">
        <f t="shared" si="19"/>
        <v>0</v>
      </c>
      <c r="N33" s="462">
        <f t="shared" ca="1" si="19"/>
        <v>0</v>
      </c>
      <c r="O33" s="462">
        <f t="shared" si="19"/>
        <v>0</v>
      </c>
      <c r="P33" s="462">
        <f t="shared" si="19"/>
        <v>0</v>
      </c>
      <c r="Q33" s="462">
        <f t="shared" ca="1" si="19"/>
        <v>1430.9913327975867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26.063270155929057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26.063270155929057</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0.21140617932115602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0.21140617932115602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2020-06-20T15:38:05Z</dcterms:modified>
</cp:coreProperties>
</file>