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2" i="59"/>
  <c r="C20" i="16"/>
  <c r="C22" i="16" s="1"/>
  <c r="D43" i="14" s="1"/>
  <c r="C10" i="17"/>
  <c r="C12" i="17" s="1"/>
  <c r="D54" i="14" s="1"/>
  <c r="D56" i="14" s="1"/>
  <c r="C17" i="19"/>
  <c r="C19" i="19" s="1"/>
  <c r="D39" i="14" s="1"/>
  <c r="C18" i="15"/>
  <c r="C20" i="15" s="1"/>
  <c r="D40" i="14" s="1"/>
  <c r="C29" i="20"/>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<sst xmlns="http://schemas.openxmlformats.org/spreadsheetml/2006/main" count="2437" uniqueCount="909">
  <si>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</si>
  <si>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</si>
  <si>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</si>
  <si>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</si>
  <si>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</si>
  <si>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</si>
  <si>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</si>
  <si>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</si>
  <si>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</si>
  <si>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</si>
  <si>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</si>
  <si>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</si>
  <si>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</si>
  <si>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</si>
  <si>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</si>
  <si>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</si>
  <si>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</si>
  <si>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</si>
  <si>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</si>
  <si>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</si>
  <si>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</si>
  <si>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</si>
  <si>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</si>
  <si>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</si>
  <si>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</si>
  <si>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</si>
  <si>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</si>
  <si>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</si>
  <si>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</si>
  <si>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</si>
  <si>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</si>
  <si>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</si>
  <si>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</si>
  <si>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</si>
  <si>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</si>
  <si>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</si>
  <si>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</si>
  <si>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</si>
  <si>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</si>
  <si>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</si>
  <si>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</si>
  <si>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</si>
  <si>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</si>
  <si>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</si>
  <si>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</si>
  <si>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</si>
  <si>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</si>
  <si>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</si>
  <si>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</si>
  <si>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</si>
  <si>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</si>
  <si>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</si>
  <si>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</si>
  <si>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</si>
  <si>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</si>
  <si>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</si>
  <si>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</si>
  <si>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</si>
  <si>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</si>
  <si>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</si>
  <si>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</si>
  <si>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</si>
  <si>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</si>
  <si>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</si>
  <si>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</si>
  <si>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</si>
  <si>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</si>
  <si>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</si>
  <si>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</si>
  <si>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</si>
  <si>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</si>
  <si>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</si>
  <si>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</si>
  <si>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</si>
  <si>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</si>
  <si>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</si>
  <si>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</si>
  <si>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</si>
  <si>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</si>
  <si>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</si>
  <si>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</si>
  <si>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</si>
  <si>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</si>
  <si>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</si>
  <si>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</si>
  <si>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</si>
  <si>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</si>
  <si>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</si>
  <si>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</si>
  <si>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</si>
  <si>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</si>
  <si>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</si>
  <si>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</si>
  <si>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</si>
  <si>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</si>
  <si>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</si>
  <si>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</si>
  <si>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</si>
  <si>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</si>
  <si>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</si>
  <si>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</si>
  <si>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</si>
  <si>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</si>
  <si>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</si>
  <si>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</si>
  <si>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</si>
  <si>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</si>
  <si>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</si>
  <si>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</si>
  <si>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</si>
  <si>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</si>
  <si>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</si>
  <si>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</si>
  <si>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</si>
  <si>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</si>
  <si>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</si>
  <si>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</si>
  <si>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</si>
  <si>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</si>
  <si>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</si>
  <si>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</si>
  <si>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</si>
  <si>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</si>
  <si>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</si>
  <si>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</si>
  <si>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</si>
  <si>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</si>
  <si>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</si>
  <si>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</si>
  <si>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</si>
  <si>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</si>
  <si>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</si>
  <si>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</si>
  <si>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</si>
  <si>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</si>
  <si>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</si>
  <si>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</si>
  <si>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</si>
  <si>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</si>
  <si>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</si>
  <si>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</si>
  <si>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</si>
  <si>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</si>
  <si>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</si>
  <si>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</si>
  <si>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</si>
  <si>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</si>
  <si>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</si>
  <si>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</si>
  <si>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</si>
  <si>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</si>
  <si>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</si>
  <si>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</si>
  <si>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</si>
  <si>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</si>
  <si>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</si>
  <si>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</si>
  <si>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</si>
  <si>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</si>
  <si>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</si>
  <si>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</si>
  <si>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</si>
  <si>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</si>
  <si>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</si>
  <si>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</si>
  <si>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</si>
  <si>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</si>
  <si>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</si>
  <si>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</si>
  <si>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</si>
  <si>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</si>
  <si>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</si>
  <si>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</si>
  <si>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</si>
  <si>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</si>
  <si>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</si>
  <si>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</si>
  <si>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</si>
  <si>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</si>
  <si>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</si>
  <si>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</si>
  <si>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</si>
  <si>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</si>
  <si>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</si>
  <si>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</si>
  <si>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</si>
  <si>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</si>
  <si>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</si>
  <si>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</si>
  <si>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</si>
  <si>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</si>
  <si>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</si>
  <si>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</si>
  <si>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</si>
  <si>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</si>
  <si>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</si>
  <si>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</si>
  <si>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</si>
  <si>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</si>
  <si>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</si>
  <si>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</si>
  <si>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</si>
  <si>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</si>
  <si>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</si>
  <si>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</si>
  <si>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</si>
  <si>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</si>
  <si>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</si>
  <si>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</si>
  <si>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</si>
  <si>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</si>
  <si>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</si>
  <si>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</si>
  <si>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</si>
  <si>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</si>
  <si>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</si>
  <si>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</si>
  <si>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</si>
  <si>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</si>
  <si>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</si>
  <si>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</si>
  <si>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</si>
  <si>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</si>
  <si>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</si>
  <si>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</si>
  <si>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</si>
  <si>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</si>
  <si>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</si>
  <si>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</si>
  <si>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</si>
  <si>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</si>
  <si>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</si>
  <si>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</si>
  <si>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</si>
  <si>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</si>
  <si>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</si>
  <si>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</si>
  <si>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</si>
  <si>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</si>
  <si>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</si>
  <si>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</si>
  <si>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</si>
  <si>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</si>
  <si>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</si>
  <si>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</si>
  <si>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</si>
  <si>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</si>
  <si>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</si>
  <si>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</si>
  <si>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</si>
  <si>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</si>
  <si>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</si>
  <si>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</si>
  <si>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</si>
  <si>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</si>
  <si>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</si>
  <si>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</si>
  <si>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</si>
  <si>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</si>
  <si>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</si>
  <si>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</si>
  <si>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</si>
  <si>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</si>
  <si>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</si>
  <si>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</si>
  <si>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</si>
  <si>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</si>
  <si>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</si>
  <si>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</si>
  <si>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</si>
  <si>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</si>
  <si>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</si>
  <si>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</si>
  <si>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</si>
  <si>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</si>
  <si>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</si>
  <si>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</si>
  <si>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</si>
  <si>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</si>
  <si>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</si>
  <si>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</si>
  <si>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</si>
  <si>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</si>
  <si>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</si>
  <si>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</si>
  <si>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</si>
  <si>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</si>
  <si>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</si>
  <si>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</si>
  <si>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</si>
  <si>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</si>
  <si>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</si>
  <si>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</si>
  <si>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</si>
  <si>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</si>
  <si>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</si>
  <si>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</si>
  <si>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</si>
  <si>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</si>
  <si>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</si>
  <si>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</si>
  <si>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</si>
  <si>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</si>
  <si>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</si>
  <si>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</si>
  <si>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</si>
  <si>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</si>
  <si>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</si>
  <si>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</si>
  <si>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</si>
  <si>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</si>
  <si>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</si>
  <si>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</si>
  <si>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</si>
  <si>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</si>
  <si>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</si>
  <si>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</si>
  <si>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</si>
  <si>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</si>
  <si>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</si>
  <si>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</si>
  <si>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</si>
  <si>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</si>
  <si>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</si>
  <si>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</si>
  <si>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</si>
  <si>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</si>
  <si>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</si>
  <si>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</si>
  <si>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</si>
  <si>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</si>
  <si>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</si>
  <si>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</si>
  <si>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</si>
  <si>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</si>
  <si>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</si>
  <si>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</si>
  <si>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</si>
  <si>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</si>
  <si>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</si>
  <si>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</si>
  <si>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</si>
  <si>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</si>
  <si>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</si>
  <si>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</si>
  <si>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</si>
  <si>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</si>
  <si>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</si>
  <si>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</si>
  <si>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</si>
  <si>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</si>
  <si>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</si>
  <si>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</si>
  <si>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</si>
  <si>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</si>
  <si>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</si>
  <si>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</si>
  <si>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</si>
  <si>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</si>
  <si>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</si>
  <si>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</si>
  <si>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</si>
  <si>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</si>
  <si>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</si>
  <si>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</si>
  <si>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</si>
  <si>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</si>
  <si>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</si>
  <si>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</si>
  <si>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</si>
  <si>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</si>
  <si>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</si>
  <si>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</si>
  <si>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</si>
  <si>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</si>
  <si>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</si>
  <si>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</si>
  <si>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</si>
  <si>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</si>
  <si>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</si>
  <si>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</si>
  <si>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</si>
  <si>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</si>
  <si>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</si>
  <si>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</si>
  <si>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</si>
  <si>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</si>
  <si>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</si>
  <si>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</si>
  <si>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</si>
  <si>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</si>
  <si>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</si>
  <si>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</si>
  <si>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</si>
  <si>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</si>
  <si>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</si>
  <si>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</si>
  <si>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</si>
  <si>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</si>
  <si>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</si>
  <si>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</si>
  <si>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</si>
  <si>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</si>
  <si>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</si>
  <si>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</si>
  <si>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</si>
  <si>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</si>
  <si>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</si>
  <si>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</si>
  <si>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</si>
  <si>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</si>
  <si>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</si>
  <si>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</si>
  <si>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</si>
  <si>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</si>
  <si>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</si>
  <si>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</si>
  <si>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</si>
  <si>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</si>
  <si>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</si>
  <si>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</si>
  <si>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</si>
  <si>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</si>
  <si>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</si>
  <si>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</si>
  <si>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</si>
  <si>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</si>
  <si>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</si>
  <si>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</si>
  <si>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</si>
  <si>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</si>
  <si>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</si>
  <si>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</si>
  <si>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</si>
  <si>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</si>
  <si>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</si>
  <si>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</si>
  <si>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</si>
  <si>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</si>
  <si>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</si>
  <si>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</si>
  <si>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</si>
  <si>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</si>
  <si>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</si>
  <si>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</si>
  <si>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</si>
  <si>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</si>
  <si>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</si>
  <si>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</si>
  <si>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</si>
  <si>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</si>
  <si>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</si>
  <si>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</si>
  <si>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</si>
  <si>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</si>
  <si>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</si>
  <si>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</si>
  <si>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</si>
  <si>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</si>
  <si>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</si>
  <si>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</si>
  <si>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</si>
  <si>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</si>
  <si>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</si>
  <si>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</si>
  <si>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</si>
  <si>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</si>
  <si>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</si>
  <si>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</si>
  <si>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</si>
  <si>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</si>
  <si>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</si>
  <si>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</si>
  <si>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</si>
  <si>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</si>
  <si>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</si>
  <si>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</si>
  <si>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</si>
  <si>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</si>
  <si>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</si>
  <si>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</si>
  <si>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</si>
  <si>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</si>
  <si>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</si>
  <si>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</si>
  <si>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</si>
  <si>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</si>
  <si>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</si>
  <si>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</si>
  <si>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</si>
  <si>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</si>
  <si>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</si>
  <si>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</si>
  <si>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</si>
  <si>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</si>
  <si>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</si>
  <si>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</si>
  <si>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</si>
  <si>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</si>
  <si>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</si>
  <si>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</si>
  <si>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</si>
  <si>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</si>
  <si>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</si>
  <si>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</si>
  <si>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</si>
  <si>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</si>
  <si>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</si>
  <si>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</si>
  <si>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</si>
  <si>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</si>
  <si>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</si>
  <si>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</si>
  <si>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</si>
  <si>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</si>
  <si>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</si>
  <si>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</si>
  <si>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</si>
  <si>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</si>
  <si>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</si>
  <si>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</si>
  <si>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</si>
  <si>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</si>
  <si>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</si>
  <si>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</si>
  <si>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</si>
  <si>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</si>
  <si>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</si>
  <si>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</si>
  <si>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</si>
  <si>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</si>
  <si>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</si>
  <si>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</si>
  <si>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</si>
  <si>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</si>
  <si>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</si>
  <si>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</si>
  <si>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</si>
  <si>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</si>
  <si>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</si>
  <si>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</si>
  <si>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</si>
  <si>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</si>
  <si>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</si>
  <si>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</si>
  <si>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</si>
  <si>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</si>
  <si>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</si>
  <si>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</si>
  <si>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</si>
  <si>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</si>
  <si>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</si>
  <si>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</si>
  <si>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</si>
  <si>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</si>
  <si>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</si>
  <si>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</si>
  <si>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</si>
  <si>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</si>
  <si>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</si>
  <si>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</si>
  <si>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</si>
  <si>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</si>
  <si>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</si>
  <si>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</si>
  <si>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</si>
  <si>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</si>
  <si>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</si>
  <si>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</si>
  <si>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</si>
  <si>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</si>
  <si>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</si>
  <si>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</si>
  <si>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</si>
  <si>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</si>
  <si>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</si>
  <si>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</si>
  <si>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</si>
  <si>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</si>
  <si>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</si>
  <si>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</si>
  <si>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</si>
  <si>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</si>
  <si>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</si>
  <si>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</si>
  <si>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</si>
  <si>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</si>
  <si>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</si>
  <si>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</si>
  <si>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</si>
  <si>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</si>
  <si>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</si>
  <si>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</si>
  <si>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</si>
  <si>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</si>
  <si>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</si>
  <si>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</si>
  <si>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</si>
  <si>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</si>
  <si>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</si>
  <si>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</si>
  <si>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</si>
  <si>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</si>
  <si>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</si>
  <si>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</si>
  <si>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</si>
  <si>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</si>
  <si>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</si>
  <si>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</si>
  <si>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</si>
  <si>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</si>
  <si>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</si>
  <si>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</si>
  <si>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</si>
  <si>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</si>
  <si>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</si>
  <si>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</si>
  <si>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</si>
  <si>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</si>
  <si>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</si>
  <si>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</si>
  <si>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</si>
  <si>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</si>
  <si>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</si>
  <si>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</si>
  <si>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</si>
  <si>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</si>
  <si>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</si>
  <si>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</si>
  <si>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</si>
  <si>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</si>
  <si>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</si>
  <si>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</si>
  <si>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</si>
  <si>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</si>
  <si>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</si>
  <si>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</si>
  <si>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</si>
  <si>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</si>
  <si>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</si>
  <si>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</si>
  <si>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</si>
  <si>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</si>
  <si>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</si>
  <si>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</si>
  <si>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</si>
  <si>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</si>
  <si>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</si>
  <si>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</si>
  <si>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</si>
  <si>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</si>
  <si>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</si>
  <si>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</si>
  <si>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</si>
  <si>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</si>
  <si>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</si>
  <si>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</si>
  <si>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</si>
  <si>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</si>
  <si>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</si>
  <si>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</si>
  <si>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</si>
  <si>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</si>
  <si>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</si>
  <si>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</si>
  <si>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</si>
  <si>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</si>
  <si>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</si>
  <si>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</si>
  <si>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</si>
  <si>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</si>
  <si>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</si>
  <si>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</si>
  <si>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</si>
  <si>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</si>
  <si>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</si>
  <si>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</si>
  <si>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</si>
  <si>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</si>
  <si>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</si>
  <si>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</si>
  <si>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</si>
  <si>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</si>
  <si>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</si>
  <si>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</si>
  <si>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</si>
  <si>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</si>
  <si>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</si>
  <si>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</si>
  <si>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</si>
  <si>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</si>
  <si>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</si>
  <si>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</si>
  <si>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</si>
  <si>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</si>
  <si>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</si>
  <si>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</si>
  <si>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</si>
  <si>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</si>
  <si>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</si>
  <si>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</si>
  <si>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</si>
  <si>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</si>
  <si>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</si>
  <si>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</si>
  <si>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</si>
  <si>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</si>
  <si>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</si>
  <si>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</si>
  <si>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</si>
  <si>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</si>
  <si>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</si>
  <si>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</si>
  <si>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</si>
  <si>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</si>
  <si>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</si>
  <si>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</si>
  <si>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</si>
  <si>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</si>
  <si>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</si>
  <si>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</si>
  <si>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</si>
  <si>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</si>
  <si>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</si>
  <si>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</si>
  <si>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</si>
  <si>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</si>
  <si>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</si>
  <si>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</si>
  <si>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</si>
  <si>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</si>
  <si>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</si>
  <si>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</si>
  <si>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</si>
  <si>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</si>
  <si>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</si>
  <si>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</si>
  <si>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</si>
  <si>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</si>
  <si>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</si>
  <si>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</si>
  <si>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</si>
  <si>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</si>
  <si>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</si>
  <si>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</si>
  <si>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</si>
  <si>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</si>
  <si>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</si>
  <si>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</si>
  <si>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</si>
  <si>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</si>
  <si>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</si>
  <si>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</si>
  <si>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</si>
  <si>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</si>
  <si>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</si>
  <si>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</si>
  <si>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</si>
  <si>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</si>
  <si>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</si>
  <si>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</si>
  <si>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</si>
  <si>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</si>
  <si>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</si>
  <si>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</si>
  <si>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</si>
  <si>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</si>
  <si>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</si>
  <si>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</si>
  <si>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</si>
  <si>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</si>
  <si>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</si>
  <si>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</si>
  <si>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</si>
  <si>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</si>
  <si>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</si>
  <si>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</si>
  <si>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</si>
  <si>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</si>
  <si>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</si>
  <si>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</si>
  <si>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</si>
  <si>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</si>
  <si>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</si>
  <si>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</si>
  <si>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</si>
  <si>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</si>
  <si>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</si>
  <si>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</si>
  <si>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</si>
  <si>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</si>
  <si>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</si>
  <si>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</si>
  <si>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</si>
  <si>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</si>
  <si>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</si>
  <si>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</si>
  <si>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</si>
  <si>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</si>
  <si>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</si>
  <si>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</si>
  <si>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</si>
  <si>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</si>
  <si>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</si>
  <si>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</si>
  <si>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</si>
  <si>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</si>
  <si>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</si>
  <si>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</si>
  <si>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</si>
  <si>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</si>
  <si>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</si>
  <si>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</si>
  <si>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</si>
  <si>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</si>
  <si>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</si>
  <si>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</si>
  <si>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</si>
  <si>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</si>
  <si>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</si>
  <si>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</si>
  <si>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</si>
  <si>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</si>
  <si>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</si>
  <si>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</si>
  <si>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</si>
  <si>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</si>
  <si>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</si>
  <si>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</si>
  <si>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</si>
  <si>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</si>
  <si>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</si>
  <si>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</si>
  <si>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</si>
  <si>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</si>
  <si>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</si>
  <si>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</si>
  <si>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</si>
  <si>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</si>
  <si>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</si>
  <si>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</si>
  <si>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</si>
  <si>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</si>
  <si>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</si>
  <si>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</si>
  <si>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</si>
  <si>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</si>
  <si>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</si>
  <si>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</si>
  <si>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</si>
  <si>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</si>
  <si>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</si>
  <si>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</si>
  <si>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</si>
  <si>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</si>
  <si>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</si>
  <si>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</si>
  <si>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</si>
  <si>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</si>
  <si>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</si>
  <si>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</si>
  <si>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</si>
  <si>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</si>
  <si>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</si>
  <si>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</si>
  <si>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</si>
  <si>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</si>
  <si>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</si>
  <si>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</si>
  <si>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</si>
  <si>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</si>
  <si>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</si>
  <si>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</si>
  <si>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</si>
  <si>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</si>
  <si>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</si>
  <si>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</si>
  <si>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</si>
  <si>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</si>
  <si>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</si>
  <si>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</si>
  <si>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</si>
  <si>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</si>
  <si>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</si>
  <si>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</si>
  <si>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72039</t>
  </si>
  <si>
    <t>HOUTHALEN-HELCHTEREN</t>
  </si>
  <si>
    <t>referentietaak LNE (2017); Jaarverslag De Lijn</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</si>
  <si>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</si>
  <si>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</si>
  <si>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</si>
  <si>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</si>
  <si>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</si>
  <si>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</si>
  <si>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</si>
  <si>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</si>
  <si>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</si>
  <si>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Timmers</t>
  </si>
  <si>
    <t>WKK-0845</t>
  </si>
  <si>
    <t>Brandstofcel</t>
  </si>
  <si>
    <t>brandstofcel</t>
  </si>
  <si>
    <t>Maasveld 4</t>
  </si>
  <si>
    <t>Inter-energa (via INFRAX)</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</si>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</sst>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240275.19977908005</c:v>
                </c:pt>
                <c:pt idx="1">
                  <c:v>120802.3830698643</c:v>
                </c:pt>
                <c:pt idx="2">
                  <c:v>1689.75</c:v>
                </c:pt>
                <c:pt idx="3">
                  <c:v>21093.220276253724</c:v>
                </c:pt>
                <c:pt idx="4">
                  <c:v>66656.454670042673</c:v>
                </c:pt>
                <c:pt idx="5">
                  <c:v>225223.40107883132</c:v>
                </c:pt>
                <c:pt idx="6">
                  <c:v>3809.3241323294778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240275.19977908005</c:v>
                </c:pt>
                <c:pt idx="1">
                  <c:v>120802.3830698643</c:v>
                </c:pt>
                <c:pt idx="2">
                  <c:v>1689.75</c:v>
                </c:pt>
                <c:pt idx="3">
                  <c:v>21093.220276253724</c:v>
                </c:pt>
                <c:pt idx="4">
                  <c:v>66656.454670042673</c:v>
                </c:pt>
                <c:pt idx="5">
                  <c:v>225223.40107883132</c:v>
                </c:pt>
                <c:pt idx="6">
                  <c:v>3809.3241323294778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44554.521021536231</c:v>
                </c:pt>
                <c:pt idx="1">
                  <c:v>21662.10077782828</c:v>
                </c:pt>
                <c:pt idx="2">
                  <c:v>259.22182529220441</c:v>
                </c:pt>
                <c:pt idx="3">
                  <c:v>650.46628211404573</c:v>
                </c:pt>
                <c:pt idx="4">
                  <c:v>12348.110016038398</c:v>
                </c:pt>
                <c:pt idx="5">
                  <c:v>55996.045553442309</c:v>
                </c:pt>
                <c:pt idx="6">
                  <c:v>963.54408224404904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44554.521021536231</c:v>
                </c:pt>
                <c:pt idx="1">
                  <c:v>21662.10077782828</c:v>
                </c:pt>
                <c:pt idx="2">
                  <c:v>259.22182529220441</c:v>
                </c:pt>
                <c:pt idx="3">
                  <c:v>650.46628211404573</c:v>
                </c:pt>
                <c:pt idx="4">
                  <c:v>12348.110016038398</c:v>
                </c:pt>
                <c:pt idx="5">
                  <c:v>55996.045553442309</c:v>
                </c:pt>
                <c:pt idx="6">
                  <c:v>963.54408224404904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72039</v>
      </c>
      <c r="B6" s="390"/>
      <c r="C6" s="391"/>
    </row>
    <row r="7" spans="1:7" s="388" customFormat="1" ht="15.75" customHeight="1">
      <c r="A7" s="392" t="str">
        <f>txtMunicipality</f>
        <v>HOUTHALEN-HELCHTEREN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0.15340838898784104</v>
      </c>
      <c r="C17" s="501">
        <f ca="1">'EF ele_warmte'!B22</f>
        <v>1.0692320117344256E-2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0.15340838898784104</v>
      </c>
      <c r="C29" s="502">
        <f ca="1">'EF ele_warmte'!B22</f>
        <v>1.0692320117344256E-2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11784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2477.71</v>
      </c>
      <c r="C14" s="330"/>
      <c r="D14" s="330"/>
      <c r="E14" s="330"/>
      <c r="F14" s="330"/>
    </row>
    <row r="15" spans="1:6">
      <c r="A15" s="1298" t="s">
        <v>183</v>
      </c>
      <c r="B15" s="1299">
        <v>1241</v>
      </c>
      <c r="C15" s="330"/>
      <c r="D15" s="330"/>
      <c r="E15" s="330"/>
      <c r="F15" s="330"/>
    </row>
    <row r="16" spans="1:6">
      <c r="A16" s="1298" t="s">
        <v>6</v>
      </c>
      <c r="B16" s="1299">
        <v>409</v>
      </c>
      <c r="C16" s="330"/>
      <c r="D16" s="330"/>
      <c r="E16" s="330"/>
      <c r="F16" s="330"/>
    </row>
    <row r="17" spans="1:6">
      <c r="A17" s="1298" t="s">
        <v>7</v>
      </c>
      <c r="B17" s="1299">
        <v>15</v>
      </c>
      <c r="C17" s="330"/>
      <c r="D17" s="330"/>
      <c r="E17" s="330"/>
      <c r="F17" s="330"/>
    </row>
    <row r="18" spans="1:6">
      <c r="A18" s="1298" t="s">
        <v>8</v>
      </c>
      <c r="B18" s="1299">
        <v>190</v>
      </c>
      <c r="C18" s="330"/>
      <c r="D18" s="330"/>
      <c r="E18" s="330"/>
      <c r="F18" s="330"/>
    </row>
    <row r="19" spans="1:6">
      <c r="A19" s="1298" t="s">
        <v>9</v>
      </c>
      <c r="B19" s="1299">
        <v>203</v>
      </c>
      <c r="C19" s="330"/>
      <c r="D19" s="330"/>
      <c r="E19" s="330"/>
      <c r="F19" s="330"/>
    </row>
    <row r="20" spans="1:6">
      <c r="A20" s="1298" t="s">
        <v>10</v>
      </c>
      <c r="B20" s="1299">
        <v>73</v>
      </c>
      <c r="C20" s="330"/>
      <c r="D20" s="330"/>
      <c r="E20" s="330"/>
      <c r="F20" s="330"/>
    </row>
    <row r="21" spans="1:6">
      <c r="A21" s="1298" t="s">
        <v>11</v>
      </c>
      <c r="B21" s="1299">
        <v>4695</v>
      </c>
      <c r="C21" s="330"/>
      <c r="D21" s="330"/>
      <c r="E21" s="330"/>
      <c r="F21" s="330"/>
    </row>
    <row r="22" spans="1:6">
      <c r="A22" s="1298" t="s">
        <v>12</v>
      </c>
      <c r="B22" s="1299">
        <v>2878</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1247</v>
      </c>
      <c r="C26" s="330"/>
      <c r="D26" s="330"/>
      <c r="E26" s="330"/>
      <c r="F26" s="330"/>
    </row>
    <row r="27" spans="1:6">
      <c r="A27" s="1298" t="s">
        <v>17</v>
      </c>
      <c r="B27" s="1299">
        <v>0</v>
      </c>
      <c r="C27" s="330"/>
      <c r="D27" s="330"/>
      <c r="E27" s="330"/>
      <c r="F27" s="330"/>
    </row>
    <row r="28" spans="1:6" s="43" customFormat="1">
      <c r="A28" s="1300" t="s">
        <v>18</v>
      </c>
      <c r="B28" s="1301">
        <v>27537</v>
      </c>
      <c r="C28" s="336"/>
      <c r="D28" s="336"/>
      <c r="E28" s="336"/>
      <c r="F28" s="336"/>
    </row>
    <row r="29" spans="1:6">
      <c r="A29" s="1300" t="s">
        <v>705</v>
      </c>
      <c r="B29" s="1301">
        <v>85</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8</v>
      </c>
      <c r="F36" s="1299">
        <v>281105</v>
      </c>
    </row>
    <row r="37" spans="1:6">
      <c r="A37" s="1298" t="s">
        <v>24</v>
      </c>
      <c r="B37" s="1298" t="s">
        <v>27</v>
      </c>
      <c r="C37" s="1299">
        <v>0</v>
      </c>
      <c r="D37" s="1299">
        <v>0</v>
      </c>
      <c r="E37" s="1299">
        <v>0</v>
      </c>
      <c r="F37" s="1299">
        <v>0</v>
      </c>
    </row>
    <row r="38" spans="1:6">
      <c r="A38" s="1298" t="s">
        <v>24</v>
      </c>
      <c r="B38" s="1298" t="s">
        <v>28</v>
      </c>
      <c r="C38" s="1299">
        <v>2</v>
      </c>
      <c r="D38" s="1299">
        <v>279926</v>
      </c>
      <c r="E38" s="1299">
        <v>3</v>
      </c>
      <c r="F38" s="1299">
        <v>25315</v>
      </c>
    </row>
    <row r="39" spans="1:6">
      <c r="A39" s="1298" t="s">
        <v>29</v>
      </c>
      <c r="B39" s="1298" t="s">
        <v>30</v>
      </c>
      <c r="C39" s="1299">
        <v>6547</v>
      </c>
      <c r="D39" s="1299">
        <v>95480091.349999994</v>
      </c>
      <c r="E39" s="1299">
        <v>11772</v>
      </c>
      <c r="F39" s="1299">
        <v>36837195.600000001</v>
      </c>
    </row>
    <row r="40" spans="1:6">
      <c r="A40" s="1298" t="s">
        <v>29</v>
      </c>
      <c r="B40" s="1298" t="s">
        <v>28</v>
      </c>
      <c r="C40" s="1299">
        <v>0</v>
      </c>
      <c r="D40" s="1299">
        <v>0</v>
      </c>
      <c r="E40" s="1299">
        <v>0</v>
      </c>
      <c r="F40" s="1299">
        <v>0</v>
      </c>
    </row>
    <row r="41" spans="1:6">
      <c r="A41" s="1298" t="s">
        <v>31</v>
      </c>
      <c r="B41" s="1298" t="s">
        <v>32</v>
      </c>
      <c r="C41" s="1299">
        <v>116</v>
      </c>
      <c r="D41" s="1299">
        <v>10893476.457</v>
      </c>
      <c r="E41" s="1299">
        <v>217</v>
      </c>
      <c r="F41" s="1299">
        <v>7822167.2999999998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23</v>
      </c>
      <c r="D44" s="1299">
        <v>11652770</v>
      </c>
      <c r="E44" s="1299">
        <v>44</v>
      </c>
      <c r="F44" s="1299">
        <v>11584507</v>
      </c>
    </row>
    <row r="45" spans="1:6">
      <c r="A45" s="1298" t="s">
        <v>31</v>
      </c>
      <c r="B45" s="1298" t="s">
        <v>36</v>
      </c>
      <c r="C45" s="1299">
        <v>7</v>
      </c>
      <c r="D45" s="1299">
        <v>5839206.4579999996</v>
      </c>
      <c r="E45" s="1299">
        <v>9</v>
      </c>
      <c r="F45" s="1299">
        <v>4110622</v>
      </c>
    </row>
    <row r="46" spans="1:6">
      <c r="A46" s="1298" t="s">
        <v>31</v>
      </c>
      <c r="B46" s="1298" t="s">
        <v>37</v>
      </c>
      <c r="C46" s="1299">
        <v>0</v>
      </c>
      <c r="D46" s="1299">
        <v>0</v>
      </c>
      <c r="E46" s="1299">
        <v>0</v>
      </c>
      <c r="F46" s="1299">
        <v>0</v>
      </c>
    </row>
    <row r="47" spans="1:6">
      <c r="A47" s="1298" t="s">
        <v>31</v>
      </c>
      <c r="B47" s="1298" t="s">
        <v>38</v>
      </c>
      <c r="C47" s="1299">
        <v>5</v>
      </c>
      <c r="D47" s="1299">
        <v>254607</v>
      </c>
      <c r="E47" s="1299">
        <v>8</v>
      </c>
      <c r="F47" s="1299">
        <v>982923</v>
      </c>
    </row>
    <row r="48" spans="1:6">
      <c r="A48" s="1298" t="s">
        <v>31</v>
      </c>
      <c r="B48" s="1298" t="s">
        <v>28</v>
      </c>
      <c r="C48" s="1299">
        <v>2</v>
      </c>
      <c r="D48" s="1299">
        <v>1376048</v>
      </c>
      <c r="E48" s="1299">
        <v>2</v>
      </c>
      <c r="F48" s="1299">
        <v>77239</v>
      </c>
    </row>
    <row r="49" spans="1:6">
      <c r="A49" s="1298" t="s">
        <v>31</v>
      </c>
      <c r="B49" s="1298" t="s">
        <v>39</v>
      </c>
      <c r="C49" s="1299">
        <v>4</v>
      </c>
      <c r="D49" s="1299">
        <v>183080</v>
      </c>
      <c r="E49" s="1299">
        <v>4</v>
      </c>
      <c r="F49" s="1299">
        <v>163388</v>
      </c>
    </row>
    <row r="50" spans="1:6">
      <c r="A50" s="1298" t="s">
        <v>31</v>
      </c>
      <c r="B50" s="1298" t="s">
        <v>40</v>
      </c>
      <c r="C50" s="1299">
        <v>10</v>
      </c>
      <c r="D50" s="1299">
        <v>757261</v>
      </c>
      <c r="E50" s="1299">
        <v>16</v>
      </c>
      <c r="F50" s="1299">
        <v>670996.11399999994</v>
      </c>
    </row>
    <row r="51" spans="1:6">
      <c r="A51" s="1298" t="s">
        <v>41</v>
      </c>
      <c r="B51" s="1298" t="s">
        <v>42</v>
      </c>
      <c r="C51" s="1299">
        <v>0</v>
      </c>
      <c r="D51" s="1299">
        <v>0</v>
      </c>
      <c r="E51" s="1299">
        <v>17</v>
      </c>
      <c r="F51" s="1299">
        <v>353651</v>
      </c>
    </row>
    <row r="52" spans="1:6">
      <c r="A52" s="1298" t="s">
        <v>41</v>
      </c>
      <c r="B52" s="1298" t="s">
        <v>28</v>
      </c>
      <c r="C52" s="1299">
        <v>2</v>
      </c>
      <c r="D52" s="1299">
        <v>105923</v>
      </c>
      <c r="E52" s="1299">
        <v>0</v>
      </c>
      <c r="F52" s="1299">
        <v>0</v>
      </c>
    </row>
    <row r="53" spans="1:6">
      <c r="A53" s="1298" t="s">
        <v>43</v>
      </c>
      <c r="B53" s="1298" t="s">
        <v>44</v>
      </c>
      <c r="C53" s="1299">
        <v>80</v>
      </c>
      <c r="D53" s="1299">
        <v>4924622.2860000003</v>
      </c>
      <c r="E53" s="1299">
        <v>194</v>
      </c>
      <c r="F53" s="1299">
        <v>4766466.05</v>
      </c>
    </row>
    <row r="54" spans="1:6">
      <c r="A54" s="1298" t="s">
        <v>45</v>
      </c>
      <c r="B54" s="1298" t="s">
        <v>46</v>
      </c>
      <c r="C54" s="1299">
        <v>0</v>
      </c>
      <c r="D54" s="1299">
        <v>0</v>
      </c>
      <c r="E54" s="1299">
        <v>3</v>
      </c>
      <c r="F54" s="1299">
        <v>1689750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84</v>
      </c>
      <c r="D57" s="1299">
        <v>17243712.050000001</v>
      </c>
      <c r="E57" s="1299">
        <v>176</v>
      </c>
      <c r="F57" s="1299">
        <v>23569768.250999998</v>
      </c>
    </row>
    <row r="58" spans="1:6">
      <c r="A58" s="1298" t="s">
        <v>48</v>
      </c>
      <c r="B58" s="1298" t="s">
        <v>50</v>
      </c>
      <c r="C58" s="1299">
        <v>38</v>
      </c>
      <c r="D58" s="1299">
        <v>2441846</v>
      </c>
      <c r="E58" s="1299">
        <v>93</v>
      </c>
      <c r="F58" s="1299">
        <v>1958692</v>
      </c>
    </row>
    <row r="59" spans="1:6">
      <c r="A59" s="1298" t="s">
        <v>48</v>
      </c>
      <c r="B59" s="1298" t="s">
        <v>51</v>
      </c>
      <c r="C59" s="1299">
        <v>166</v>
      </c>
      <c r="D59" s="1299">
        <v>9599955.2219999991</v>
      </c>
      <c r="E59" s="1299">
        <v>326</v>
      </c>
      <c r="F59" s="1299">
        <v>11522479.865</v>
      </c>
    </row>
    <row r="60" spans="1:6">
      <c r="A60" s="1298" t="s">
        <v>48</v>
      </c>
      <c r="B60" s="1298" t="s">
        <v>52</v>
      </c>
      <c r="C60" s="1299">
        <v>77</v>
      </c>
      <c r="D60" s="1299">
        <v>9810068.9000000004</v>
      </c>
      <c r="E60" s="1299">
        <v>134</v>
      </c>
      <c r="F60" s="1299">
        <v>5789233.7489999998</v>
      </c>
    </row>
    <row r="61" spans="1:6">
      <c r="A61" s="1298" t="s">
        <v>48</v>
      </c>
      <c r="B61" s="1298" t="s">
        <v>53</v>
      </c>
      <c r="C61" s="1299">
        <v>197</v>
      </c>
      <c r="D61" s="1299">
        <v>10810154.35</v>
      </c>
      <c r="E61" s="1299">
        <v>379</v>
      </c>
      <c r="F61" s="1299">
        <v>6355333.7719999999</v>
      </c>
    </row>
    <row r="62" spans="1:6">
      <c r="A62" s="1298" t="s">
        <v>48</v>
      </c>
      <c r="B62" s="1298" t="s">
        <v>54</v>
      </c>
      <c r="C62" s="1299">
        <v>30</v>
      </c>
      <c r="D62" s="1299">
        <v>4680511.5140000004</v>
      </c>
      <c r="E62" s="1299">
        <v>32</v>
      </c>
      <c r="F62" s="1299">
        <v>840722.71400000004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395305</v>
      </c>
      <c r="E65" s="1299">
        <v>0</v>
      </c>
      <c r="F65" s="1299">
        <v>0</v>
      </c>
    </row>
    <row r="66" spans="1:6">
      <c r="A66" s="1298" t="s">
        <v>55</v>
      </c>
      <c r="B66" s="1298" t="s">
        <v>57</v>
      </c>
      <c r="C66" s="1299">
        <v>0</v>
      </c>
      <c r="D66" s="1299">
        <v>0</v>
      </c>
      <c r="E66" s="1299">
        <v>21</v>
      </c>
      <c r="F66" s="1299">
        <v>938521.91200000001</v>
      </c>
    </row>
    <row r="67" spans="1:6">
      <c r="A67" s="1300" t="s">
        <v>55</v>
      </c>
      <c r="B67" s="1300" t="s">
        <v>58</v>
      </c>
      <c r="C67" s="1299">
        <v>0</v>
      </c>
      <c r="D67" s="1299">
        <v>0</v>
      </c>
      <c r="E67" s="1299">
        <v>0</v>
      </c>
      <c r="F67" s="1299">
        <v>0</v>
      </c>
    </row>
    <row r="68" spans="1:6">
      <c r="A68" s="1293" t="s">
        <v>55</v>
      </c>
      <c r="B68" s="1293" t="s">
        <v>59</v>
      </c>
      <c r="C68" s="1302">
        <v>8</v>
      </c>
      <c r="D68" s="1302">
        <v>449821</v>
      </c>
      <c r="E68" s="1302">
        <v>11</v>
      </c>
      <c r="F68" s="1302">
        <v>306533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146364568</v>
      </c>
      <c r="E73" s="450"/>
      <c r="F73" s="330"/>
    </row>
    <row r="74" spans="1:6">
      <c r="A74" s="1298" t="s">
        <v>63</v>
      </c>
      <c r="B74" s="1298" t="s">
        <v>647</v>
      </c>
      <c r="C74" s="1312" t="s">
        <v>649</v>
      </c>
      <c r="D74" s="1313">
        <v>11829487</v>
      </c>
      <c r="E74" s="450"/>
      <c r="F74" s="330"/>
    </row>
    <row r="75" spans="1:6">
      <c r="A75" s="1298" t="s">
        <v>64</v>
      </c>
      <c r="B75" s="1298" t="s">
        <v>646</v>
      </c>
      <c r="C75" s="1312" t="s">
        <v>650</v>
      </c>
      <c r="D75" s="1313">
        <v>50965572</v>
      </c>
      <c r="E75" s="450"/>
      <c r="F75" s="330"/>
    </row>
    <row r="76" spans="1:6">
      <c r="A76" s="1298" t="s">
        <v>64</v>
      </c>
      <c r="B76" s="1298" t="s">
        <v>647</v>
      </c>
      <c r="C76" s="1312" t="s">
        <v>651</v>
      </c>
      <c r="D76" s="1313">
        <v>723113</v>
      </c>
      <c r="E76" s="450"/>
      <c r="F76" s="330"/>
    </row>
    <row r="77" spans="1:6">
      <c r="A77" s="1298" t="s">
        <v>65</v>
      </c>
      <c r="B77" s="1298" t="s">
        <v>646</v>
      </c>
      <c r="C77" s="1312" t="s">
        <v>652</v>
      </c>
      <c r="D77" s="1313">
        <v>47684897</v>
      </c>
      <c r="E77" s="450"/>
      <c r="F77" s="330"/>
    </row>
    <row r="78" spans="1:6">
      <c r="A78" s="1293" t="s">
        <v>65</v>
      </c>
      <c r="B78" s="1293" t="s">
        <v>647</v>
      </c>
      <c r="C78" s="1293" t="s">
        <v>653</v>
      </c>
      <c r="D78" s="1314">
        <v>7997615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1045690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9195.3273560250072</v>
      </c>
      <c r="C91" s="330"/>
      <c r="D91" s="330"/>
      <c r="E91" s="330"/>
      <c r="F91" s="330"/>
    </row>
    <row r="92" spans="1:6">
      <c r="A92" s="1293" t="s">
        <v>68</v>
      </c>
      <c r="B92" s="1294">
        <v>6870.6417389587641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2539</v>
      </c>
      <c r="C97" s="330"/>
      <c r="D97" s="330"/>
      <c r="E97" s="330"/>
      <c r="F97" s="330"/>
    </row>
    <row r="98" spans="1:6">
      <c r="A98" s="1298" t="s">
        <v>71</v>
      </c>
      <c r="B98" s="1299">
        <v>4</v>
      </c>
      <c r="C98" s="330"/>
      <c r="D98" s="330"/>
      <c r="E98" s="330"/>
      <c r="F98" s="330"/>
    </row>
    <row r="99" spans="1:6">
      <c r="A99" s="1298" t="s">
        <v>72</v>
      </c>
      <c r="B99" s="1299">
        <v>32</v>
      </c>
      <c r="C99" s="330"/>
      <c r="D99" s="330"/>
      <c r="E99" s="330"/>
      <c r="F99" s="330"/>
    </row>
    <row r="100" spans="1:6">
      <c r="A100" s="1298" t="s">
        <v>73</v>
      </c>
      <c r="B100" s="1299">
        <v>215</v>
      </c>
      <c r="C100" s="330"/>
      <c r="D100" s="330"/>
      <c r="E100" s="330"/>
      <c r="F100" s="330"/>
    </row>
    <row r="101" spans="1:6">
      <c r="A101" s="1298" t="s">
        <v>74</v>
      </c>
      <c r="B101" s="1299">
        <v>70</v>
      </c>
      <c r="C101" s="330"/>
      <c r="D101" s="330"/>
      <c r="E101" s="330"/>
      <c r="F101" s="330"/>
    </row>
    <row r="102" spans="1:6">
      <c r="A102" s="1298" t="s">
        <v>75</v>
      </c>
      <c r="B102" s="1299">
        <v>101</v>
      </c>
      <c r="C102" s="330"/>
      <c r="D102" s="330"/>
      <c r="E102" s="330"/>
      <c r="F102" s="330"/>
    </row>
    <row r="103" spans="1:6">
      <c r="A103" s="1298" t="s">
        <v>76</v>
      </c>
      <c r="B103" s="1299">
        <v>138</v>
      </c>
      <c r="C103" s="330"/>
      <c r="D103" s="330"/>
      <c r="E103" s="330"/>
      <c r="F103" s="330"/>
    </row>
    <row r="104" spans="1:6">
      <c r="A104" s="1298" t="s">
        <v>77</v>
      </c>
      <c r="B104" s="1299">
        <v>6792</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40</v>
      </c>
      <c r="C123" s="1299">
        <v>37</v>
      </c>
      <c r="D123" s="330"/>
      <c r="E123" s="330"/>
      <c r="F123" s="330"/>
    </row>
    <row r="124" spans="1:6" s="43" customFormat="1">
      <c r="A124" s="1300" t="s">
        <v>88</v>
      </c>
      <c r="B124" s="1321">
        <v>1</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412</v>
      </c>
      <c r="C129" s="330"/>
      <c r="D129" s="330"/>
      <c r="E129" s="330"/>
      <c r="F129" s="330"/>
    </row>
    <row r="130" spans="1:6">
      <c r="A130" s="1298" t="s">
        <v>294</v>
      </c>
      <c r="B130" s="1299">
        <v>2</v>
      </c>
      <c r="C130" s="330"/>
      <c r="D130" s="330"/>
      <c r="E130" s="330"/>
      <c r="F130" s="330"/>
    </row>
    <row r="131" spans="1:6">
      <c r="A131" s="1298" t="s">
        <v>295</v>
      </c>
      <c r="B131" s="1299">
        <v>4</v>
      </c>
      <c r="C131" s="330"/>
      <c r="D131" s="330"/>
      <c r="E131" s="330"/>
      <c r="F131" s="330"/>
    </row>
    <row r="132" spans="1:6">
      <c r="A132" s="1293" t="s">
        <v>296</v>
      </c>
      <c r="B132" s="1294">
        <v>45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143376.51896548644</v>
      </c>
      <c r="C3" s="43" t="s">
        <v>169</v>
      </c>
      <c r="D3" s="43"/>
      <c r="E3" s="154"/>
      <c r="F3" s="43"/>
      <c r="G3" s="43"/>
      <c r="H3" s="43"/>
      <c r="I3" s="43"/>
      <c r="J3" s="43"/>
      <c r="K3" s="96"/>
    </row>
    <row r="4" spans="1:11">
      <c r="A4" s="358" t="s">
        <v>170</v>
      </c>
      <c r="B4" s="49">
        <f>IF(ISERROR('SEAP template'!B78+'SEAP template'!C78),0,'SEAP template'!B78+'SEAP template'!C78)</f>
        <v>44534.844094983768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151.15064679882241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0.15340838898784104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215.92975860658316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20194.846042471043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1.0692320117344256E-2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1689.75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1689.75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0.15340838898784104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259.22182529220441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36837.195599999999</v>
      </c>
      <c r="C5" s="17">
        <f>IF(ISERROR('Eigen informatie GS &amp; warmtenet'!B59),0,'Eigen informatie GS &amp; warmtenet'!B59)</f>
        <v>0</v>
      </c>
      <c r="D5" s="30">
        <f>(SUM(HH_hh_gas_kWh,HH_rest_gas_kWh)/1000)*0.902</f>
        <v>86123.042397699988</v>
      </c>
      <c r="E5" s="17">
        <f>B46*B57</f>
        <v>10784.165418604245</v>
      </c>
      <c r="F5" s="17">
        <f>B51*B62</f>
        <v>66096.950260105106</v>
      </c>
      <c r="G5" s="18"/>
      <c r="H5" s="17"/>
      <c r="I5" s="17"/>
      <c r="J5" s="17">
        <f>B50*B61+C50*C61</f>
        <v>0</v>
      </c>
      <c r="K5" s="17"/>
      <c r="L5" s="17"/>
      <c r="M5" s="17"/>
      <c r="N5" s="17">
        <f>B48*B59+C48*C59</f>
        <v>29433.865172802456</v>
      </c>
      <c r="O5" s="17">
        <f>B69*B70*B71</f>
        <v>898.73307338232541</v>
      </c>
      <c r="P5" s="17">
        <f>B77*B78*B79/1000-B77*B78*B79/1000/B80</f>
        <v>905.92050046091197</v>
      </c>
    </row>
    <row r="6" spans="1:16">
      <c r="A6" s="16" t="s">
        <v>611</v>
      </c>
      <c r="B6" s="783">
        <f>kWh_PV_kleiner_dan_10kW</f>
        <v>9195.3273560250072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46032.522956025008</v>
      </c>
      <c r="C8" s="21">
        <f>C5</f>
        <v>0</v>
      </c>
      <c r="D8" s="21">
        <f>D5</f>
        <v>86123.042397699988</v>
      </c>
      <c r="E8" s="21">
        <f>E5</f>
        <v>10784.165418604245</v>
      </c>
      <c r="F8" s="21">
        <f>F5</f>
        <v>66096.950260105106</v>
      </c>
      <c r="G8" s="21"/>
      <c r="H8" s="21"/>
      <c r="I8" s="21"/>
      <c r="J8" s="21">
        <f>J5</f>
        <v>0</v>
      </c>
      <c r="K8" s="21"/>
      <c r="L8" s="21">
        <f>L5</f>
        <v>0</v>
      </c>
      <c r="M8" s="21">
        <f>M5</f>
        <v>0</v>
      </c>
      <c r="N8" s="21">
        <f>N5</f>
        <v>29433.865172802456</v>
      </c>
      <c r="O8" s="21">
        <f>O5</f>
        <v>898.73307338232541</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0.15340838898784104</v>
      </c>
      <c r="C10" s="25">
        <f ca="1">'EF ele_warmte'!B22</f>
        <v>1.0692320117344256E-2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7061.7751877296068</v>
      </c>
      <c r="C12" s="23">
        <f ca="1">C10*C8</f>
        <v>0</v>
      </c>
      <c r="D12" s="23">
        <f>D8*D10</f>
        <v>17396.854564335397</v>
      </c>
      <c r="E12" s="23">
        <f>E10*E8</f>
        <v>2448.0055500231638</v>
      </c>
      <c r="F12" s="23">
        <f>F10*F8</f>
        <v>17647.885719448066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11784</v>
      </c>
      <c r="C28" s="36"/>
      <c r="D28" s="228"/>
    </row>
    <row r="29" spans="1:7" s="15" customFormat="1">
      <c r="A29" s="230" t="s">
        <v>819</v>
      </c>
      <c r="B29" s="37">
        <f>SUM(HH_hh_gas_aantal,HH_rest_gas_aantal)</f>
        <v>6547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6547</v>
      </c>
      <c r="C32" s="167">
        <f>IF(ISERROR(B32/SUM($B$32,$B$34,$B$35,$B$36,$B$38,$B$39)*100),0,B32/SUM($B$32,$B$34,$B$35,$B$36,$B$38,$B$39)*100)</f>
        <v>55.966831937083263</v>
      </c>
      <c r="D32" s="233"/>
      <c r="G32" s="15"/>
    </row>
    <row r="33" spans="1:7">
      <c r="A33" s="171" t="s">
        <v>71</v>
      </c>
      <c r="B33" s="34" t="s">
        <v>110</v>
      </c>
      <c r="C33" s="167"/>
      <c r="D33" s="233"/>
      <c r="G33" s="15"/>
    </row>
    <row r="34" spans="1:7">
      <c r="A34" s="171" t="s">
        <v>72</v>
      </c>
      <c r="B34" s="33">
        <f>IF((($B$28-$B$32-$B$39-$B$77-$B$38)*C20/100)&lt;0,0,($B$28-$B$32-$B$39-$B$77-$B$38)*C20/100)</f>
        <v>198.48075709779184</v>
      </c>
      <c r="C34" s="167">
        <f>IF(ISERROR(B34/SUM($B$32,$B$34,$B$35,$B$36,$B$38,$B$39)*100),0,B34/SUM($B$32,$B$34,$B$35,$B$36,$B$38,$B$39)*100)</f>
        <v>1.6967067626756014</v>
      </c>
      <c r="D34" s="233"/>
      <c r="G34" s="15"/>
    </row>
    <row r="35" spans="1:7">
      <c r="A35" s="171" t="s">
        <v>73</v>
      </c>
      <c r="B35" s="33">
        <f>IF((($B$28-$B$32-$B$39-$B$77-$B$38)*C21/100)&lt;0,0,($B$28-$B$32-$B$39-$B$77-$B$38)*C21/100)</f>
        <v>1333.5425867507886</v>
      </c>
      <c r="C35" s="167">
        <f>IF(ISERROR(B35/SUM($B$32,$B$34,$B$35,$B$36,$B$38,$B$39)*100),0,B35/SUM($B$32,$B$34,$B$35,$B$36,$B$38,$B$39)*100)</f>
        <v>11.399748561726692</v>
      </c>
      <c r="D35" s="233"/>
      <c r="G35" s="15"/>
    </row>
    <row r="36" spans="1:7">
      <c r="A36" s="171" t="s">
        <v>74</v>
      </c>
      <c r="B36" s="33">
        <f>IF((($B$28-$B$32-$B$39-$B$77-$B$38)*C22/100)&lt;0,0,($B$28-$B$32-$B$39-$B$77-$B$38)*C22/100)</f>
        <v>434.17665615141959</v>
      </c>
      <c r="C36" s="167">
        <f>IF(ISERROR(B36/SUM($B$32,$B$34,$B$35,$B$36,$B$38,$B$39)*100),0,B36/SUM($B$32,$B$34,$B$35,$B$36,$B$38,$B$39)*100)</f>
        <v>3.7115460433528771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3184.7999999999997</v>
      </c>
      <c r="C39" s="167">
        <f>IF(ISERROR(B39/SUM($B$32,$B$34,$B$35,$B$36,$B$38,$B$39)*100),0,B39/SUM($B$32,$B$34,$B$35,$B$36,$B$38,$B$39)*100)</f>
        <v>27.225166695161562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6547</v>
      </c>
      <c r="C44" s="34" t="s">
        <v>110</v>
      </c>
      <c r="D44" s="174"/>
    </row>
    <row r="45" spans="1:7">
      <c r="A45" s="171" t="s">
        <v>71</v>
      </c>
      <c r="B45" s="33" t="str">
        <f t="shared" si="0"/>
        <v>-</v>
      </c>
      <c r="C45" s="34" t="s">
        <v>110</v>
      </c>
      <c r="D45" s="174"/>
    </row>
    <row r="46" spans="1:7">
      <c r="A46" s="171" t="s">
        <v>72</v>
      </c>
      <c r="B46" s="33">
        <f t="shared" si="0"/>
        <v>198.48075709779184</v>
      </c>
      <c r="C46" s="34" t="s">
        <v>110</v>
      </c>
      <c r="D46" s="174"/>
    </row>
    <row r="47" spans="1:7">
      <c r="A47" s="171" t="s">
        <v>73</v>
      </c>
      <c r="B47" s="33">
        <f t="shared" si="0"/>
        <v>1333.5425867507886</v>
      </c>
      <c r="C47" s="34" t="s">
        <v>110</v>
      </c>
      <c r="D47" s="174"/>
    </row>
    <row r="48" spans="1:7">
      <c r="A48" s="171" t="s">
        <v>74</v>
      </c>
      <c r="B48" s="33">
        <f t="shared" si="0"/>
        <v>434.17665615141959</v>
      </c>
      <c r="C48" s="33">
        <f>B48*10</f>
        <v>4341.7665615141959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3184.7999999999997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50036.230350999998</v>
      </c>
      <c r="C5" s="17">
        <f>IF(ISERROR('Eigen informatie GS &amp; warmtenet'!B60),0,'Eigen informatie GS &amp; warmtenet'!B60)</f>
        <v>0</v>
      </c>
      <c r="D5" s="30">
        <f>SUM(D6:D12)</f>
        <v>49236.795728471996</v>
      </c>
      <c r="E5" s="17">
        <f>SUM(E6:E12)</f>
        <v>483.97800618502737</v>
      </c>
      <c r="F5" s="17">
        <f>SUM(F6:F12)</f>
        <v>6494.2507607492598</v>
      </c>
      <c r="G5" s="18"/>
      <c r="H5" s="17"/>
      <c r="I5" s="17"/>
      <c r="J5" s="17">
        <f>SUM(J6:J12)</f>
        <v>0.40012167332284876</v>
      </c>
      <c r="K5" s="17"/>
      <c r="L5" s="17"/>
      <c r="M5" s="17"/>
      <c r="N5" s="17">
        <f>SUM(N6:N12)</f>
        <v>15618.964345858629</v>
      </c>
      <c r="O5" s="17">
        <f>B38*B39*B40</f>
        <v>9.7945215316823084</v>
      </c>
      <c r="P5" s="17">
        <f>B46*B47*B48/1000-B46*B47*B48/1000/B49</f>
        <v>210.15655322598008</v>
      </c>
      <c r="R5" s="32"/>
    </row>
    <row r="6" spans="1:18">
      <c r="A6" s="32" t="s">
        <v>53</v>
      </c>
      <c r="B6" s="37">
        <f>B26</f>
        <v>6355.333772</v>
      </c>
      <c r="C6" s="33"/>
      <c r="D6" s="37">
        <f>IF(ISERROR(TER_kantoor_gas_kWh/1000),0,TER_kantoor_gas_kWh/1000)*0.902</f>
        <v>9750.759223699999</v>
      </c>
      <c r="E6" s="33">
        <f>$C$26*'E Balans VL '!I12/100/3.6*1000000</f>
        <v>51.13933318274335</v>
      </c>
      <c r="F6" s="33">
        <f>$C$26*('E Balans VL '!L12+'E Balans VL '!N12)/100/3.6*1000000</f>
        <v>777.00640959784357</v>
      </c>
      <c r="G6" s="34"/>
      <c r="H6" s="33"/>
      <c r="I6" s="33"/>
      <c r="J6" s="33">
        <f>$C$26*('E Balans VL '!D12+'E Balans VL '!E12)/100/3.6*1000000</f>
        <v>0</v>
      </c>
      <c r="K6" s="33"/>
      <c r="L6" s="33"/>
      <c r="M6" s="33"/>
      <c r="N6" s="33">
        <f>$C$26*'E Balans VL '!Y12/100/3.6*1000000</f>
        <v>3.4156789361354813</v>
      </c>
      <c r="O6" s="33"/>
      <c r="P6" s="33"/>
      <c r="R6" s="32"/>
    </row>
    <row r="7" spans="1:18">
      <c r="A7" s="32" t="s">
        <v>52</v>
      </c>
      <c r="B7" s="37">
        <f t="shared" ref="B7:B12" si="0">B27</f>
        <v>5789.233749</v>
      </c>
      <c r="C7" s="33"/>
      <c r="D7" s="37">
        <f>IF(ISERROR(TER_horeca_gas_kWh/1000),0,TER_horeca_gas_kWh/1000)*0.902</f>
        <v>8848.6821478000002</v>
      </c>
      <c r="E7" s="33">
        <f>$C$27*'E Balans VL '!I9/100/3.6*1000000</f>
        <v>62.162154591508873</v>
      </c>
      <c r="F7" s="33">
        <f>$C$27*('E Balans VL '!L9+'E Balans VL '!N9)/100/3.6*1000000</f>
        <v>696.30443865452037</v>
      </c>
      <c r="G7" s="34"/>
      <c r="H7" s="33"/>
      <c r="I7" s="33"/>
      <c r="J7" s="33">
        <f>$C$27*('E Balans VL '!D9+'E Balans VL '!E9)/100/3.6*1000000</f>
        <v>0</v>
      </c>
      <c r="K7" s="33"/>
      <c r="L7" s="33"/>
      <c r="M7" s="33"/>
      <c r="N7" s="33">
        <f>$C$27*'E Balans VL '!Y9/100/3.6*1000000</f>
        <v>0.86792347312087004</v>
      </c>
      <c r="O7" s="33"/>
      <c r="P7" s="33"/>
      <c r="R7" s="32"/>
    </row>
    <row r="8" spans="1:18">
      <c r="A8" s="6" t="s">
        <v>51</v>
      </c>
      <c r="B8" s="37">
        <f t="shared" si="0"/>
        <v>11522.479864999999</v>
      </c>
      <c r="C8" s="33"/>
      <c r="D8" s="37">
        <f>IF(ISERROR(TER_handel_gas_kWh/1000),0,TER_handel_gas_kWh/1000)*0.902</f>
        <v>8659.1596102439999</v>
      </c>
      <c r="E8" s="33">
        <f>$C$28*'E Balans VL '!I13/100/3.6*1000000</f>
        <v>309.22808384669582</v>
      </c>
      <c r="F8" s="33">
        <f>$C$28*('E Balans VL '!L13+'E Balans VL '!N13)/100/3.6*1000000</f>
        <v>1099.5997111074298</v>
      </c>
      <c r="G8" s="34"/>
      <c r="H8" s="33"/>
      <c r="I8" s="33"/>
      <c r="J8" s="33">
        <f>$C$28*('E Balans VL '!D13+'E Balans VL '!E13)/100/3.6*1000000</f>
        <v>0</v>
      </c>
      <c r="K8" s="33"/>
      <c r="L8" s="33"/>
      <c r="M8" s="33"/>
      <c r="N8" s="33">
        <f>$C$28*'E Balans VL '!Y13/100/3.6*1000000</f>
        <v>4.5676420335237591</v>
      </c>
      <c r="O8" s="33"/>
      <c r="P8" s="33"/>
      <c r="R8" s="32"/>
    </row>
    <row r="9" spans="1:18">
      <c r="A9" s="32" t="s">
        <v>50</v>
      </c>
      <c r="B9" s="37">
        <f t="shared" si="0"/>
        <v>1958.692</v>
      </c>
      <c r="C9" s="33"/>
      <c r="D9" s="37">
        <f>IF(ISERROR(TER_gezond_gas_kWh/1000),0,TER_gezond_gas_kWh/1000)*0.902</f>
        <v>2202.5450919999998</v>
      </c>
      <c r="E9" s="33">
        <f>$C$29*'E Balans VL '!I10/100/3.6*1000000</f>
        <v>3.6712265858099351</v>
      </c>
      <c r="F9" s="33">
        <f>$C$29*('E Balans VL '!L10+'E Balans VL '!N10)/100/3.6*1000000</f>
        <v>161.02235408742726</v>
      </c>
      <c r="G9" s="34"/>
      <c r="H9" s="33"/>
      <c r="I9" s="33"/>
      <c r="J9" s="33">
        <f>$C$29*('E Balans VL '!D10+'E Balans VL '!E10)/100/3.6*1000000</f>
        <v>0</v>
      </c>
      <c r="K9" s="33"/>
      <c r="L9" s="33"/>
      <c r="M9" s="33"/>
      <c r="N9" s="33">
        <f>$C$29*'E Balans VL '!Y10/100/3.6*1000000</f>
        <v>15.240085154215285</v>
      </c>
      <c r="O9" s="33"/>
      <c r="P9" s="33"/>
      <c r="R9" s="32"/>
    </row>
    <row r="10" spans="1:18">
      <c r="A10" s="32" t="s">
        <v>49</v>
      </c>
      <c r="B10" s="37">
        <f t="shared" si="0"/>
        <v>23569.768250999998</v>
      </c>
      <c r="C10" s="33"/>
      <c r="D10" s="37">
        <f>IF(ISERROR(TER_ander_gas_kWh/1000),0,TER_ander_gas_kWh/1000)*0.902</f>
        <v>15553.828269100002</v>
      </c>
      <c r="E10" s="33">
        <f>$C$30*'E Balans VL '!I14/100/3.6*1000000</f>
        <v>36.333036587687971</v>
      </c>
      <c r="F10" s="33">
        <f>$C$30*('E Balans VL '!L14+'E Balans VL '!N14)/100/3.6*1000000</f>
        <v>3659.2130277600104</v>
      </c>
      <c r="G10" s="34"/>
      <c r="H10" s="33"/>
      <c r="I10" s="33"/>
      <c r="J10" s="33">
        <f>$C$30*('E Balans VL '!D14+'E Balans VL '!E14)/100/3.6*1000000</f>
        <v>0.40012167332284876</v>
      </c>
      <c r="K10" s="33"/>
      <c r="L10" s="33"/>
      <c r="M10" s="33"/>
      <c r="N10" s="33">
        <f>$C$30*'E Balans VL '!Y14/100/3.6*1000000</f>
        <v>15593.003269459508</v>
      </c>
      <c r="O10" s="33"/>
      <c r="P10" s="33"/>
      <c r="R10" s="32"/>
    </row>
    <row r="11" spans="1:18">
      <c r="A11" s="32" t="s">
        <v>54</v>
      </c>
      <c r="B11" s="37">
        <f t="shared" si="0"/>
        <v>840.722714</v>
      </c>
      <c r="C11" s="33"/>
      <c r="D11" s="37">
        <f>IF(ISERROR(TER_onderwijs_gas_kWh/1000),0,TER_onderwijs_gas_kWh/1000)*0.902</f>
        <v>4221.8213856280008</v>
      </c>
      <c r="E11" s="33">
        <f>$C$31*'E Balans VL '!I11/100/3.6*1000000</f>
        <v>21.444171390581417</v>
      </c>
      <c r="F11" s="33">
        <f>$C$31*('E Balans VL '!L11+'E Balans VL '!N11)/100/3.6*1000000</f>
        <v>101.10481954202875</v>
      </c>
      <c r="G11" s="34"/>
      <c r="H11" s="33"/>
      <c r="I11" s="33"/>
      <c r="J11" s="33">
        <f>$C$31*('E Balans VL '!D11+'E Balans VL '!E11)/100/3.6*1000000</f>
        <v>0</v>
      </c>
      <c r="K11" s="33"/>
      <c r="L11" s="33"/>
      <c r="M11" s="33"/>
      <c r="N11" s="33">
        <f>$C$31*'E Balans VL '!Y11/100/3.6*1000000</f>
        <v>1.8697468021250176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14338.875</v>
      </c>
      <c r="C13" s="247">
        <f ca="1">'lokale energieproductie'!O40+'lokale energieproductie'!O33</f>
        <v>9.1317567567567561</v>
      </c>
      <c r="D13" s="308">
        <f ca="1">('lokale energieproductie'!P33+'lokale energieproductie'!P40)*(-1)</f>
        <v>-17.22972972972973</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-40950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64375.105350999998</v>
      </c>
      <c r="C16" s="21">
        <f t="shared" ca="1" si="1"/>
        <v>9.1317567567567561</v>
      </c>
      <c r="D16" s="21">
        <f t="shared" ca="1" si="1"/>
        <v>49219.56599874227</v>
      </c>
      <c r="E16" s="21">
        <f t="shared" si="1"/>
        <v>483.97800618502737</v>
      </c>
      <c r="F16" s="21">
        <f t="shared" ca="1" si="1"/>
        <v>6494.2507607492598</v>
      </c>
      <c r="G16" s="21">
        <f t="shared" si="1"/>
        <v>0</v>
      </c>
      <c r="H16" s="21">
        <f t="shared" si="1"/>
        <v>0</v>
      </c>
      <c r="I16" s="21">
        <f t="shared" si="1"/>
        <v>0</v>
      </c>
      <c r="J16" s="21">
        <f t="shared" si="1"/>
        <v>0.40012167332284876</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0.15340838898784104</v>
      </c>
      <c r="C18" s="25">
        <f ca="1">'EF ele_warmte'!B22</f>
        <v>1.0692320117344256E-2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9875.6812028194545</v>
      </c>
      <c r="C20" s="23">
        <f t="shared" ref="C20:P20" ca="1" si="2">C16*C18</f>
        <v>9.7639666476964593E-2</v>
      </c>
      <c r="D20" s="23">
        <f t="shared" ca="1" si="2"/>
        <v>9942.3523317459385</v>
      </c>
      <c r="E20" s="23">
        <f t="shared" si="2"/>
        <v>109.86300740400122</v>
      </c>
      <c r="F20" s="23">
        <f t="shared" ca="1" si="2"/>
        <v>1733.9649531200525</v>
      </c>
      <c r="G20" s="23">
        <f t="shared" si="2"/>
        <v>0</v>
      </c>
      <c r="H20" s="23">
        <f t="shared" si="2"/>
        <v>0</v>
      </c>
      <c r="I20" s="23">
        <f t="shared" si="2"/>
        <v>0</v>
      </c>
      <c r="J20" s="23">
        <f t="shared" si="2"/>
        <v>0.14164307235628845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6355.333772</v>
      </c>
      <c r="C26" s="39">
        <f>IF(ISERROR(B26*3.6/1000000/'E Balans VL '!Z12*100),0,B26*3.6/1000000/'E Balans VL '!Z12*100)</f>
        <v>0.1348225915102747</v>
      </c>
      <c r="D26" s="237" t="s">
        <v>708</v>
      </c>
      <c r="F26" s="6"/>
    </row>
    <row r="27" spans="1:18">
      <c r="A27" s="231" t="s">
        <v>52</v>
      </c>
      <c r="B27" s="33">
        <f>IF(ISERROR(TER_horeca_ele_kWh/1000),0,TER_horeca_ele_kWh/1000)</f>
        <v>5789.233749</v>
      </c>
      <c r="C27" s="39">
        <f>IF(ISERROR(B27*3.6/1000000/'E Balans VL '!Z9*100),0,B27*3.6/1000000/'E Balans VL '!Z9*100)</f>
        <v>0.43598058526482891</v>
      </c>
      <c r="D27" s="237" t="s">
        <v>708</v>
      </c>
      <c r="F27" s="6"/>
    </row>
    <row r="28" spans="1:18">
      <c r="A28" s="171" t="s">
        <v>51</v>
      </c>
      <c r="B28" s="33">
        <f>IF(ISERROR(TER_handel_ele_kWh/1000),0,TER_handel_ele_kWh/1000)</f>
        <v>11522.479864999999</v>
      </c>
      <c r="C28" s="39">
        <f>IF(ISERROR(B28*3.6/1000000/'E Balans VL '!Z13*100),0,B28*3.6/1000000/'E Balans VL '!Z13*100)</f>
        <v>0.33445676314936623</v>
      </c>
      <c r="D28" s="237" t="s">
        <v>708</v>
      </c>
      <c r="F28" s="6"/>
    </row>
    <row r="29" spans="1:18">
      <c r="A29" s="231" t="s">
        <v>50</v>
      </c>
      <c r="B29" s="33">
        <f>IF(ISERROR(TER_gezond_ele_kWh/1000),0,TER_gezond_ele_kWh/1000)</f>
        <v>1958.692</v>
      </c>
      <c r="C29" s="39">
        <f>IF(ISERROR(B29*3.6/1000000/'E Balans VL '!Z10*100),0,B29*3.6/1000000/'E Balans VL '!Z10*100)</f>
        <v>0.19753642403534652</v>
      </c>
      <c r="D29" s="237" t="s">
        <v>708</v>
      </c>
      <c r="F29" s="6"/>
    </row>
    <row r="30" spans="1:18">
      <c r="A30" s="231" t="s">
        <v>49</v>
      </c>
      <c r="B30" s="33">
        <f>IF(ISERROR(TER_ander_ele_kWh/1000),0,TER_ander_ele_kWh/1000)</f>
        <v>23569.768250999998</v>
      </c>
      <c r="C30" s="39">
        <f>IF(ISERROR(B30*3.6/1000000/'E Balans VL '!Z14*100),0,B30*3.6/1000000/'E Balans VL '!Z14*100)</f>
        <v>1.71030823720693</v>
      </c>
      <c r="D30" s="237" t="s">
        <v>708</v>
      </c>
      <c r="F30" s="6"/>
    </row>
    <row r="31" spans="1:18">
      <c r="A31" s="231" t="s">
        <v>54</v>
      </c>
      <c r="B31" s="33">
        <f>IF(ISERROR(TER_onderwijs_ele_kWh/1000),0,TER_onderwijs_ele_kWh/1000)</f>
        <v>840.722714</v>
      </c>
      <c r="C31" s="39">
        <f>IF(ISERROR(B31*3.6/1000000/'E Balans VL '!Z11*100),0,B31*3.6/1000000/'E Balans VL '!Z11*100)</f>
        <v>0.23964020931305816</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25411.842413999999</v>
      </c>
      <c r="C5" s="17">
        <f>IF(ISERROR('Eigen informatie GS &amp; warmtenet'!B61),0,'Eigen informatie GS &amp; warmtenet'!B61)</f>
        <v>0</v>
      </c>
      <c r="D5" s="30">
        <f>SUM(D6:D15)</f>
        <v>27922.71692133</v>
      </c>
      <c r="E5" s="17">
        <f>SUM(E6:E15)</f>
        <v>2439.0787989811975</v>
      </c>
      <c r="F5" s="17">
        <f>SUM(F6:F15)</f>
        <v>9251.4212935468877</v>
      </c>
      <c r="G5" s="18"/>
      <c r="H5" s="17"/>
      <c r="I5" s="17"/>
      <c r="J5" s="17">
        <f>SUM(J6:J15)</f>
        <v>121.07527138815357</v>
      </c>
      <c r="K5" s="17"/>
      <c r="L5" s="17"/>
      <c r="M5" s="17"/>
      <c r="N5" s="17">
        <f>SUM(N6:N15)</f>
        <v>1780.3199707964443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11584.507</v>
      </c>
      <c r="C8" s="33"/>
      <c r="D8" s="37">
        <f>IF( ISERROR(IND_metaal_Gas_kWH/1000),0,IND_metaal_Gas_kWH/1000)*0.902</f>
        <v>10510.79854</v>
      </c>
      <c r="E8" s="33">
        <f>C30*'E Balans VL '!I18/100/3.6*1000000</f>
        <v>83.57408723808949</v>
      </c>
      <c r="F8" s="33">
        <f>C30*'E Balans VL '!L18/100/3.6*1000000+C30*'E Balans VL '!N18/100/3.6*1000000</f>
        <v>1095.6807588538798</v>
      </c>
      <c r="G8" s="34"/>
      <c r="H8" s="33"/>
      <c r="I8" s="33"/>
      <c r="J8" s="40">
        <f>C30*'E Balans VL '!D18/100/3.6*1000000+C30*'E Balans VL '!E18/100/3.6*1000000</f>
        <v>11.651764460465264</v>
      </c>
      <c r="K8" s="33"/>
      <c r="L8" s="33"/>
      <c r="M8" s="33"/>
      <c r="N8" s="33">
        <f>C30*'E Balans VL '!Y18/100/3.6*1000000</f>
        <v>146.45881805959777</v>
      </c>
      <c r="O8" s="33"/>
      <c r="P8" s="33"/>
      <c r="R8" s="32"/>
    </row>
    <row r="9" spans="1:18">
      <c r="A9" s="6" t="s">
        <v>32</v>
      </c>
      <c r="B9" s="37">
        <f t="shared" si="0"/>
        <v>7822.1673000000001</v>
      </c>
      <c r="C9" s="33"/>
      <c r="D9" s="37">
        <f>IF( ISERROR(IND_andere_gas_kWh/1000),0,IND_andere_gas_kWh/1000)*0.902</f>
        <v>9825.9157642140017</v>
      </c>
      <c r="E9" s="33">
        <f>C31*'E Balans VL '!I19/100/3.6*1000000</f>
        <v>2167.6271543107555</v>
      </c>
      <c r="F9" s="33">
        <f>C31*'E Balans VL '!L19/100/3.6*1000000+C31*'E Balans VL '!N19/100/3.6*1000000</f>
        <v>6483.0291620738117</v>
      </c>
      <c r="G9" s="34"/>
      <c r="H9" s="33"/>
      <c r="I9" s="33"/>
      <c r="J9" s="40">
        <f>C31*'E Balans VL '!D19/100/3.6*1000000+C31*'E Balans VL '!E19/100/3.6*1000000</f>
        <v>0</v>
      </c>
      <c r="K9" s="33"/>
      <c r="L9" s="33"/>
      <c r="M9" s="33"/>
      <c r="N9" s="33">
        <f>C31*'E Balans VL '!Y19/100/3.6*1000000</f>
        <v>567.7936705162615</v>
      </c>
      <c r="O9" s="33"/>
      <c r="P9" s="33"/>
      <c r="R9" s="32"/>
    </row>
    <row r="10" spans="1:18">
      <c r="A10" s="6" t="s">
        <v>40</v>
      </c>
      <c r="B10" s="37">
        <f t="shared" si="0"/>
        <v>670.99611399999992</v>
      </c>
      <c r="C10" s="33"/>
      <c r="D10" s="37">
        <f>IF( ISERROR(IND_voed_gas_kWh/1000),0,IND_voed_gas_kWh/1000)*0.902</f>
        <v>683.04942199999994</v>
      </c>
      <c r="E10" s="33">
        <f>C32*'E Balans VL '!I20/100/3.6*1000000</f>
        <v>1.1878904027354447</v>
      </c>
      <c r="F10" s="33">
        <f>C32*'E Balans VL '!L20/100/3.6*1000000+C32*'E Balans VL '!N20/100/3.6*1000000</f>
        <v>36.239737141213048</v>
      </c>
      <c r="G10" s="34"/>
      <c r="H10" s="33"/>
      <c r="I10" s="33"/>
      <c r="J10" s="40">
        <f>C32*'E Balans VL '!D20/100/3.6*1000000+C32*'E Balans VL '!E20/100/3.6*1000000</f>
        <v>0</v>
      </c>
      <c r="K10" s="33"/>
      <c r="L10" s="33"/>
      <c r="M10" s="33"/>
      <c r="N10" s="33">
        <f>C32*'E Balans VL '!Y20/100/3.6*1000000</f>
        <v>38.989998684577955</v>
      </c>
      <c r="O10" s="33"/>
      <c r="P10" s="33"/>
      <c r="R10" s="32"/>
    </row>
    <row r="11" spans="1:18">
      <c r="A11" s="6" t="s">
        <v>39</v>
      </c>
      <c r="B11" s="37">
        <f t="shared" si="0"/>
        <v>163.38800000000001</v>
      </c>
      <c r="C11" s="33"/>
      <c r="D11" s="37">
        <f>IF( ISERROR(IND_textiel_gas_kWh/1000),0,IND_textiel_gas_kWh/1000)*0.902</f>
        <v>165.13816000000003</v>
      </c>
      <c r="E11" s="33">
        <f>C33*'E Balans VL '!I21/100/3.6*1000000</f>
        <v>0.57595965885257416</v>
      </c>
      <c r="F11" s="33">
        <f>C33*'E Balans VL '!L21/100/3.6*1000000+C33*'E Balans VL '!N21/100/3.6*1000000</f>
        <v>4.7956821240987439</v>
      </c>
      <c r="G11" s="34"/>
      <c r="H11" s="33"/>
      <c r="I11" s="33"/>
      <c r="J11" s="40">
        <f>C33*'E Balans VL '!D21/100/3.6*1000000+C33*'E Balans VL '!E21/100/3.6*1000000</f>
        <v>0</v>
      </c>
      <c r="K11" s="33"/>
      <c r="L11" s="33"/>
      <c r="M11" s="33"/>
      <c r="N11" s="33">
        <f>C33*'E Balans VL '!Y21/100/3.6*1000000</f>
        <v>7.1988518916161723</v>
      </c>
      <c r="O11" s="33"/>
      <c r="P11" s="33"/>
      <c r="R11" s="32"/>
    </row>
    <row r="12" spans="1:18">
      <c r="A12" s="6" t="s">
        <v>36</v>
      </c>
      <c r="B12" s="37">
        <f t="shared" si="0"/>
        <v>4110.6220000000003</v>
      </c>
      <c r="C12" s="33"/>
      <c r="D12" s="37">
        <f>IF( ISERROR(IND_min_gas_kWh/1000),0,IND_min_gas_kWh/1000)*0.902</f>
        <v>5266.9642251159994</v>
      </c>
      <c r="E12" s="33">
        <f>C34*'E Balans VL '!I22/100/3.6*1000000</f>
        <v>181.01713015162471</v>
      </c>
      <c r="F12" s="33">
        <f>C34*'E Balans VL '!L22/100/3.6*1000000+C34*'E Balans VL '!N22/100/3.6*1000000</f>
        <v>1607.419211769698</v>
      </c>
      <c r="G12" s="34"/>
      <c r="H12" s="33"/>
      <c r="I12" s="33"/>
      <c r="J12" s="40">
        <f>C34*'E Balans VL '!D22/100/3.6*1000000+C34*'E Balans VL '!E22/100/3.6*1000000</f>
        <v>1.2481309141030066</v>
      </c>
      <c r="K12" s="33"/>
      <c r="L12" s="33"/>
      <c r="M12" s="33"/>
      <c r="N12" s="33">
        <f>C34*'E Balans VL '!Y22/100/3.6*1000000</f>
        <v>1016.8433100714758</v>
      </c>
      <c r="O12" s="33"/>
      <c r="P12" s="33"/>
      <c r="R12" s="32"/>
    </row>
    <row r="13" spans="1:18">
      <c r="A13" s="6" t="s">
        <v>38</v>
      </c>
      <c r="B13" s="37">
        <f t="shared" si="0"/>
        <v>982.923</v>
      </c>
      <c r="C13" s="33"/>
      <c r="D13" s="37">
        <f>IF( ISERROR(IND_papier_gas_kWh/1000),0,IND_papier_gas_kWh/1000)*0.902</f>
        <v>229.65551400000001</v>
      </c>
      <c r="E13" s="33">
        <f>C35*'E Balans VL '!I23/100/3.6*1000000</f>
        <v>1.4462172492728174</v>
      </c>
      <c r="F13" s="33">
        <f>C35*'E Balans VL '!L23/100/3.6*1000000+C35*'E Balans VL '!N23/100/3.6*1000000</f>
        <v>10.52445785398176</v>
      </c>
      <c r="G13" s="34"/>
      <c r="H13" s="33"/>
      <c r="I13" s="33"/>
      <c r="J13" s="40">
        <f>C35*'E Balans VL '!D23/100/3.6*1000000+C35*'E Balans VL '!E23/100/3.6*1000000</f>
        <v>107.53728814374861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77.239000000000004</v>
      </c>
      <c r="C15" s="33"/>
      <c r="D15" s="37">
        <f>IF( ISERROR(IND_rest_gas_kWh/1000),0,IND_rest_gas_kWh/1000)*0.902</f>
        <v>1241.1952960000001</v>
      </c>
      <c r="E15" s="33">
        <f>C37*'E Balans VL '!I15/100/3.6*1000000</f>
        <v>3.6503599698670408</v>
      </c>
      <c r="F15" s="33">
        <f>C37*'E Balans VL '!L15/100/3.6*1000000+C37*'E Balans VL '!N15/100/3.6*1000000</f>
        <v>13.732283730203855</v>
      </c>
      <c r="G15" s="34"/>
      <c r="H15" s="33"/>
      <c r="I15" s="33"/>
      <c r="J15" s="40">
        <f>C37*'E Balans VL '!D15/100/3.6*1000000+C37*'E Balans VL '!E15/100/3.6*1000000</f>
        <v>0.63808786983667587</v>
      </c>
      <c r="K15" s="33"/>
      <c r="L15" s="33"/>
      <c r="M15" s="33"/>
      <c r="N15" s="33">
        <f>C37*'E Balans VL '!Y15/100/3.6*1000000</f>
        <v>3.0353215729150778</v>
      </c>
      <c r="O15" s="33"/>
      <c r="P15" s="33"/>
      <c r="R15" s="32"/>
    </row>
    <row r="16" spans="1:18">
      <c r="A16" s="16" t="s">
        <v>478</v>
      </c>
      <c r="B16" s="247">
        <f>'lokale energieproductie'!N39+'lokale energieproductie'!N32</f>
        <v>630.00000000000011</v>
      </c>
      <c r="C16" s="247">
        <f>'lokale energieproductie'!O39+'lokale energieproductie'!O32</f>
        <v>900.00000000000023</v>
      </c>
      <c r="D16" s="308">
        <f>('lokale energieproductie'!P32+'lokale energieproductie'!P39)*(-1)</f>
        <v>-1800.0000000000005</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26041.842413999999</v>
      </c>
      <c r="C18" s="21">
        <f>C5+C16</f>
        <v>900.00000000000023</v>
      </c>
      <c r="D18" s="21">
        <f>MAX((D5+D16),0)</f>
        <v>26122.71692133</v>
      </c>
      <c r="E18" s="21">
        <f>MAX((E5+E16),0)</f>
        <v>2439.0787989811975</v>
      </c>
      <c r="F18" s="21">
        <f>MAX((F5+F16),0)</f>
        <v>9251.4212935468877</v>
      </c>
      <c r="G18" s="21"/>
      <c r="H18" s="21"/>
      <c r="I18" s="21"/>
      <c r="J18" s="21">
        <f>MAX((J5+J16),0)</f>
        <v>121.07527138815357</v>
      </c>
      <c r="K18" s="21"/>
      <c r="L18" s="21">
        <f>MAX((L5+L16),0)</f>
        <v>0</v>
      </c>
      <c r="M18" s="21"/>
      <c r="N18" s="21">
        <f>MAX((N5+N16),0)</f>
        <v>1780.3199707964443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0.15340838898784104</v>
      </c>
      <c r="C20" s="25">
        <f ca="1">'EF ele_warmte'!B22</f>
        <v>1.0692320117344256E-2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3995.0370910069691</v>
      </c>
      <c r="C22" s="23">
        <f ca="1">C18*C20</f>
        <v>9.623088105609833</v>
      </c>
      <c r="D22" s="23">
        <f>D18*D20</f>
        <v>5276.7888181086601</v>
      </c>
      <c r="E22" s="23">
        <f>E18*E20</f>
        <v>553.67088736873188</v>
      </c>
      <c r="F22" s="23">
        <f>F18*F20</f>
        <v>2470.1294853770191</v>
      </c>
      <c r="G22" s="23"/>
      <c r="H22" s="23"/>
      <c r="I22" s="23"/>
      <c r="J22" s="23">
        <f>J18*J20</f>
        <v>42.860646071406357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11584.507</v>
      </c>
      <c r="C30" s="39">
        <f>IF(ISERROR(B30*3.6/1000000/'E Balans VL '!Z18*100),0,B30*3.6/1000000/'E Balans VL '!Z18*100)</f>
        <v>0.66875551325151994</v>
      </c>
      <c r="D30" s="237" t="s">
        <v>708</v>
      </c>
    </row>
    <row r="31" spans="1:18">
      <c r="A31" s="6" t="s">
        <v>32</v>
      </c>
      <c r="B31" s="37">
        <f>IF( ISERROR(IND_ander_ele_kWh/1000),0,IND_ander_ele_kWh/1000)</f>
        <v>7822.1673000000001</v>
      </c>
      <c r="C31" s="39">
        <f>IF(ISERROR(B31*3.6/1000000/'E Balans VL '!Z19*100),0,B31*3.6/1000000/'E Balans VL '!Z19*100)</f>
        <v>0.39342966061645085</v>
      </c>
      <c r="D31" s="237" t="s">
        <v>708</v>
      </c>
    </row>
    <row r="32" spans="1:18">
      <c r="A32" s="171" t="s">
        <v>40</v>
      </c>
      <c r="B32" s="37">
        <f>IF( ISERROR(IND_voed_ele_kWh/1000),0,IND_voed_ele_kWh/1000)</f>
        <v>670.99611399999992</v>
      </c>
      <c r="C32" s="39">
        <f>IF(ISERROR(B32*3.6/1000000/'E Balans VL '!Z20*100),0,B32*3.6/1000000/'E Balans VL '!Z20*100)</f>
        <v>2.2348155137589247E-2</v>
      </c>
      <c r="D32" s="237" t="s">
        <v>708</v>
      </c>
    </row>
    <row r="33" spans="1:5">
      <c r="A33" s="171" t="s">
        <v>39</v>
      </c>
      <c r="B33" s="37">
        <f>IF( ISERROR(IND_textiel_ele_kWh/1000),0,IND_textiel_ele_kWh/1000)</f>
        <v>163.38800000000001</v>
      </c>
      <c r="C33" s="39">
        <f>IF(ISERROR(B33*3.6/1000000/'E Balans VL '!Z21*100),0,B33*3.6/1000000/'E Balans VL '!Z21*100)</f>
        <v>2.5474268709582006E-2</v>
      </c>
      <c r="D33" s="237" t="s">
        <v>708</v>
      </c>
    </row>
    <row r="34" spans="1:5">
      <c r="A34" s="171" t="s">
        <v>36</v>
      </c>
      <c r="B34" s="37">
        <f>IF( ISERROR(IND_min_ele_kWh/1000),0,IND_min_ele_kWh/1000)</f>
        <v>4110.6220000000003</v>
      </c>
      <c r="C34" s="39">
        <f>IF(ISERROR(B34*3.6/1000000/'E Balans VL '!Z22*100),0,B34*3.6/1000000/'E Balans VL '!Z22*100)</f>
        <v>0.76676984484139687</v>
      </c>
      <c r="D34" s="237" t="s">
        <v>708</v>
      </c>
    </row>
    <row r="35" spans="1:5">
      <c r="A35" s="171" t="s">
        <v>38</v>
      </c>
      <c r="B35" s="37">
        <f>IF( ISERROR(IND_papier_ele_kWh/1000),0,IND_papier_ele_kWh/1000)</f>
        <v>982.923</v>
      </c>
      <c r="C35" s="39">
        <f>IF(ISERROR(B35*3.6/1000000/'E Balans VL '!Z22*100),0,B35*3.6/1000000/'E Balans VL '!Z22*100)</f>
        <v>0.18334833905940276</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77.239000000000004</v>
      </c>
      <c r="C37" s="39">
        <f>IF(ISERROR(B37*3.6/1000000/'E Balans VL '!Z15*100),0,B37*3.6/1000000/'E Balans VL '!Z15*100)</f>
        <v>6.0267542017872471E-4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353.65100000000001</v>
      </c>
      <c r="C5" s="17">
        <f>'Eigen informatie GS &amp; warmtenet'!B62</f>
        <v>0</v>
      </c>
      <c r="D5" s="30">
        <f>IF(ISERROR(SUM(LB_lb_gas_kWh,LB_rest_gas_kWh)/1000),0,SUM(LB_lb_gas_kWh,LB_rest_gas_kWh)/1000)*0.902</f>
        <v>95.542546000000002</v>
      </c>
      <c r="E5" s="17">
        <f>B17*'E Balans VL '!I25/3.6*1000000/100</f>
        <v>11.037331090287328</v>
      </c>
      <c r="F5" s="17">
        <f>B17*('E Balans VL '!L25/3.6*1000000+'E Balans VL '!N25/3.6*1000000)/100</f>
        <v>1249.8418104009575</v>
      </c>
      <c r="G5" s="18"/>
      <c r="H5" s="17"/>
      <c r="I5" s="17"/>
      <c r="J5" s="17">
        <f>('E Balans VL '!D25+'E Balans VL '!E25)/3.6*1000000*landbouw!B17/100</f>
        <v>97.433303048191021</v>
      </c>
      <c r="K5" s="17"/>
      <c r="L5" s="17">
        <f>L6*(-1)</f>
        <v>0</v>
      </c>
      <c r="M5" s="17"/>
      <c r="N5" s="17">
        <f>N6*(-1)</f>
        <v>38571.428571428572</v>
      </c>
      <c r="O5" s="17"/>
      <c r="P5" s="17"/>
      <c r="R5" s="32"/>
    </row>
    <row r="6" spans="1:18">
      <c r="A6" s="16" t="s">
        <v>478</v>
      </c>
      <c r="B6" s="17" t="s">
        <v>210</v>
      </c>
      <c r="C6" s="17">
        <f>'lokale energieproductie'!O41+'lokale energieproductie'!O34</f>
        <v>19285.714285714286</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353.65100000000001</v>
      </c>
      <c r="C8" s="21">
        <f>C5+C6</f>
        <v>19285.714285714286</v>
      </c>
      <c r="D8" s="21">
        <f>MAX((D5+D6),0)</f>
        <v>95.542546000000002</v>
      </c>
      <c r="E8" s="21">
        <f>MAX((E5+E6),0)</f>
        <v>11.037331090287328</v>
      </c>
      <c r="F8" s="21">
        <f>MAX((F5+F6),0)</f>
        <v>1249.8418104009575</v>
      </c>
      <c r="G8" s="21"/>
      <c r="H8" s="21"/>
      <c r="I8" s="21"/>
      <c r="J8" s="21">
        <f>MAX((J5+J6),0)</f>
        <v>97.433303048191021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0.15340838898784104</v>
      </c>
      <c r="C10" s="31">
        <f ca="1">'EF ele_warmte'!B22</f>
        <v>1.0692320117344256E-2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54.253030173938974</v>
      </c>
      <c r="C12" s="23">
        <f ca="1">C8*C10</f>
        <v>206.20903083449636</v>
      </c>
      <c r="D12" s="23">
        <f>D8*D10</f>
        <v>19.299594292000002</v>
      </c>
      <c r="E12" s="23">
        <f>E8*E10</f>
        <v>2.5054741574952235</v>
      </c>
      <c r="F12" s="23">
        <f>F8*F10</f>
        <v>333.70776337705564</v>
      </c>
      <c r="G12" s="23"/>
      <c r="H12" s="23"/>
      <c r="I12" s="23"/>
      <c r="J12" s="23">
        <f>J8*J10</f>
        <v>34.491389279059618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5.2572756360508656E-2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112.12959077217302</v>
      </c>
      <c r="C26" s="247">
        <f>B26*'GWP N2O_CH4'!B5</f>
        <v>2354.7214062156336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45.022000671658759</v>
      </c>
      <c r="C27" s="247">
        <f>B27*'GWP N2O_CH4'!B5</f>
        <v>945.462014104834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2.1969971773156165</v>
      </c>
      <c r="C28" s="247">
        <f>B28*'GWP N2O_CH4'!B4</f>
        <v>681.06912496784116</v>
      </c>
      <c r="D28" s="50"/>
    </row>
    <row r="29" spans="1:4">
      <c r="A29" s="41" t="s">
        <v>276</v>
      </c>
      <c r="B29" s="247">
        <f>B34*'ha_N2O bodem landbouw'!B4</f>
        <v>16.729147646816784</v>
      </c>
      <c r="C29" s="247">
        <f>B29*'GWP N2O_CH4'!B4</f>
        <v>5186.0357705132028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3.668400877416001E-3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4.2185230006114662E-4</v>
      </c>
      <c r="C5" s="437" t="s">
        <v>210</v>
      </c>
      <c r="D5" s="422">
        <f>SUM(D6:D11)</f>
        <v>1.5558382788270879E-3</v>
      </c>
      <c r="E5" s="422">
        <f>SUM(E6:E11)</f>
        <v>1.3658876865692267E-3</v>
      </c>
      <c r="F5" s="435" t="s">
        <v>210</v>
      </c>
      <c r="G5" s="422">
        <f>SUM(G6:G11)</f>
        <v>0.61618889356050399</v>
      </c>
      <c r="H5" s="422">
        <f>SUM(H6:H11)</f>
        <v>0.14608143732056339</v>
      </c>
      <c r="I5" s="437" t="s">
        <v>210</v>
      </c>
      <c r="J5" s="437" t="s">
        <v>210</v>
      </c>
      <c r="K5" s="437" t="s">
        <v>210</v>
      </c>
      <c r="L5" s="437" t="s">
        <v>210</v>
      </c>
      <c r="M5" s="422">
        <f>SUM(M6:M11)</f>
        <v>4.5190334737267933E-2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2.520017971723756E-4</v>
      </c>
      <c r="C6" s="423"/>
      <c r="D6" s="890">
        <f>vkm_GW_PW*SUMIFS(TableVerdeelsleutelVkm[CNG],TableVerdeelsleutelVkm[Voertuigtype],"Lichte voertuigen")*SUMIFS(TableECFTransport[EnergieConsumptieFactor (PJ per km)],TableECFTransport[Index],CONCATENATE($A6,"_CNG_CNG"))</f>
        <v>8.117991953560113E-4</v>
      </c>
      <c r="E6" s="890">
        <f>vkm_GW_PW*SUMIFS(TableVerdeelsleutelVkm[LPG],TableVerdeelsleutelVkm[Voertuigtype],"Lichte voertuigen")*SUMIFS(TableECFTransport[EnergieConsumptieFactor (PJ per km)],TableECFTransport[Index],CONCATENATE($A6,"_LPG_LPG"))</f>
        <v>6.9423168176785594E-4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0.22427115556995542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7.6048973396062203E-2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1.796265232884834E-2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0.11230165073372424</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1.6058127712963834E-6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6.4733373813019406E-3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8.7749486869787409E-5</v>
      </c>
      <c r="C8" s="423"/>
      <c r="D8" s="425">
        <f>vkm_NGW_PW*SUMIFS(TableVerdeelsleutelVkm[CNG],TableVerdeelsleutelVkm[Voertuigtype],"Lichte voertuigen")*SUMIFS(TableECFTransport[EnergieConsumptieFactor (PJ per km)],TableECFTransport[Index],CONCATENATE($A8,"_CNG_CNG"))</f>
        <v>4.7893370304383893E-4</v>
      </c>
      <c r="E8" s="425">
        <f>vkm_NGW_PW*SUMIFS(TableVerdeelsleutelVkm[LPG],TableVerdeelsleutelVkm[Voertuigtype],"Lichte voertuigen")*SUMIFS(TableECFTransport[EnergieConsumptieFactor (PJ per km)],TableECFTransport[Index],CONCATENATE($A8,"_LPG_LPG"))</f>
        <v>3.8916183091560727E-4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0.11747632548530673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4.4116423547125784E-2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9.6925324544909555E-3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8.8370801387191462E-3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1.6021499895187501E-7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5.0939280542919654E-4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8.2101016018983644E-5</v>
      </c>
      <c r="C10" s="423"/>
      <c r="D10" s="425">
        <f>vkm_SW_PW*SUMIFS(TableVerdeelsleutelVkm[CNG],TableVerdeelsleutelVkm[Voertuigtype],"Lichte voertuigen")*SUMIFS(TableECFTransport[EnergieConsumptieFactor (PJ per km)],TableECFTransport[Index],CONCATENATE($A10,"_CNG_CNG"))</f>
        <v>2.6510538042723758E-4</v>
      </c>
      <c r="E10" s="425">
        <f>vkm_SW_PW*SUMIFS(TableVerdeelsleutelVkm[LPG],TableVerdeelsleutelVkm[Voertuigtype],"Lichte voertuigen")*SUMIFS(TableECFTransport[EnergieConsumptieFactor (PJ per km)],TableECFTransport[Index],CONCATENATE($A10,"_LPG_LPG"))</f>
        <v>2.8249417388576359E-4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8.1311700351598626E-2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2.591317442656902E-2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6.4026817042282282E-3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7.1990981281199906E-2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1.0999230361193528E-6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4.1497380629692609E-3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117.18119446142961</v>
      </c>
      <c r="C14" s="21"/>
      <c r="D14" s="21">
        <f t="shared" ref="D14:M14" si="0">((D5)*10^9/3600)+D12</f>
        <v>432.17729967419109</v>
      </c>
      <c r="E14" s="21">
        <f t="shared" si="0"/>
        <v>379.4132462692296</v>
      </c>
      <c r="F14" s="21"/>
      <c r="G14" s="21">
        <f t="shared" si="0"/>
        <v>171163.58154458442</v>
      </c>
      <c r="H14" s="21">
        <f t="shared" si="0"/>
        <v>40578.177033489825</v>
      </c>
      <c r="I14" s="21"/>
      <c r="J14" s="21"/>
      <c r="K14" s="21"/>
      <c r="L14" s="21"/>
      <c r="M14" s="21">
        <f t="shared" si="0"/>
        <v>12552.870760352203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0.15340838898784104</v>
      </c>
      <c r="C16" s="56">
        <f ca="1">'EF ele_warmte'!B22</f>
        <v>1.0692320117344256E-2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17.976578261998839</v>
      </c>
      <c r="C18" s="23"/>
      <c r="D18" s="23">
        <f t="shared" ref="D18:M18" si="1">D14*D16</f>
        <v>87.299814534186609</v>
      </c>
      <c r="E18" s="23">
        <f t="shared" si="1"/>
        <v>86.126806903115124</v>
      </c>
      <c r="F18" s="23"/>
      <c r="G18" s="23">
        <f t="shared" si="1"/>
        <v>45700.676272404045</v>
      </c>
      <c r="H18" s="23">
        <f t="shared" si="1"/>
        <v>10103.966081338966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1.2991605603290549E-2</v>
      </c>
      <c r="H50" s="319">
        <f t="shared" si="2"/>
        <v>0</v>
      </c>
      <c r="I50" s="319">
        <f t="shared" si="2"/>
        <v>0</v>
      </c>
      <c r="J50" s="319">
        <f t="shared" si="2"/>
        <v>0</v>
      </c>
      <c r="K50" s="319">
        <f t="shared" si="2"/>
        <v>0</v>
      </c>
      <c r="L50" s="319">
        <f t="shared" si="2"/>
        <v>0</v>
      </c>
      <c r="M50" s="319">
        <f t="shared" si="2"/>
        <v>7.21961273095572E-4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1.2991605603290549E-2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7.21961273095572E-4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3608.7793342473747</v>
      </c>
      <c r="H54" s="21">
        <f t="shared" si="3"/>
        <v>0</v>
      </c>
      <c r="I54" s="21">
        <f t="shared" si="3"/>
        <v>0</v>
      </c>
      <c r="J54" s="21">
        <f t="shared" si="3"/>
        <v>0</v>
      </c>
      <c r="K54" s="21">
        <f t="shared" si="3"/>
        <v>0</v>
      </c>
      <c r="L54" s="21">
        <f t="shared" si="3"/>
        <v>0</v>
      </c>
      <c r="M54" s="21">
        <f t="shared" si="3"/>
        <v>200.54479808210334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0.15340838898784104</v>
      </c>
      <c r="C56" s="56">
        <f ca="1">'EF ele_warmte'!B22</f>
        <v>1.0692320117344256E-2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963.54408224404904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66064.855351000006</v>
      </c>
      <c r="D10" s="686">
        <f ca="1">tertiair!C16</f>
        <v>9.1317567567567561</v>
      </c>
      <c r="E10" s="686">
        <f ca="1">tertiair!D16</f>
        <v>49219.56599874227</v>
      </c>
      <c r="F10" s="686">
        <f>tertiair!E16</f>
        <v>483.97800618502737</v>
      </c>
      <c r="G10" s="686">
        <f ca="1">tertiair!F16</f>
        <v>6494.2507607492598</v>
      </c>
      <c r="H10" s="686">
        <f>tertiair!G16</f>
        <v>0</v>
      </c>
      <c r="I10" s="686">
        <f>tertiair!H16</f>
        <v>0</v>
      </c>
      <c r="J10" s="686">
        <f>tertiair!I16</f>
        <v>0</v>
      </c>
      <c r="K10" s="686">
        <f>tertiair!J16</f>
        <v>0.40012167332284876</v>
      </c>
      <c r="L10" s="686">
        <f>tertiair!K16</f>
        <v>0</v>
      </c>
      <c r="M10" s="686">
        <f ca="1">tertiair!L16</f>
        <v>0</v>
      </c>
      <c r="N10" s="686">
        <f>tertiair!M16</f>
        <v>0</v>
      </c>
      <c r="O10" s="686">
        <f ca="1">tertiair!N16</f>
        <v>0</v>
      </c>
      <c r="P10" s="686">
        <f>tertiair!O16</f>
        <v>9.7945215316823084</v>
      </c>
      <c r="Q10" s="687">
        <f>tertiair!P16</f>
        <v>210.15655322598008</v>
      </c>
      <c r="R10" s="689">
        <f ca="1">SUM(C10:Q10)</f>
        <v>122492.13306986431</v>
      </c>
      <c r="S10" s="67"/>
    </row>
    <row r="11" spans="1:19" s="448" customFormat="1">
      <c r="A11" s="808" t="s">
        <v>224</v>
      </c>
      <c r="B11" s="813"/>
      <c r="C11" s="686">
        <f>huishoudens!B8</f>
        <v>46032.522956025008</v>
      </c>
      <c r="D11" s="686">
        <f>huishoudens!C8</f>
        <v>0</v>
      </c>
      <c r="E11" s="686">
        <f>huishoudens!D8</f>
        <v>86123.042397699988</v>
      </c>
      <c r="F11" s="686">
        <f>huishoudens!E8</f>
        <v>10784.165418604245</v>
      </c>
      <c r="G11" s="686">
        <f>huishoudens!F8</f>
        <v>66096.950260105106</v>
      </c>
      <c r="H11" s="686">
        <f>huishoudens!G8</f>
        <v>0</v>
      </c>
      <c r="I11" s="686">
        <f>huishoudens!H8</f>
        <v>0</v>
      </c>
      <c r="J11" s="686">
        <f>huishoudens!I8</f>
        <v>0</v>
      </c>
      <c r="K11" s="686">
        <f>huishoudens!J8</f>
        <v>0</v>
      </c>
      <c r="L11" s="686">
        <f>huishoudens!K8</f>
        <v>0</v>
      </c>
      <c r="M11" s="686">
        <f>huishoudens!L8</f>
        <v>0</v>
      </c>
      <c r="N11" s="686">
        <f>huishoudens!M8</f>
        <v>0</v>
      </c>
      <c r="O11" s="686">
        <f>huishoudens!N8</f>
        <v>29433.865172802456</v>
      </c>
      <c r="P11" s="686">
        <f>huishoudens!O8</f>
        <v>898.73307338232541</v>
      </c>
      <c r="Q11" s="687">
        <f>huishoudens!P8</f>
        <v>905.92050046091197</v>
      </c>
      <c r="R11" s="689">
        <f>SUM(C11:Q11)</f>
        <v>240275.19977908005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26041.842413999999</v>
      </c>
      <c r="D13" s="686">
        <f>industrie!C18</f>
        <v>900.00000000000023</v>
      </c>
      <c r="E13" s="686">
        <f>industrie!D18</f>
        <v>26122.71692133</v>
      </c>
      <c r="F13" s="686">
        <f>industrie!E18</f>
        <v>2439.0787989811975</v>
      </c>
      <c r="G13" s="686">
        <f>industrie!F18</f>
        <v>9251.4212935468877</v>
      </c>
      <c r="H13" s="686">
        <f>industrie!G18</f>
        <v>0</v>
      </c>
      <c r="I13" s="686">
        <f>industrie!H18</f>
        <v>0</v>
      </c>
      <c r="J13" s="686">
        <f>industrie!I18</f>
        <v>0</v>
      </c>
      <c r="K13" s="686">
        <f>industrie!J18</f>
        <v>121.07527138815357</v>
      </c>
      <c r="L13" s="686">
        <f>industrie!K18</f>
        <v>0</v>
      </c>
      <c r="M13" s="686">
        <f>industrie!L18</f>
        <v>0</v>
      </c>
      <c r="N13" s="686">
        <f>industrie!M18</f>
        <v>0</v>
      </c>
      <c r="O13" s="686">
        <f>industrie!N18</f>
        <v>1780.3199707964443</v>
      </c>
      <c r="P13" s="686">
        <f>industrie!O18</f>
        <v>0</v>
      </c>
      <c r="Q13" s="687">
        <f>industrie!P18</f>
        <v>0</v>
      </c>
      <c r="R13" s="689">
        <f>SUM(C13:Q13)</f>
        <v>66656.454670042673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138139.22072102502</v>
      </c>
      <c r="D16" s="722">
        <f t="shared" ref="D16:R16" ca="1" si="0">SUM(D9:D15)</f>
        <v>909.131756756757</v>
      </c>
      <c r="E16" s="722">
        <f t="shared" ca="1" si="0"/>
        <v>161465.32531777225</v>
      </c>
      <c r="F16" s="722">
        <f t="shared" si="0"/>
        <v>13707.22222377047</v>
      </c>
      <c r="G16" s="722">
        <f t="shared" ca="1" si="0"/>
        <v>81842.622314401247</v>
      </c>
      <c r="H16" s="722">
        <f t="shared" si="0"/>
        <v>0</v>
      </c>
      <c r="I16" s="722">
        <f t="shared" si="0"/>
        <v>0</v>
      </c>
      <c r="J16" s="722">
        <f t="shared" si="0"/>
        <v>0</v>
      </c>
      <c r="K16" s="722">
        <f t="shared" si="0"/>
        <v>121.47539306147641</v>
      </c>
      <c r="L16" s="722">
        <f t="shared" si="0"/>
        <v>0</v>
      </c>
      <c r="M16" s="722">
        <f t="shared" ca="1" si="0"/>
        <v>0</v>
      </c>
      <c r="N16" s="722">
        <f t="shared" si="0"/>
        <v>0</v>
      </c>
      <c r="O16" s="722">
        <f t="shared" ca="1" si="0"/>
        <v>31214.185143598901</v>
      </c>
      <c r="P16" s="722">
        <f t="shared" si="0"/>
        <v>908.52759491400775</v>
      </c>
      <c r="Q16" s="722">
        <f t="shared" si="0"/>
        <v>1116.077053686892</v>
      </c>
      <c r="R16" s="722">
        <f t="shared" ca="1" si="0"/>
        <v>429423.78751898702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3608.7793342473747</v>
      </c>
      <c r="I19" s="686">
        <f>transport!H54</f>
        <v>0</v>
      </c>
      <c r="J19" s="686">
        <f>transport!I54</f>
        <v>0</v>
      </c>
      <c r="K19" s="686">
        <f>transport!J54</f>
        <v>0</v>
      </c>
      <c r="L19" s="686">
        <f>transport!K54</f>
        <v>0</v>
      </c>
      <c r="M19" s="686">
        <f>transport!L54</f>
        <v>0</v>
      </c>
      <c r="N19" s="686">
        <f>transport!M54</f>
        <v>200.54479808210334</v>
      </c>
      <c r="O19" s="686">
        <f>transport!N54</f>
        <v>0</v>
      </c>
      <c r="P19" s="686">
        <f>transport!O54</f>
        <v>0</v>
      </c>
      <c r="Q19" s="687">
        <f>transport!P54</f>
        <v>0</v>
      </c>
      <c r="R19" s="689">
        <f>SUM(C19:Q19)</f>
        <v>3809.3241323294778</v>
      </c>
      <c r="S19" s="67"/>
    </row>
    <row r="20" spans="1:19" s="448" customFormat="1">
      <c r="A20" s="808" t="s">
        <v>306</v>
      </c>
      <c r="B20" s="813"/>
      <c r="C20" s="686">
        <f>transport!B14</f>
        <v>117.18119446142961</v>
      </c>
      <c r="D20" s="686">
        <f>transport!C14</f>
        <v>0</v>
      </c>
      <c r="E20" s="686">
        <f>transport!D14</f>
        <v>432.17729967419109</v>
      </c>
      <c r="F20" s="686">
        <f>transport!E14</f>
        <v>379.4132462692296</v>
      </c>
      <c r="G20" s="686">
        <f>transport!F14</f>
        <v>0</v>
      </c>
      <c r="H20" s="686">
        <f>transport!G14</f>
        <v>171163.58154458442</v>
      </c>
      <c r="I20" s="686">
        <f>transport!H14</f>
        <v>40578.177033489825</v>
      </c>
      <c r="J20" s="686">
        <f>transport!I14</f>
        <v>0</v>
      </c>
      <c r="K20" s="686">
        <f>transport!J14</f>
        <v>0</v>
      </c>
      <c r="L20" s="686">
        <f>transport!K14</f>
        <v>0</v>
      </c>
      <c r="M20" s="686">
        <f>transport!L14</f>
        <v>0</v>
      </c>
      <c r="N20" s="686">
        <f>transport!M14</f>
        <v>12552.870760352203</v>
      </c>
      <c r="O20" s="686">
        <f>transport!N14</f>
        <v>0</v>
      </c>
      <c r="P20" s="686">
        <f>transport!O14</f>
        <v>0</v>
      </c>
      <c r="Q20" s="687">
        <f>transport!P14</f>
        <v>0</v>
      </c>
      <c r="R20" s="689">
        <f>SUM(C20:Q20)</f>
        <v>225223.40107883132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117.18119446142961</v>
      </c>
      <c r="D22" s="811">
        <f t="shared" ref="D22:R22" si="1">SUM(D18:D21)</f>
        <v>0</v>
      </c>
      <c r="E22" s="811">
        <f t="shared" si="1"/>
        <v>432.17729967419109</v>
      </c>
      <c r="F22" s="811">
        <f t="shared" si="1"/>
        <v>379.4132462692296</v>
      </c>
      <c r="G22" s="811">
        <f t="shared" si="1"/>
        <v>0</v>
      </c>
      <c r="H22" s="811">
        <f t="shared" si="1"/>
        <v>174772.36087883179</v>
      </c>
      <c r="I22" s="811">
        <f t="shared" si="1"/>
        <v>40578.177033489825</v>
      </c>
      <c r="J22" s="811">
        <f t="shared" si="1"/>
        <v>0</v>
      </c>
      <c r="K22" s="811">
        <f t="shared" si="1"/>
        <v>0</v>
      </c>
      <c r="L22" s="811">
        <f t="shared" si="1"/>
        <v>0</v>
      </c>
      <c r="M22" s="811">
        <f t="shared" si="1"/>
        <v>0</v>
      </c>
      <c r="N22" s="811">
        <f t="shared" si="1"/>
        <v>12753.415558434306</v>
      </c>
      <c r="O22" s="811">
        <f t="shared" si="1"/>
        <v>0</v>
      </c>
      <c r="P22" s="811">
        <f t="shared" si="1"/>
        <v>0</v>
      </c>
      <c r="Q22" s="811">
        <f t="shared" si="1"/>
        <v>0</v>
      </c>
      <c r="R22" s="811">
        <f t="shared" si="1"/>
        <v>229032.72521116078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353.65100000000001</v>
      </c>
      <c r="D24" s="686">
        <f>+landbouw!C8</f>
        <v>19285.714285714286</v>
      </c>
      <c r="E24" s="686">
        <f>+landbouw!D8</f>
        <v>95.542546000000002</v>
      </c>
      <c r="F24" s="686">
        <f>+landbouw!E8</f>
        <v>11.037331090287328</v>
      </c>
      <c r="G24" s="686">
        <f>+landbouw!F8</f>
        <v>1249.8418104009575</v>
      </c>
      <c r="H24" s="686">
        <f>+landbouw!G8</f>
        <v>0</v>
      </c>
      <c r="I24" s="686">
        <f>+landbouw!H8</f>
        <v>0</v>
      </c>
      <c r="J24" s="686">
        <f>+landbouw!I8</f>
        <v>0</v>
      </c>
      <c r="K24" s="686">
        <f>+landbouw!J8</f>
        <v>97.433303048191021</v>
      </c>
      <c r="L24" s="686">
        <f>+landbouw!K8</f>
        <v>0</v>
      </c>
      <c r="M24" s="686">
        <f>+landbouw!L8</f>
        <v>0</v>
      </c>
      <c r="N24" s="686">
        <f>+landbouw!M8</f>
        <v>0</v>
      </c>
      <c r="O24" s="686">
        <f>+landbouw!N8</f>
        <v>0</v>
      </c>
      <c r="P24" s="686">
        <f>+landbouw!O8</f>
        <v>0</v>
      </c>
      <c r="Q24" s="687">
        <f>+landbouw!P8</f>
        <v>0</v>
      </c>
      <c r="R24" s="689">
        <f>SUM(C24:Q24)</f>
        <v>21093.220276253724</v>
      </c>
      <c r="S24" s="67"/>
    </row>
    <row r="25" spans="1:19" s="448" customFormat="1" ht="15" thickBot="1">
      <c r="A25" s="830" t="s">
        <v>724</v>
      </c>
      <c r="B25" s="949"/>
      <c r="C25" s="950">
        <f>IF(Onbekend_ele_kWh="---",0,Onbekend_ele_kWh)/1000+IF(REST_rest_ele_kWh="---",0,REST_rest_ele_kWh)/1000</f>
        <v>4766.46605</v>
      </c>
      <c r="D25" s="950"/>
      <c r="E25" s="950">
        <f>IF(onbekend_gas_kWh="---",0,onbekend_gas_kWh)/1000+IF(REST_rest_gas_kWh="---",0,REST_rest_gas_kWh)/1000</f>
        <v>4924.6222860000007</v>
      </c>
      <c r="F25" s="950"/>
      <c r="G25" s="950"/>
      <c r="H25" s="950"/>
      <c r="I25" s="950"/>
      <c r="J25" s="950"/>
      <c r="K25" s="950"/>
      <c r="L25" s="950"/>
      <c r="M25" s="950"/>
      <c r="N25" s="950"/>
      <c r="O25" s="950"/>
      <c r="P25" s="950"/>
      <c r="Q25" s="951"/>
      <c r="R25" s="689">
        <f>SUM(C25:Q25)</f>
        <v>9691.0883360000007</v>
      </c>
      <c r="S25" s="67"/>
    </row>
    <row r="26" spans="1:19" s="448" customFormat="1" ht="15.75" thickBot="1">
      <c r="A26" s="694" t="s">
        <v>725</v>
      </c>
      <c r="B26" s="816"/>
      <c r="C26" s="811">
        <f>SUM(C24:C25)</f>
        <v>5120.1170499999998</v>
      </c>
      <c r="D26" s="811">
        <f t="shared" ref="D26:R26" si="2">SUM(D24:D25)</f>
        <v>19285.714285714286</v>
      </c>
      <c r="E26" s="811">
        <f t="shared" si="2"/>
        <v>5020.1648320000004</v>
      </c>
      <c r="F26" s="811">
        <f t="shared" si="2"/>
        <v>11.037331090287328</v>
      </c>
      <c r="G26" s="811">
        <f t="shared" si="2"/>
        <v>1249.8418104009575</v>
      </c>
      <c r="H26" s="811">
        <f t="shared" si="2"/>
        <v>0</v>
      </c>
      <c r="I26" s="811">
        <f t="shared" si="2"/>
        <v>0</v>
      </c>
      <c r="J26" s="811">
        <f t="shared" si="2"/>
        <v>0</v>
      </c>
      <c r="K26" s="811">
        <f t="shared" si="2"/>
        <v>97.433303048191021</v>
      </c>
      <c r="L26" s="811">
        <f t="shared" si="2"/>
        <v>0</v>
      </c>
      <c r="M26" s="811">
        <f t="shared" si="2"/>
        <v>0</v>
      </c>
      <c r="N26" s="811">
        <f t="shared" si="2"/>
        <v>0</v>
      </c>
      <c r="O26" s="811">
        <f t="shared" si="2"/>
        <v>0</v>
      </c>
      <c r="P26" s="811">
        <f t="shared" si="2"/>
        <v>0</v>
      </c>
      <c r="Q26" s="811">
        <f t="shared" si="2"/>
        <v>0</v>
      </c>
      <c r="R26" s="811">
        <f t="shared" si="2"/>
        <v>30784.308612253724</v>
      </c>
      <c r="S26" s="67"/>
    </row>
    <row r="27" spans="1:19" s="448" customFormat="1" ht="17.25" thickTop="1" thickBot="1">
      <c r="A27" s="695" t="s">
        <v>115</v>
      </c>
      <c r="B27" s="803"/>
      <c r="C27" s="696">
        <f ca="1">C22+C16+C26</f>
        <v>143376.51896548644</v>
      </c>
      <c r="D27" s="696">
        <f t="shared" ref="D27:R27" ca="1" si="3">D22+D16+D26</f>
        <v>20194.846042471043</v>
      </c>
      <c r="E27" s="696">
        <f t="shared" ca="1" si="3"/>
        <v>166917.66744944645</v>
      </c>
      <c r="F27" s="696">
        <f t="shared" si="3"/>
        <v>14097.672801129986</v>
      </c>
      <c r="G27" s="696">
        <f t="shared" ca="1" si="3"/>
        <v>83092.464124802209</v>
      </c>
      <c r="H27" s="696">
        <f t="shared" si="3"/>
        <v>174772.36087883179</v>
      </c>
      <c r="I27" s="696">
        <f t="shared" si="3"/>
        <v>40578.177033489825</v>
      </c>
      <c r="J27" s="696">
        <f t="shared" si="3"/>
        <v>0</v>
      </c>
      <c r="K27" s="696">
        <f t="shared" si="3"/>
        <v>218.90869610966743</v>
      </c>
      <c r="L27" s="696">
        <f t="shared" si="3"/>
        <v>0</v>
      </c>
      <c r="M27" s="696">
        <f t="shared" ca="1" si="3"/>
        <v>0</v>
      </c>
      <c r="N27" s="696">
        <f t="shared" si="3"/>
        <v>12753.415558434306</v>
      </c>
      <c r="O27" s="696">
        <f t="shared" ca="1" si="3"/>
        <v>31214.185143598901</v>
      </c>
      <c r="P27" s="696">
        <f t="shared" si="3"/>
        <v>908.52759491400775</v>
      </c>
      <c r="Q27" s="696">
        <f t="shared" si="3"/>
        <v>1116.077053686892</v>
      </c>
      <c r="R27" s="696">
        <f t="shared" ca="1" si="3"/>
        <v>689240.82134240156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10134.903028111659</v>
      </c>
      <c r="D40" s="686">
        <f ca="1">tertiair!C20</f>
        <v>9.7639666476964593E-2</v>
      </c>
      <c r="E40" s="686">
        <f ca="1">tertiair!D20</f>
        <v>9942.3523317459385</v>
      </c>
      <c r="F40" s="686">
        <f>tertiair!E20</f>
        <v>109.86300740400122</v>
      </c>
      <c r="G40" s="686">
        <f ca="1">tertiair!F20</f>
        <v>1733.9649531200525</v>
      </c>
      <c r="H40" s="686">
        <f>tertiair!G20</f>
        <v>0</v>
      </c>
      <c r="I40" s="686">
        <f>tertiair!H20</f>
        <v>0</v>
      </c>
      <c r="J40" s="686">
        <f>tertiair!I20</f>
        <v>0</v>
      </c>
      <c r="K40" s="686">
        <f>tertiair!J20</f>
        <v>0.14164307235628845</v>
      </c>
      <c r="L40" s="686">
        <f>tertiair!K20</f>
        <v>0</v>
      </c>
      <c r="M40" s="686">
        <f ca="1">tertiair!L20</f>
        <v>0</v>
      </c>
      <c r="N40" s="686">
        <f>tertiair!M20</f>
        <v>0</v>
      </c>
      <c r="O40" s="686">
        <f ca="1">tertiair!N20</f>
        <v>0</v>
      </c>
      <c r="P40" s="686">
        <f>tertiair!O20</f>
        <v>0</v>
      </c>
      <c r="Q40" s="769">
        <f>tertiair!P20</f>
        <v>0</v>
      </c>
      <c r="R40" s="849">
        <f t="shared" ca="1" si="4"/>
        <v>21921.322603120483</v>
      </c>
    </row>
    <row r="41" spans="1:18">
      <c r="A41" s="821" t="s">
        <v>224</v>
      </c>
      <c r="B41" s="828"/>
      <c r="C41" s="686">
        <f ca="1">huishoudens!B12</f>
        <v>7061.7751877296068</v>
      </c>
      <c r="D41" s="686">
        <f ca="1">huishoudens!C12</f>
        <v>0</v>
      </c>
      <c r="E41" s="686">
        <f>huishoudens!D12</f>
        <v>17396.854564335397</v>
      </c>
      <c r="F41" s="686">
        <f>huishoudens!E12</f>
        <v>2448.0055500231638</v>
      </c>
      <c r="G41" s="686">
        <f>huishoudens!F12</f>
        <v>17647.885719448066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44554.521021536231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3995.0370910069691</v>
      </c>
      <c r="D43" s="686">
        <f ca="1">industrie!C22</f>
        <v>9.623088105609833</v>
      </c>
      <c r="E43" s="686">
        <f>industrie!D22</f>
        <v>5276.7888181086601</v>
      </c>
      <c r="F43" s="686">
        <f>industrie!E22</f>
        <v>553.67088736873188</v>
      </c>
      <c r="G43" s="686">
        <f>industrie!F22</f>
        <v>2470.1294853770191</v>
      </c>
      <c r="H43" s="686">
        <f>industrie!G22</f>
        <v>0</v>
      </c>
      <c r="I43" s="686">
        <f>industrie!H22</f>
        <v>0</v>
      </c>
      <c r="J43" s="686">
        <f>industrie!I22</f>
        <v>0</v>
      </c>
      <c r="K43" s="686">
        <f>industrie!J22</f>
        <v>42.860646071406357</v>
      </c>
      <c r="L43" s="686">
        <f>industrie!K22</f>
        <v>0</v>
      </c>
      <c r="M43" s="686">
        <f>industrie!L22</f>
        <v>0</v>
      </c>
      <c r="N43" s="686">
        <f>industrie!M22</f>
        <v>0</v>
      </c>
      <c r="O43" s="686">
        <f>industrie!N22</f>
        <v>0</v>
      </c>
      <c r="P43" s="686">
        <f>industrie!O22</f>
        <v>0</v>
      </c>
      <c r="Q43" s="769">
        <f>industrie!P22</f>
        <v>0</v>
      </c>
      <c r="R43" s="848">
        <f t="shared" ca="1" si="4"/>
        <v>12348.110016038398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21191.715306848237</v>
      </c>
      <c r="D46" s="722">
        <f t="shared" ref="D46:Q46" ca="1" si="5">SUM(D39:D45)</f>
        <v>9.7207277720867982</v>
      </c>
      <c r="E46" s="722">
        <f t="shared" ca="1" si="5"/>
        <v>32615.995714189994</v>
      </c>
      <c r="F46" s="722">
        <f t="shared" si="5"/>
        <v>3111.539444795897</v>
      </c>
      <c r="G46" s="722">
        <f t="shared" ca="1" si="5"/>
        <v>21851.980157945138</v>
      </c>
      <c r="H46" s="722">
        <f t="shared" si="5"/>
        <v>0</v>
      </c>
      <c r="I46" s="722">
        <f t="shared" si="5"/>
        <v>0</v>
      </c>
      <c r="J46" s="722">
        <f t="shared" si="5"/>
        <v>0</v>
      </c>
      <c r="K46" s="722">
        <f t="shared" si="5"/>
        <v>43.002289143762646</v>
      </c>
      <c r="L46" s="722">
        <f t="shared" si="5"/>
        <v>0</v>
      </c>
      <c r="M46" s="722">
        <f t="shared" ca="1" si="5"/>
        <v>0</v>
      </c>
      <c r="N46" s="722">
        <f t="shared" si="5"/>
        <v>0</v>
      </c>
      <c r="O46" s="722">
        <f t="shared" ca="1" si="5"/>
        <v>0</v>
      </c>
      <c r="P46" s="722">
        <f t="shared" si="5"/>
        <v>0</v>
      </c>
      <c r="Q46" s="722">
        <f t="shared" si="5"/>
        <v>0</v>
      </c>
      <c r="R46" s="722">
        <f ca="1">SUM(R39:R45)</f>
        <v>78823.953640695108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963.54408224404904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963.54408224404904</v>
      </c>
    </row>
    <row r="50" spans="1:18">
      <c r="A50" s="824" t="s">
        <v>306</v>
      </c>
      <c r="B50" s="834"/>
      <c r="C50" s="692">
        <f ca="1">transport!B18</f>
        <v>17.976578261998839</v>
      </c>
      <c r="D50" s="692">
        <f>transport!C18</f>
        <v>0</v>
      </c>
      <c r="E50" s="692">
        <f>transport!D18</f>
        <v>87.299814534186609</v>
      </c>
      <c r="F50" s="692">
        <f>transport!E18</f>
        <v>86.126806903115124</v>
      </c>
      <c r="G50" s="692">
        <f>transport!F18</f>
        <v>0</v>
      </c>
      <c r="H50" s="692">
        <f>transport!G18</f>
        <v>45700.676272404045</v>
      </c>
      <c r="I50" s="692">
        <f>transport!H18</f>
        <v>10103.966081338966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55996.045553442309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17.976578261998839</v>
      </c>
      <c r="D52" s="722">
        <f t="shared" ref="D52:Q52" ca="1" si="6">SUM(D48:D51)</f>
        <v>0</v>
      </c>
      <c r="E52" s="722">
        <f t="shared" si="6"/>
        <v>87.299814534186609</v>
      </c>
      <c r="F52" s="722">
        <f t="shared" si="6"/>
        <v>86.126806903115124</v>
      </c>
      <c r="G52" s="722">
        <f t="shared" si="6"/>
        <v>0</v>
      </c>
      <c r="H52" s="722">
        <f t="shared" si="6"/>
        <v>46664.220354648096</v>
      </c>
      <c r="I52" s="722">
        <f t="shared" si="6"/>
        <v>10103.966081338966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56959.58963568636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54.253030173938974</v>
      </c>
      <c r="D54" s="692">
        <f ca="1">+landbouw!C12</f>
        <v>206.20903083449636</v>
      </c>
      <c r="E54" s="692">
        <f>+landbouw!D12</f>
        <v>19.299594292000002</v>
      </c>
      <c r="F54" s="692">
        <f>+landbouw!E12</f>
        <v>2.5054741574952235</v>
      </c>
      <c r="G54" s="692">
        <f>+landbouw!F12</f>
        <v>333.70776337705564</v>
      </c>
      <c r="H54" s="692">
        <f>+landbouw!G12</f>
        <v>0</v>
      </c>
      <c r="I54" s="692">
        <f>+landbouw!H12</f>
        <v>0</v>
      </c>
      <c r="J54" s="692">
        <f>+landbouw!I12</f>
        <v>0</v>
      </c>
      <c r="K54" s="692">
        <f>+landbouw!J12</f>
        <v>34.491389279059618</v>
      </c>
      <c r="L54" s="692">
        <f>+landbouw!K12</f>
        <v>0</v>
      </c>
      <c r="M54" s="692">
        <f>+landbouw!L12</f>
        <v>0</v>
      </c>
      <c r="N54" s="692">
        <f>+landbouw!M12</f>
        <v>0</v>
      </c>
      <c r="O54" s="692">
        <f>+landbouw!N12</f>
        <v>0</v>
      </c>
      <c r="P54" s="692">
        <f>+landbouw!O12</f>
        <v>0</v>
      </c>
      <c r="Q54" s="693">
        <f>+landbouw!P12</f>
        <v>0</v>
      </c>
      <c r="R54" s="721">
        <f ca="1">SUM(C54:Q54)</f>
        <v>650.46628211404573</v>
      </c>
    </row>
    <row r="55" spans="1:18" ht="15" thickBot="1">
      <c r="A55" s="824" t="s">
        <v>724</v>
      </c>
      <c r="B55" s="834"/>
      <c r="C55" s="692">
        <f ca="1">C25*'EF ele_warmte'!B12</f>
        <v>731.21587789573812</v>
      </c>
      <c r="D55" s="692"/>
      <c r="E55" s="692">
        <f>E25*EF_CO2_aardgas</f>
        <v>994.77370177200021</v>
      </c>
      <c r="F55" s="692"/>
      <c r="G55" s="692"/>
      <c r="H55" s="692"/>
      <c r="I55" s="692"/>
      <c r="J55" s="692"/>
      <c r="K55" s="692"/>
      <c r="L55" s="692"/>
      <c r="M55" s="692"/>
      <c r="N55" s="692"/>
      <c r="O55" s="692"/>
      <c r="P55" s="692"/>
      <c r="Q55" s="693"/>
      <c r="R55" s="721">
        <f ca="1">SUM(C55:Q55)</f>
        <v>1725.9895796677383</v>
      </c>
    </row>
    <row r="56" spans="1:18" ht="15.75" thickBot="1">
      <c r="A56" s="822" t="s">
        <v>725</v>
      </c>
      <c r="B56" s="835"/>
      <c r="C56" s="722">
        <f ca="1">SUM(C54:C55)</f>
        <v>785.46890806967713</v>
      </c>
      <c r="D56" s="722">
        <f t="shared" ref="D56:Q56" ca="1" si="7">SUM(D54:D55)</f>
        <v>206.20903083449636</v>
      </c>
      <c r="E56" s="722">
        <f t="shared" si="7"/>
        <v>1014.0732960640003</v>
      </c>
      <c r="F56" s="722">
        <f t="shared" si="7"/>
        <v>2.5054741574952235</v>
      </c>
      <c r="G56" s="722">
        <f t="shared" si="7"/>
        <v>333.70776337705564</v>
      </c>
      <c r="H56" s="722">
        <f t="shared" si="7"/>
        <v>0</v>
      </c>
      <c r="I56" s="722">
        <f t="shared" si="7"/>
        <v>0</v>
      </c>
      <c r="J56" s="722">
        <f t="shared" si="7"/>
        <v>0</v>
      </c>
      <c r="K56" s="722">
        <f t="shared" si="7"/>
        <v>34.491389279059618</v>
      </c>
      <c r="L56" s="722">
        <f t="shared" si="7"/>
        <v>0</v>
      </c>
      <c r="M56" s="722">
        <f t="shared" si="7"/>
        <v>0</v>
      </c>
      <c r="N56" s="722">
        <f t="shared" si="7"/>
        <v>0</v>
      </c>
      <c r="O56" s="722">
        <f t="shared" si="7"/>
        <v>0</v>
      </c>
      <c r="P56" s="722">
        <f t="shared" si="7"/>
        <v>0</v>
      </c>
      <c r="Q56" s="723">
        <f t="shared" si="7"/>
        <v>0</v>
      </c>
      <c r="R56" s="724">
        <f ca="1">SUM(R54:R55)</f>
        <v>2376.4558617817838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21995.160793179912</v>
      </c>
      <c r="D61" s="730">
        <f t="shared" ref="D61:Q61" ca="1" si="8">D46+D52+D56</f>
        <v>215.92975860658316</v>
      </c>
      <c r="E61" s="730">
        <f t="shared" ca="1" si="8"/>
        <v>33717.36882478818</v>
      </c>
      <c r="F61" s="730">
        <f t="shared" si="8"/>
        <v>3200.1717258565077</v>
      </c>
      <c r="G61" s="730">
        <f t="shared" ca="1" si="8"/>
        <v>22185.687921322195</v>
      </c>
      <c r="H61" s="730">
        <f t="shared" si="8"/>
        <v>46664.220354648096</v>
      </c>
      <c r="I61" s="730">
        <f t="shared" si="8"/>
        <v>10103.966081338966</v>
      </c>
      <c r="J61" s="730">
        <f t="shared" si="8"/>
        <v>0</v>
      </c>
      <c r="K61" s="730">
        <f t="shared" si="8"/>
        <v>77.493678422822256</v>
      </c>
      <c r="L61" s="730">
        <f t="shared" si="8"/>
        <v>0</v>
      </c>
      <c r="M61" s="730">
        <f t="shared" ca="1" si="8"/>
        <v>0</v>
      </c>
      <c r="N61" s="730">
        <f t="shared" si="8"/>
        <v>0</v>
      </c>
      <c r="O61" s="730">
        <f t="shared" ca="1" si="8"/>
        <v>0</v>
      </c>
      <c r="P61" s="730">
        <f t="shared" si="8"/>
        <v>0</v>
      </c>
      <c r="Q61" s="730">
        <f t="shared" si="8"/>
        <v>0</v>
      </c>
      <c r="R61" s="730">
        <f ca="1">R46+R52+R56</f>
        <v>138159.99913816326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0.15340838898784104</v>
      </c>
      <c r="D63" s="776">
        <f t="shared" ca="1" si="9"/>
        <v>1.0692320117344256E-2</v>
      </c>
      <c r="E63" s="975">
        <f t="shared" ca="1" si="9"/>
        <v>0.20199999999999999</v>
      </c>
      <c r="F63" s="776">
        <f t="shared" si="9"/>
        <v>0.22700000000000006</v>
      </c>
      <c r="G63" s="776">
        <f t="shared" ca="1" si="9"/>
        <v>0.26700000000000007</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16065.969094983771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13500.329090055244</v>
      </c>
      <c r="C76" s="743">
        <f>'lokale energieproductie'!B8*IFERROR(SUM(D76:H76)/SUM(D76:O76),0)</f>
        <v>636.04590994475757</v>
      </c>
      <c r="D76" s="958">
        <f>'lokale energieproductie'!C8</f>
        <v>748.27052870704154</v>
      </c>
      <c r="E76" s="959">
        <f>'lokale energieproductie'!D8</f>
        <v>0</v>
      </c>
      <c r="F76" s="959">
        <f>'lokale energieproductie'!E8</f>
        <v>0</v>
      </c>
      <c r="G76" s="959">
        <f>'lokale energieproductie'!F8</f>
        <v>0</v>
      </c>
      <c r="H76" s="959">
        <f>'lokale energieproductie'!G8</f>
        <v>0</v>
      </c>
      <c r="I76" s="959">
        <f>'lokale energieproductie'!I8</f>
        <v>0</v>
      </c>
      <c r="J76" s="959">
        <f>'lokale energieproductie'!J8</f>
        <v>15882.34155426307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151.15064679882241</v>
      </c>
      <c r="R76" s="851">
        <v>0</v>
      </c>
    </row>
    <row r="77" spans="1:18" ht="15.75" thickBot="1">
      <c r="A77" s="746" t="s">
        <v>784</v>
      </c>
      <c r="B77" s="743">
        <f>'lokale energieproductie'!B9*IFERROR(SUM(I77:O77)/SUM(D77:O77),0)</f>
        <v>14332.5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40950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43898.798185039013</v>
      </c>
      <c r="C78" s="748">
        <f>SUM(C72:C77)</f>
        <v>636.04590994475757</v>
      </c>
      <c r="D78" s="749">
        <f t="shared" ref="D78:H78" si="10">SUM(D76:D77)</f>
        <v>748.27052870704154</v>
      </c>
      <c r="E78" s="749">
        <f t="shared" si="10"/>
        <v>0</v>
      </c>
      <c r="F78" s="749">
        <f t="shared" si="10"/>
        <v>0</v>
      </c>
      <c r="G78" s="749">
        <f t="shared" si="10"/>
        <v>0</v>
      </c>
      <c r="H78" s="749">
        <f t="shared" si="10"/>
        <v>0</v>
      </c>
      <c r="I78" s="749">
        <f>SUM(I76:I77)</f>
        <v>0</v>
      </c>
      <c r="J78" s="749">
        <f>SUM(J76:J77)</f>
        <v>56832.341554263068</v>
      </c>
      <c r="K78" s="749">
        <f t="shared" ref="K78:L78" si="11">SUM(K76:K77)</f>
        <v>0</v>
      </c>
      <c r="L78" s="749">
        <f t="shared" si="11"/>
        <v>0</v>
      </c>
      <c r="M78" s="749">
        <f>SUM(M76:M77)</f>
        <v>0</v>
      </c>
      <c r="N78" s="749">
        <f>SUM(N76:N77)</f>
        <v>0</v>
      </c>
      <c r="O78" s="859">
        <f>SUM(O76:O77)</f>
        <v>0</v>
      </c>
      <c r="P78" s="750">
        <v>0</v>
      </c>
      <c r="Q78" s="750">
        <f>SUM(Q76:Q77)</f>
        <v>151.15064679882241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19286.207920797151</v>
      </c>
      <c r="C87" s="761">
        <f>'lokale energieproductie'!B17*IFERROR(SUM(D87:H87)/SUM(D87:O87),0)</f>
        <v>908.63812167389312</v>
      </c>
      <c r="D87" s="772">
        <f>'lokale energieproductie'!C17</f>
        <v>1068.9592010226888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22689.087017165501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215.92975860658316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19286.207920797151</v>
      </c>
      <c r="C90" s="748">
        <f>SUM(C87:C89)</f>
        <v>908.63812167389312</v>
      </c>
      <c r="D90" s="748">
        <f t="shared" ref="D90:H90" si="12">SUM(D87:D89)</f>
        <v>1068.9592010226888</v>
      </c>
      <c r="E90" s="748">
        <f t="shared" si="12"/>
        <v>0</v>
      </c>
      <c r="F90" s="748">
        <f t="shared" si="12"/>
        <v>0</v>
      </c>
      <c r="G90" s="748">
        <f t="shared" si="12"/>
        <v>0</v>
      </c>
      <c r="H90" s="748">
        <f t="shared" si="12"/>
        <v>0</v>
      </c>
      <c r="I90" s="748">
        <f>SUM(I87:I89)</f>
        <v>0</v>
      </c>
      <c r="J90" s="748">
        <f>SUM(J87:J89)</f>
        <v>22689.087017165501</v>
      </c>
      <c r="K90" s="748">
        <f t="shared" ref="K90:L90" si="13">SUM(K87:K89)</f>
        <v>0</v>
      </c>
      <c r="L90" s="748">
        <f t="shared" si="13"/>
        <v>0</v>
      </c>
      <c r="M90" s="748">
        <f>SUM(M87:M89)</f>
        <v>0</v>
      </c>
      <c r="N90" s="748">
        <f>SUM(N87:N89)</f>
        <v>0</v>
      </c>
      <c r="O90" s="748">
        <f>SUM(O87:O89)</f>
        <v>0</v>
      </c>
      <c r="P90" s="748">
        <v>0</v>
      </c>
      <c r="Q90" s="748">
        <f>SUM(Q87:Q89)</f>
        <v>215.92975860658316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16065.969094983771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14136.375</v>
      </c>
      <c r="C8" s="548">
        <f>B50</f>
        <v>748.27052870704154</v>
      </c>
      <c r="D8" s="549"/>
      <c r="E8" s="549">
        <f>E50</f>
        <v>0</v>
      </c>
      <c r="F8" s="550"/>
      <c r="G8" s="551"/>
      <c r="H8" s="549">
        <f>I50</f>
        <v>0</v>
      </c>
      <c r="I8" s="549">
        <f>G50+F50</f>
        <v>0</v>
      </c>
      <c r="J8" s="549">
        <f>H50+D50+C50</f>
        <v>15882.34155426307</v>
      </c>
      <c r="K8" s="549"/>
      <c r="L8" s="549"/>
      <c r="M8" s="549"/>
      <c r="N8" s="552"/>
      <c r="O8" s="553">
        <f>C8*$C$12+D8*$D$12+E8*$E$12+F8*$F$12+G8*$G$12+H8*$H$12+I8*$I$12+J8*$J$12</f>
        <v>151.15064679882241</v>
      </c>
      <c r="P8" s="1244"/>
      <c r="Q8" s="1245"/>
      <c r="S8" s="543"/>
      <c r="T8" s="1232"/>
      <c r="U8" s="1232"/>
    </row>
    <row r="9" spans="1:21" s="534" customFormat="1" ht="17.45" customHeight="1" thickBot="1">
      <c r="A9" s="554" t="s">
        <v>247</v>
      </c>
      <c r="B9" s="555">
        <f>N38+'Eigen informatie GS &amp; warmtenet'!B12</f>
        <v>14332.5</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44534.844094983768</v>
      </c>
      <c r="C10" s="563">
        <f t="shared" ref="C10:L10" si="0">SUM(C8:C9)</f>
        <v>748.27052870704154</v>
      </c>
      <c r="D10" s="563">
        <f t="shared" si="0"/>
        <v>0</v>
      </c>
      <c r="E10" s="563">
        <f t="shared" si="0"/>
        <v>0</v>
      </c>
      <c r="F10" s="563">
        <f t="shared" si="0"/>
        <v>0</v>
      </c>
      <c r="G10" s="563">
        <f t="shared" si="0"/>
        <v>0</v>
      </c>
      <c r="H10" s="563">
        <f t="shared" si="0"/>
        <v>0</v>
      </c>
      <c r="I10" s="563">
        <f t="shared" si="0"/>
        <v>0</v>
      </c>
      <c r="J10" s="563">
        <f t="shared" si="0"/>
        <v>56832.341554263068</v>
      </c>
      <c r="K10" s="563">
        <f t="shared" si="0"/>
        <v>0</v>
      </c>
      <c r="L10" s="563">
        <f t="shared" si="0"/>
        <v>0</v>
      </c>
      <c r="M10" s="971"/>
      <c r="N10" s="971"/>
      <c r="O10" s="564">
        <f>SUM(O4:O9)</f>
        <v>151.15064679882241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20194.846042471043</v>
      </c>
      <c r="C17" s="579">
        <f>B51</f>
        <v>1068.9592010226888</v>
      </c>
      <c r="D17" s="580"/>
      <c r="E17" s="580">
        <f>E51</f>
        <v>0</v>
      </c>
      <c r="F17" s="581"/>
      <c r="G17" s="582"/>
      <c r="H17" s="579">
        <f>I51</f>
        <v>0</v>
      </c>
      <c r="I17" s="580">
        <f>G51+F51</f>
        <v>0</v>
      </c>
      <c r="J17" s="580">
        <f>H51+D51+C51</f>
        <v>22689.087017165501</v>
      </c>
      <c r="K17" s="580"/>
      <c r="L17" s="580"/>
      <c r="M17" s="580"/>
      <c r="N17" s="972"/>
      <c r="O17" s="583">
        <f>C17*$C$22+E17*$E$22+H17*$H$22+I17*$I$22+J17*$J$22+D17*$D$22+F17*$F$22+G17*$G$22+K17*$K$22+L17*$L$22</f>
        <v>215.92975860658316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20194.846042471043</v>
      </c>
      <c r="C20" s="562">
        <f>SUM(C17:C19)</f>
        <v>1068.9592010226888</v>
      </c>
      <c r="D20" s="562">
        <f t="shared" ref="D20:L20" si="1">SUM(D17:D19)</f>
        <v>0</v>
      </c>
      <c r="E20" s="562">
        <f t="shared" si="1"/>
        <v>0</v>
      </c>
      <c r="F20" s="562">
        <f t="shared" si="1"/>
        <v>0</v>
      </c>
      <c r="G20" s="562">
        <f t="shared" si="1"/>
        <v>0</v>
      </c>
      <c r="H20" s="562">
        <f t="shared" si="1"/>
        <v>0</v>
      </c>
      <c r="I20" s="562">
        <f t="shared" si="1"/>
        <v>0</v>
      </c>
      <c r="J20" s="562">
        <f t="shared" si="1"/>
        <v>22689.087017165501</v>
      </c>
      <c r="K20" s="562">
        <f t="shared" si="1"/>
        <v>0</v>
      </c>
      <c r="L20" s="562">
        <f t="shared" si="1"/>
        <v>0</v>
      </c>
      <c r="M20" s="562"/>
      <c r="N20" s="562"/>
      <c r="O20" s="588">
        <f>SUM(O17:O19)</f>
        <v>215.92975860658316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72039</v>
      </c>
      <c r="C28" s="791">
        <v>3530</v>
      </c>
      <c r="D28" s="640" t="s">
        <v>888</v>
      </c>
      <c r="E28" s="639" t="s">
        <v>889</v>
      </c>
      <c r="F28" s="639" t="s">
        <v>890</v>
      </c>
      <c r="G28" s="639" t="s">
        <v>891</v>
      </c>
      <c r="H28" s="639" t="s">
        <v>892</v>
      </c>
      <c r="I28" s="639" t="s">
        <v>889</v>
      </c>
      <c r="J28" s="790">
        <v>39532</v>
      </c>
      <c r="K28" s="790">
        <v>39609</v>
      </c>
      <c r="L28" s="639" t="s">
        <v>893</v>
      </c>
      <c r="M28" s="639">
        <v>3000</v>
      </c>
      <c r="N28" s="639">
        <v>13500</v>
      </c>
      <c r="O28" s="639">
        <v>19285.714285714286</v>
      </c>
      <c r="P28" s="639">
        <v>0</v>
      </c>
      <c r="Q28" s="639">
        <v>38571.428571428572</v>
      </c>
      <c r="R28" s="639">
        <v>0</v>
      </c>
      <c r="S28" s="639">
        <v>0</v>
      </c>
      <c r="T28" s="639">
        <v>0</v>
      </c>
      <c r="U28" s="639">
        <v>0</v>
      </c>
      <c r="V28" s="639">
        <v>0</v>
      </c>
      <c r="W28" s="639">
        <v>0</v>
      </c>
      <c r="X28" s="639">
        <v>10</v>
      </c>
      <c r="Y28" s="639" t="s">
        <v>111</v>
      </c>
      <c r="Z28" s="641" t="s">
        <v>111</v>
      </c>
    </row>
    <row r="29" spans="1:26" s="593" customFormat="1" ht="38.25">
      <c r="A29" s="592"/>
      <c r="B29" s="791">
        <v>72039</v>
      </c>
      <c r="C29" s="791">
        <v>3530</v>
      </c>
      <c r="D29" s="640" t="s">
        <v>894</v>
      </c>
      <c r="E29" s="639" t="s">
        <v>895</v>
      </c>
      <c r="F29" s="639" t="s">
        <v>896</v>
      </c>
      <c r="G29" s="639" t="s">
        <v>891</v>
      </c>
      <c r="H29" s="639" t="s">
        <v>892</v>
      </c>
      <c r="I29" s="639" t="s">
        <v>895</v>
      </c>
      <c r="J29" s="790">
        <v>41561</v>
      </c>
      <c r="K29" s="790">
        <v>41428</v>
      </c>
      <c r="L29" s="639" t="s">
        <v>893</v>
      </c>
      <c r="M29" s="639">
        <v>140</v>
      </c>
      <c r="N29" s="639">
        <v>630.00000000000011</v>
      </c>
      <c r="O29" s="639">
        <v>900.00000000000023</v>
      </c>
      <c r="P29" s="639">
        <v>1800.0000000000005</v>
      </c>
      <c r="Q29" s="639">
        <v>0</v>
      </c>
      <c r="R29" s="639">
        <v>0</v>
      </c>
      <c r="S29" s="639">
        <v>0</v>
      </c>
      <c r="T29" s="639">
        <v>0</v>
      </c>
      <c r="U29" s="639">
        <v>0</v>
      </c>
      <c r="V29" s="639">
        <v>0</v>
      </c>
      <c r="W29" s="639">
        <v>0</v>
      </c>
      <c r="X29" s="639">
        <v>800</v>
      </c>
      <c r="Y29" s="639" t="s">
        <v>35</v>
      </c>
      <c r="Z29" s="641" t="s">
        <v>384</v>
      </c>
    </row>
    <row r="30" spans="1:26" s="593" customFormat="1" ht="12.75">
      <c r="A30" s="592"/>
      <c r="B30" s="791">
        <v>72039</v>
      </c>
      <c r="C30" s="791">
        <v>3530</v>
      </c>
      <c r="D30" s="640" t="s">
        <v>897</v>
      </c>
      <c r="E30" s="639"/>
      <c r="F30" s="639" t="s">
        <v>898</v>
      </c>
      <c r="G30" s="639" t="s">
        <v>899</v>
      </c>
      <c r="H30" s="639" t="s">
        <v>900</v>
      </c>
      <c r="I30" s="639" t="s">
        <v>901</v>
      </c>
      <c r="J30" s="790">
        <v>42818</v>
      </c>
      <c r="K30" s="790">
        <v>42818</v>
      </c>
      <c r="L30" s="639" t="s">
        <v>902</v>
      </c>
      <c r="M30" s="639">
        <v>1.7</v>
      </c>
      <c r="N30" s="639">
        <v>6.375</v>
      </c>
      <c r="O30" s="639">
        <v>9.1317567567567561</v>
      </c>
      <c r="P30" s="639">
        <v>17.22972972972973</v>
      </c>
      <c r="Q30" s="639">
        <v>0</v>
      </c>
      <c r="R30" s="639">
        <v>0</v>
      </c>
      <c r="S30" s="639">
        <v>0</v>
      </c>
      <c r="T30" s="639">
        <v>0</v>
      </c>
      <c r="U30" s="639">
        <v>0</v>
      </c>
      <c r="V30" s="639">
        <v>0</v>
      </c>
      <c r="W30" s="639">
        <v>0</v>
      </c>
      <c r="X30" s="639">
        <v>1100</v>
      </c>
      <c r="Y30" s="639" t="s">
        <v>160</v>
      </c>
      <c r="Z30" s="641" t="s">
        <v>155</v>
      </c>
    </row>
    <row r="31" spans="1:26" s="573" customFormat="1">
      <c r="A31" s="595" t="s">
        <v>279</v>
      </c>
      <c r="B31" s="596"/>
      <c r="C31" s="596"/>
      <c r="D31" s="596"/>
      <c r="E31" s="596"/>
      <c r="F31" s="596"/>
      <c r="G31" s="596"/>
      <c r="H31" s="596"/>
      <c r="I31" s="596"/>
      <c r="J31" s="596"/>
      <c r="K31" s="596"/>
      <c r="L31" s="597"/>
      <c r="M31" s="597">
        <f>SUM(M28:M30)</f>
        <v>3141.7</v>
      </c>
      <c r="N31" s="597">
        <f>SUM(N28:N30)</f>
        <v>14136.375</v>
      </c>
      <c r="O31" s="597">
        <f>SUM(O28:O30)</f>
        <v>20194.846042471043</v>
      </c>
      <c r="P31" s="597">
        <f>SUM(P28:P30)</f>
        <v>1817.2297297297303</v>
      </c>
      <c r="Q31" s="597">
        <f>SUM(Q28:Q30)</f>
        <v>38571.428571428572</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140</v>
      </c>
      <c r="N32" s="597">
        <f>SUMIF($Z$28:$Z$30,"industrie",N28:N30)</f>
        <v>630.00000000000011</v>
      </c>
      <c r="O32" s="597">
        <f>SUMIF($Z$28:$Z$30,"industrie",O28:O30)</f>
        <v>900.00000000000023</v>
      </c>
      <c r="P32" s="597">
        <f>SUMIF($Z$28:$Z$30,"industrie",P28:P30)</f>
        <v>1800.0000000000005</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1.7</v>
      </c>
      <c r="N33" s="597">
        <f ca="1">SUMIF($Z$28:AD30,"tertiair",N28:N30)</f>
        <v>6.375</v>
      </c>
      <c r="O33" s="597">
        <f ca="1">SUMIF($Z$28:AE30,"tertiair",O28:O30)</f>
        <v>9.1317567567567561</v>
      </c>
      <c r="P33" s="597">
        <f ca="1">SUMIF($Z$28:AF30,"tertiair",P28:P30)</f>
        <v>17.22972972972973</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3000</v>
      </c>
      <c r="N34" s="602">
        <f>SUMIF($Z$28:$Z$30,"landbouw",N28:N30)</f>
        <v>13500</v>
      </c>
      <c r="O34" s="602">
        <f>SUMIF($Z$28:$Z$30,"landbouw",O28:O30)</f>
        <v>19285.714285714286</v>
      </c>
      <c r="P34" s="602">
        <f>SUMIF($Z$28:$Z$30,"landbouw",P28:P30)</f>
        <v>0</v>
      </c>
      <c r="Q34" s="602">
        <f>SUMIF($Z$28:$Z$30,"landbouw",Q28:Q30)</f>
        <v>38571.428571428572</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91">
        <v>72039</v>
      </c>
      <c r="C37" s="791">
        <v>3530</v>
      </c>
      <c r="D37" s="642" t="s">
        <v>903</v>
      </c>
      <c r="E37" s="642" t="s">
        <v>904</v>
      </c>
      <c r="F37" s="642" t="s">
        <v>905</v>
      </c>
      <c r="G37" s="642" t="s">
        <v>906</v>
      </c>
      <c r="H37" s="642" t="s">
        <v>907</v>
      </c>
      <c r="I37" s="642" t="s">
        <v>908</v>
      </c>
      <c r="J37" s="790">
        <v>36658</v>
      </c>
      <c r="K37" s="790">
        <v>37257</v>
      </c>
      <c r="L37" s="642" t="s">
        <v>893</v>
      </c>
      <c r="M37" s="642">
        <v>3185</v>
      </c>
      <c r="N37" s="642">
        <v>14332.5</v>
      </c>
      <c r="O37" s="642">
        <v>0</v>
      </c>
      <c r="P37" s="642">
        <v>0</v>
      </c>
      <c r="Q37" s="642">
        <v>0</v>
      </c>
      <c r="R37" s="642">
        <v>40950</v>
      </c>
      <c r="S37" s="642">
        <v>0</v>
      </c>
      <c r="T37" s="642">
        <v>0</v>
      </c>
      <c r="U37" s="642">
        <v>0</v>
      </c>
      <c r="V37" s="642">
        <v>0</v>
      </c>
      <c r="W37" s="642">
        <v>0</v>
      </c>
      <c r="X37" s="642">
        <v>1600</v>
      </c>
      <c r="Y37" s="642" t="s">
        <v>49</v>
      </c>
      <c r="Z37" s="643" t="s">
        <v>155</v>
      </c>
    </row>
    <row r="38" spans="1:27" s="573" customFormat="1">
      <c r="A38" s="595" t="s">
        <v>279</v>
      </c>
      <c r="B38" s="596"/>
      <c r="C38" s="596"/>
      <c r="D38" s="596"/>
      <c r="E38" s="596"/>
      <c r="F38" s="596"/>
      <c r="G38" s="596"/>
      <c r="H38" s="596"/>
      <c r="I38" s="596"/>
      <c r="J38" s="596"/>
      <c r="K38" s="596"/>
      <c r="L38" s="597"/>
      <c r="M38" s="597">
        <f>SUM(M37:M37)</f>
        <v>3185</v>
      </c>
      <c r="N38" s="597">
        <f>SUM(N37:N37)</f>
        <v>14332.5</v>
      </c>
      <c r="O38" s="597">
        <f>SUM(O37:O37)</f>
        <v>0</v>
      </c>
      <c r="P38" s="597">
        <f>SUM(P37:P37)</f>
        <v>0</v>
      </c>
      <c r="Q38" s="597">
        <f>SUM(Q37:Q37)</f>
        <v>0</v>
      </c>
      <c r="R38" s="597">
        <f>SUM(R37:R37)</f>
        <v>40950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3185</v>
      </c>
      <c r="N40" s="597">
        <f>SUMIF($Z$37:$Z$38,"tertiair",N37:N38)</f>
        <v>14332.5</v>
      </c>
      <c r="O40" s="597">
        <f>SUMIF($Z$37:$Z$38,"tertiair",O37:O38)</f>
        <v>0</v>
      </c>
      <c r="P40" s="597">
        <f>SUMIF($Z$37:$Z$38,"tertiair",P37:P38)</f>
        <v>0</v>
      </c>
      <c r="Q40" s="597">
        <f>SUMIF($Z$37:$Z$38,"tertiair",Q37:Q38)</f>
        <v>0</v>
      </c>
      <c r="R40" s="597">
        <f>SUMIF($Z$37:$Z$38,"tertiair",R37:R38)</f>
        <v>40950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0.58823558933392039</v>
      </c>
      <c r="C47" s="622">
        <f>IF(ISERROR(N31/(O31+N31)),0,N31/(N31+O31))</f>
        <v>0.41176441066607961</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748.27052870704154</v>
      </c>
      <c r="C50" s="631">
        <f t="shared" si="2"/>
        <v>15882.34155426307</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1068.9592010226888</v>
      </c>
      <c r="C51" s="634">
        <f t="shared" si="3"/>
        <v>22689.087017165501</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46032.522956025008</v>
      </c>
      <c r="C4" s="452">
        <f>huishoudens!C8</f>
        <v>0</v>
      </c>
      <c r="D4" s="452">
        <f>huishoudens!D8</f>
        <v>86123.042397699988</v>
      </c>
      <c r="E4" s="452">
        <f>huishoudens!E8</f>
        <v>10784.165418604245</v>
      </c>
      <c r="F4" s="452">
        <f>huishoudens!F8</f>
        <v>66096.950260105106</v>
      </c>
      <c r="G4" s="452">
        <f>huishoudens!G8</f>
        <v>0</v>
      </c>
      <c r="H4" s="452">
        <f>huishoudens!H8</f>
        <v>0</v>
      </c>
      <c r="I4" s="452">
        <f>huishoudens!I8</f>
        <v>0</v>
      </c>
      <c r="J4" s="452">
        <f>huishoudens!J8</f>
        <v>0</v>
      </c>
      <c r="K4" s="452">
        <f>huishoudens!K8</f>
        <v>0</v>
      </c>
      <c r="L4" s="452">
        <f>huishoudens!L8</f>
        <v>0</v>
      </c>
      <c r="M4" s="452">
        <f>huishoudens!M8</f>
        <v>0</v>
      </c>
      <c r="N4" s="452">
        <f>huishoudens!N8</f>
        <v>29433.865172802456</v>
      </c>
      <c r="O4" s="452">
        <f>huishoudens!O8</f>
        <v>898.73307338232541</v>
      </c>
      <c r="P4" s="453">
        <f>huishoudens!P8</f>
        <v>905.92050046091197</v>
      </c>
      <c r="Q4" s="454">
        <f>SUM(B4:P4)</f>
        <v>240275.19977908005</v>
      </c>
    </row>
    <row r="5" spans="1:17">
      <c r="A5" s="451" t="s">
        <v>155</v>
      </c>
      <c r="B5" s="452">
        <f ca="1">tertiair!B16</f>
        <v>64375.105350999998</v>
      </c>
      <c r="C5" s="452">
        <f ca="1">tertiair!C16</f>
        <v>9.1317567567567561</v>
      </c>
      <c r="D5" s="452">
        <f ca="1">tertiair!D16</f>
        <v>49219.56599874227</v>
      </c>
      <c r="E5" s="452">
        <f>tertiair!E16</f>
        <v>483.97800618502737</v>
      </c>
      <c r="F5" s="452">
        <f ca="1">tertiair!F16</f>
        <v>6494.2507607492598</v>
      </c>
      <c r="G5" s="452">
        <f>tertiair!G16</f>
        <v>0</v>
      </c>
      <c r="H5" s="452">
        <f>tertiair!H16</f>
        <v>0</v>
      </c>
      <c r="I5" s="452">
        <f>tertiair!I16</f>
        <v>0</v>
      </c>
      <c r="J5" s="452">
        <f>tertiair!J16</f>
        <v>0.40012167332284876</v>
      </c>
      <c r="K5" s="452">
        <f>tertiair!K16</f>
        <v>0</v>
      </c>
      <c r="L5" s="452">
        <f ca="1">tertiair!L16</f>
        <v>0</v>
      </c>
      <c r="M5" s="452">
        <f>tertiair!M16</f>
        <v>0</v>
      </c>
      <c r="N5" s="452">
        <f ca="1">tertiair!N16</f>
        <v>0</v>
      </c>
      <c r="O5" s="452">
        <f>tertiair!O16</f>
        <v>9.7945215316823084</v>
      </c>
      <c r="P5" s="453">
        <f>tertiair!P16</f>
        <v>210.15655322598008</v>
      </c>
      <c r="Q5" s="451">
        <f t="shared" ref="Q5:Q14" ca="1" si="0">SUM(B5:P5)</f>
        <v>120802.3830698643</v>
      </c>
    </row>
    <row r="6" spans="1:17">
      <c r="A6" s="451" t="s">
        <v>193</v>
      </c>
      <c r="B6" s="452">
        <f>'openbare verlichting'!B8</f>
        <v>1689.75</v>
      </c>
      <c r="C6" s="452"/>
      <c r="D6" s="452"/>
      <c r="E6" s="452"/>
      <c r="F6" s="452"/>
      <c r="G6" s="452"/>
      <c r="H6" s="452"/>
      <c r="I6" s="452"/>
      <c r="J6" s="452"/>
      <c r="K6" s="452"/>
      <c r="L6" s="452"/>
      <c r="M6" s="452"/>
      <c r="N6" s="452"/>
      <c r="O6" s="452"/>
      <c r="P6" s="453"/>
      <c r="Q6" s="451">
        <f t="shared" si="0"/>
        <v>1689.75</v>
      </c>
    </row>
    <row r="7" spans="1:17">
      <c r="A7" s="451" t="s">
        <v>111</v>
      </c>
      <c r="B7" s="452">
        <f>landbouw!B8</f>
        <v>353.65100000000001</v>
      </c>
      <c r="C7" s="452">
        <f>landbouw!C8</f>
        <v>19285.714285714286</v>
      </c>
      <c r="D7" s="452">
        <f>landbouw!D8</f>
        <v>95.542546000000002</v>
      </c>
      <c r="E7" s="452">
        <f>landbouw!E8</f>
        <v>11.037331090287328</v>
      </c>
      <c r="F7" s="452">
        <f>landbouw!F8</f>
        <v>1249.8418104009575</v>
      </c>
      <c r="G7" s="452">
        <f>landbouw!G8</f>
        <v>0</v>
      </c>
      <c r="H7" s="452">
        <f>landbouw!H8</f>
        <v>0</v>
      </c>
      <c r="I7" s="452">
        <f>landbouw!I8</f>
        <v>0</v>
      </c>
      <c r="J7" s="452">
        <f>landbouw!J8</f>
        <v>97.433303048191021</v>
      </c>
      <c r="K7" s="452">
        <f>landbouw!K8</f>
        <v>0</v>
      </c>
      <c r="L7" s="452">
        <f>landbouw!L8</f>
        <v>0</v>
      </c>
      <c r="M7" s="452">
        <f>landbouw!M8</f>
        <v>0</v>
      </c>
      <c r="N7" s="452">
        <f>landbouw!N8</f>
        <v>0</v>
      </c>
      <c r="O7" s="452">
        <f>landbouw!O8</f>
        <v>0</v>
      </c>
      <c r="P7" s="453">
        <f>landbouw!P8</f>
        <v>0</v>
      </c>
      <c r="Q7" s="451">
        <f t="shared" si="0"/>
        <v>21093.220276253724</v>
      </c>
    </row>
    <row r="8" spans="1:17">
      <c r="A8" s="451" t="s">
        <v>625</v>
      </c>
      <c r="B8" s="452">
        <f>industrie!B18</f>
        <v>26041.842413999999</v>
      </c>
      <c r="C8" s="452">
        <f>industrie!C18</f>
        <v>900.00000000000023</v>
      </c>
      <c r="D8" s="452">
        <f>industrie!D18</f>
        <v>26122.71692133</v>
      </c>
      <c r="E8" s="452">
        <f>industrie!E18</f>
        <v>2439.0787989811975</v>
      </c>
      <c r="F8" s="452">
        <f>industrie!F18</f>
        <v>9251.4212935468877</v>
      </c>
      <c r="G8" s="452">
        <f>industrie!G18</f>
        <v>0</v>
      </c>
      <c r="H8" s="452">
        <f>industrie!H18</f>
        <v>0</v>
      </c>
      <c r="I8" s="452">
        <f>industrie!I18</f>
        <v>0</v>
      </c>
      <c r="J8" s="452">
        <f>industrie!J18</f>
        <v>121.07527138815357</v>
      </c>
      <c r="K8" s="452">
        <f>industrie!K18</f>
        <v>0</v>
      </c>
      <c r="L8" s="452">
        <f>industrie!L18</f>
        <v>0</v>
      </c>
      <c r="M8" s="452">
        <f>industrie!M18</f>
        <v>0</v>
      </c>
      <c r="N8" s="452">
        <f>industrie!N18</f>
        <v>1780.3199707964443</v>
      </c>
      <c r="O8" s="452">
        <f>industrie!O18</f>
        <v>0</v>
      </c>
      <c r="P8" s="453">
        <f>industrie!P18</f>
        <v>0</v>
      </c>
      <c r="Q8" s="451">
        <f t="shared" si="0"/>
        <v>66656.454670042673</v>
      </c>
    </row>
    <row r="9" spans="1:17" s="457" customFormat="1">
      <c r="A9" s="455" t="s">
        <v>551</v>
      </c>
      <c r="B9" s="456">
        <f>transport!B14</f>
        <v>117.18119446142961</v>
      </c>
      <c r="C9" s="456">
        <f>transport!C14</f>
        <v>0</v>
      </c>
      <c r="D9" s="456">
        <f>transport!D14</f>
        <v>432.17729967419109</v>
      </c>
      <c r="E9" s="456">
        <f>transport!E14</f>
        <v>379.4132462692296</v>
      </c>
      <c r="F9" s="456">
        <f>transport!F14</f>
        <v>0</v>
      </c>
      <c r="G9" s="456">
        <f>transport!G14</f>
        <v>171163.58154458442</v>
      </c>
      <c r="H9" s="456">
        <f>transport!H14</f>
        <v>40578.177033489825</v>
      </c>
      <c r="I9" s="456">
        <f>transport!I14</f>
        <v>0</v>
      </c>
      <c r="J9" s="456">
        <f>transport!J14</f>
        <v>0</v>
      </c>
      <c r="K9" s="456">
        <f>transport!K14</f>
        <v>0</v>
      </c>
      <c r="L9" s="456">
        <f>transport!L14</f>
        <v>0</v>
      </c>
      <c r="M9" s="456">
        <f>transport!M14</f>
        <v>12552.870760352203</v>
      </c>
      <c r="N9" s="456">
        <f>transport!N14</f>
        <v>0</v>
      </c>
      <c r="O9" s="456">
        <f>transport!O14</f>
        <v>0</v>
      </c>
      <c r="P9" s="456">
        <f>transport!P14</f>
        <v>0</v>
      </c>
      <c r="Q9" s="455">
        <f>SUM(B9:P9)</f>
        <v>225223.40107883132</v>
      </c>
    </row>
    <row r="10" spans="1:17">
      <c r="A10" s="451" t="s">
        <v>541</v>
      </c>
      <c r="B10" s="452">
        <f>transport!B54</f>
        <v>0</v>
      </c>
      <c r="C10" s="452">
        <f>transport!C54</f>
        <v>0</v>
      </c>
      <c r="D10" s="452">
        <f>transport!D54</f>
        <v>0</v>
      </c>
      <c r="E10" s="452">
        <f>transport!E54</f>
        <v>0</v>
      </c>
      <c r="F10" s="452">
        <f>transport!F54</f>
        <v>0</v>
      </c>
      <c r="G10" s="452">
        <f>transport!G54</f>
        <v>3608.7793342473747</v>
      </c>
      <c r="H10" s="452">
        <f>transport!H54</f>
        <v>0</v>
      </c>
      <c r="I10" s="452">
        <f>transport!I54</f>
        <v>0</v>
      </c>
      <c r="J10" s="452">
        <f>transport!J54</f>
        <v>0</v>
      </c>
      <c r="K10" s="452">
        <f>transport!K54</f>
        <v>0</v>
      </c>
      <c r="L10" s="452">
        <f>transport!L54</f>
        <v>0</v>
      </c>
      <c r="M10" s="452">
        <f>transport!M54</f>
        <v>200.54479808210334</v>
      </c>
      <c r="N10" s="452">
        <f>transport!N54</f>
        <v>0</v>
      </c>
      <c r="O10" s="452">
        <f>transport!O54</f>
        <v>0</v>
      </c>
      <c r="P10" s="453">
        <f>transport!P54</f>
        <v>0</v>
      </c>
      <c r="Q10" s="451">
        <f t="shared" si="0"/>
        <v>3809.3241323294778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4766.46605</v>
      </c>
      <c r="C14" s="459"/>
      <c r="D14" s="459">
        <f>'SEAP template'!E25</f>
        <v>4924.6222860000007</v>
      </c>
      <c r="E14" s="459"/>
      <c r="F14" s="459"/>
      <c r="G14" s="459"/>
      <c r="H14" s="459"/>
      <c r="I14" s="459"/>
      <c r="J14" s="459"/>
      <c r="K14" s="459"/>
      <c r="L14" s="459"/>
      <c r="M14" s="459"/>
      <c r="N14" s="459"/>
      <c r="O14" s="459"/>
      <c r="P14" s="460"/>
      <c r="Q14" s="451">
        <f t="shared" si="0"/>
        <v>9691.0883360000007</v>
      </c>
    </row>
    <row r="15" spans="1:17" s="463" customFormat="1">
      <c r="A15" s="461" t="s">
        <v>545</v>
      </c>
      <c r="B15" s="462">
        <f ca="1">SUM(B4:B14)</f>
        <v>143376.51896548641</v>
      </c>
      <c r="C15" s="462">
        <f t="shared" ref="C15:Q15" ca="1" si="1">SUM(C4:C14)</f>
        <v>20194.846042471043</v>
      </c>
      <c r="D15" s="462">
        <f t="shared" ca="1" si="1"/>
        <v>166917.66744944645</v>
      </c>
      <c r="E15" s="462">
        <f t="shared" si="1"/>
        <v>14097.672801129986</v>
      </c>
      <c r="F15" s="462">
        <f t="shared" ca="1" si="1"/>
        <v>83092.464124802209</v>
      </c>
      <c r="G15" s="462">
        <f t="shared" si="1"/>
        <v>174772.36087883179</v>
      </c>
      <c r="H15" s="462">
        <f t="shared" si="1"/>
        <v>40578.177033489825</v>
      </c>
      <c r="I15" s="462">
        <f t="shared" si="1"/>
        <v>0</v>
      </c>
      <c r="J15" s="462">
        <f t="shared" si="1"/>
        <v>218.90869610966743</v>
      </c>
      <c r="K15" s="462">
        <f t="shared" si="1"/>
        <v>0</v>
      </c>
      <c r="L15" s="462">
        <f t="shared" ca="1" si="1"/>
        <v>0</v>
      </c>
      <c r="M15" s="462">
        <f t="shared" si="1"/>
        <v>12753.415558434306</v>
      </c>
      <c r="N15" s="462">
        <f t="shared" ca="1" si="1"/>
        <v>31214.185143598901</v>
      </c>
      <c r="O15" s="462">
        <f t="shared" si="1"/>
        <v>908.52759491400775</v>
      </c>
      <c r="P15" s="462">
        <f t="shared" si="1"/>
        <v>1116.077053686892</v>
      </c>
      <c r="Q15" s="462">
        <f t="shared" ca="1" si="1"/>
        <v>689240.82134240144</v>
      </c>
    </row>
    <row r="17" spans="1:17">
      <c r="A17" s="464" t="s">
        <v>546</v>
      </c>
      <c r="B17" s="781">
        <f ca="1">huishoudens!B10</f>
        <v>0.15340838898784104</v>
      </c>
      <c r="C17" s="781">
        <f ca="1">huishoudens!C10</f>
        <v>1.0692320117344256E-2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7061.7751877296068</v>
      </c>
      <c r="C22" s="452">
        <f t="shared" ref="C22:C32" ca="1" si="3">C4*$C$17</f>
        <v>0</v>
      </c>
      <c r="D22" s="452">
        <f t="shared" ref="D22:D32" si="4">D4*$D$17</f>
        <v>17396.854564335397</v>
      </c>
      <c r="E22" s="452">
        <f t="shared" ref="E22:E32" si="5">E4*$E$17</f>
        <v>2448.0055500231638</v>
      </c>
      <c r="F22" s="452">
        <f t="shared" ref="F22:F32" si="6">F4*$F$17</f>
        <v>17647.885719448066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44554.521021536231</v>
      </c>
    </row>
    <row r="23" spans="1:17">
      <c r="A23" s="451" t="s">
        <v>155</v>
      </c>
      <c r="B23" s="452">
        <f t="shared" ca="1" si="2"/>
        <v>9875.6812028194545</v>
      </c>
      <c r="C23" s="452">
        <f t="shared" ca="1" si="3"/>
        <v>9.7639666476964593E-2</v>
      </c>
      <c r="D23" s="452">
        <f t="shared" ca="1" si="4"/>
        <v>9942.3523317459385</v>
      </c>
      <c r="E23" s="452">
        <f t="shared" si="5"/>
        <v>109.86300740400122</v>
      </c>
      <c r="F23" s="452">
        <f t="shared" ca="1" si="6"/>
        <v>1733.9649531200525</v>
      </c>
      <c r="G23" s="452">
        <f t="shared" si="7"/>
        <v>0</v>
      </c>
      <c r="H23" s="452">
        <f t="shared" si="8"/>
        <v>0</v>
      </c>
      <c r="I23" s="452">
        <f t="shared" si="9"/>
        <v>0</v>
      </c>
      <c r="J23" s="452">
        <f t="shared" si="10"/>
        <v>0.14164307235628845</v>
      </c>
      <c r="K23" s="452">
        <f t="shared" si="11"/>
        <v>0</v>
      </c>
      <c r="L23" s="452">
        <f t="shared" ca="1" si="12"/>
        <v>0</v>
      </c>
      <c r="M23" s="452">
        <f t="shared" si="13"/>
        <v>0</v>
      </c>
      <c r="N23" s="452">
        <f t="shared" ca="1" si="14"/>
        <v>0</v>
      </c>
      <c r="O23" s="452">
        <f t="shared" si="15"/>
        <v>0</v>
      </c>
      <c r="P23" s="453">
        <f t="shared" si="16"/>
        <v>0</v>
      </c>
      <c r="Q23" s="451">
        <f t="shared" ref="Q23:Q31" ca="1" si="17">SUM(B23:P23)</f>
        <v>21662.10077782828</v>
      </c>
    </row>
    <row r="24" spans="1:17">
      <c r="A24" s="451" t="s">
        <v>193</v>
      </c>
      <c r="B24" s="452">
        <f t="shared" ca="1" si="2"/>
        <v>259.22182529220441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259.22182529220441</v>
      </c>
    </row>
    <row r="25" spans="1:17">
      <c r="A25" s="451" t="s">
        <v>111</v>
      </c>
      <c r="B25" s="452">
        <f t="shared" ca="1" si="2"/>
        <v>54.253030173938974</v>
      </c>
      <c r="C25" s="452">
        <f t="shared" ca="1" si="3"/>
        <v>206.20903083449636</v>
      </c>
      <c r="D25" s="452">
        <f t="shared" si="4"/>
        <v>19.299594292000002</v>
      </c>
      <c r="E25" s="452">
        <f t="shared" si="5"/>
        <v>2.5054741574952235</v>
      </c>
      <c r="F25" s="452">
        <f t="shared" si="6"/>
        <v>333.70776337705564</v>
      </c>
      <c r="G25" s="452">
        <f t="shared" si="7"/>
        <v>0</v>
      </c>
      <c r="H25" s="452">
        <f t="shared" si="8"/>
        <v>0</v>
      </c>
      <c r="I25" s="452">
        <f t="shared" si="9"/>
        <v>0</v>
      </c>
      <c r="J25" s="452">
        <f t="shared" si="10"/>
        <v>34.491389279059618</v>
      </c>
      <c r="K25" s="452">
        <f t="shared" si="11"/>
        <v>0</v>
      </c>
      <c r="L25" s="452">
        <f t="shared" si="12"/>
        <v>0</v>
      </c>
      <c r="M25" s="452">
        <f t="shared" si="13"/>
        <v>0</v>
      </c>
      <c r="N25" s="452">
        <f t="shared" si="14"/>
        <v>0</v>
      </c>
      <c r="O25" s="452">
        <f t="shared" si="15"/>
        <v>0</v>
      </c>
      <c r="P25" s="453">
        <f t="shared" si="16"/>
        <v>0</v>
      </c>
      <c r="Q25" s="451">
        <f t="shared" ca="1" si="17"/>
        <v>650.46628211404573</v>
      </c>
    </row>
    <row r="26" spans="1:17">
      <c r="A26" s="451" t="s">
        <v>625</v>
      </c>
      <c r="B26" s="452">
        <f t="shared" ca="1" si="2"/>
        <v>3995.0370910069691</v>
      </c>
      <c r="C26" s="452">
        <f t="shared" ca="1" si="3"/>
        <v>9.623088105609833</v>
      </c>
      <c r="D26" s="452">
        <f t="shared" si="4"/>
        <v>5276.7888181086601</v>
      </c>
      <c r="E26" s="452">
        <f t="shared" si="5"/>
        <v>553.67088736873188</v>
      </c>
      <c r="F26" s="452">
        <f t="shared" si="6"/>
        <v>2470.1294853770191</v>
      </c>
      <c r="G26" s="452">
        <f t="shared" si="7"/>
        <v>0</v>
      </c>
      <c r="H26" s="452">
        <f t="shared" si="8"/>
        <v>0</v>
      </c>
      <c r="I26" s="452">
        <f t="shared" si="9"/>
        <v>0</v>
      </c>
      <c r="J26" s="452">
        <f t="shared" si="10"/>
        <v>42.860646071406357</v>
      </c>
      <c r="K26" s="452">
        <f t="shared" si="11"/>
        <v>0</v>
      </c>
      <c r="L26" s="452">
        <f t="shared" si="12"/>
        <v>0</v>
      </c>
      <c r="M26" s="452">
        <f t="shared" si="13"/>
        <v>0</v>
      </c>
      <c r="N26" s="452">
        <f t="shared" si="14"/>
        <v>0</v>
      </c>
      <c r="O26" s="452">
        <f t="shared" si="15"/>
        <v>0</v>
      </c>
      <c r="P26" s="453">
        <f t="shared" si="16"/>
        <v>0</v>
      </c>
      <c r="Q26" s="451">
        <f t="shared" ca="1" si="17"/>
        <v>12348.110016038398</v>
      </c>
    </row>
    <row r="27" spans="1:17" s="457" customFormat="1">
      <c r="A27" s="455" t="s">
        <v>551</v>
      </c>
      <c r="B27" s="775">
        <f t="shared" ca="1" si="2"/>
        <v>17.976578261998839</v>
      </c>
      <c r="C27" s="456">
        <f t="shared" ca="1" si="3"/>
        <v>0</v>
      </c>
      <c r="D27" s="456">
        <f t="shared" si="4"/>
        <v>87.299814534186609</v>
      </c>
      <c r="E27" s="456">
        <f t="shared" si="5"/>
        <v>86.126806903115124</v>
      </c>
      <c r="F27" s="456">
        <f t="shared" si="6"/>
        <v>0</v>
      </c>
      <c r="G27" s="456">
        <f t="shared" si="7"/>
        <v>45700.676272404045</v>
      </c>
      <c r="H27" s="456">
        <f t="shared" si="8"/>
        <v>10103.966081338966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55996.045553442309</v>
      </c>
    </row>
    <row r="28" spans="1:17" ht="16.5" customHeight="1">
      <c r="A28" s="451" t="s">
        <v>541</v>
      </c>
      <c r="B28" s="452">
        <f t="shared" ca="1" si="2"/>
        <v>0</v>
      </c>
      <c r="C28" s="452">
        <f t="shared" ca="1" si="3"/>
        <v>0</v>
      </c>
      <c r="D28" s="452">
        <f t="shared" si="4"/>
        <v>0</v>
      </c>
      <c r="E28" s="452">
        <f t="shared" si="5"/>
        <v>0</v>
      </c>
      <c r="F28" s="452">
        <f t="shared" si="6"/>
        <v>0</v>
      </c>
      <c r="G28" s="452">
        <f t="shared" si="7"/>
        <v>963.54408224404904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963.54408224404904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731.21587789573812</v>
      </c>
      <c r="C32" s="452">
        <f t="shared" ca="1" si="3"/>
        <v>0</v>
      </c>
      <c r="D32" s="452">
        <f t="shared" si="4"/>
        <v>994.77370177200021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1725.9895796677383</v>
      </c>
    </row>
    <row r="33" spans="1:17" s="463" customFormat="1">
      <c r="A33" s="461" t="s">
        <v>545</v>
      </c>
      <c r="B33" s="462">
        <f ca="1">SUM(B22:B32)</f>
        <v>21995.160793179908</v>
      </c>
      <c r="C33" s="462">
        <f t="shared" ref="C33:Q33" ca="1" si="19">SUM(C22:C32)</f>
        <v>215.92975860658316</v>
      </c>
      <c r="D33" s="462">
        <f t="shared" ca="1" si="19"/>
        <v>33717.36882478818</v>
      </c>
      <c r="E33" s="462">
        <f t="shared" si="19"/>
        <v>3200.1717258565072</v>
      </c>
      <c r="F33" s="462">
        <f t="shared" ca="1" si="19"/>
        <v>22185.687921322195</v>
      </c>
      <c r="G33" s="462">
        <f t="shared" si="19"/>
        <v>46664.220354648096</v>
      </c>
      <c r="H33" s="462">
        <f t="shared" si="19"/>
        <v>10103.966081338966</v>
      </c>
      <c r="I33" s="462">
        <f t="shared" si="19"/>
        <v>0</v>
      </c>
      <c r="J33" s="462">
        <f t="shared" si="19"/>
        <v>77.493678422822256</v>
      </c>
      <c r="K33" s="462">
        <f t="shared" si="19"/>
        <v>0</v>
      </c>
      <c r="L33" s="462">
        <f t="shared" ca="1" si="19"/>
        <v>0</v>
      </c>
      <c r="M33" s="462">
        <f t="shared" si="19"/>
        <v>0</v>
      </c>
      <c r="N33" s="462">
        <f t="shared" ca="1" si="19"/>
        <v>0</v>
      </c>
      <c r="O33" s="462">
        <f t="shared" si="19"/>
        <v>0</v>
      </c>
      <c r="P33" s="462">
        <f t="shared" si="19"/>
        <v>0</v>
      </c>
      <c r="Q33" s="462">
        <f t="shared" ca="1" si="19"/>
        <v>138159.99913816326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16065.969094983771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13500.329090055244</v>
      </c>
      <c r="C8" s="1029">
        <f>'SEAP template'!C76</f>
        <v>636.04590994475757</v>
      </c>
      <c r="D8" s="1029">
        <f>'SEAP template'!D76</f>
        <v>748.27052870704154</v>
      </c>
      <c r="E8" s="1029">
        <f>'SEAP template'!E76</f>
        <v>0</v>
      </c>
      <c r="F8" s="1029">
        <f>'SEAP template'!F76</f>
        <v>0</v>
      </c>
      <c r="G8" s="1029">
        <f>'SEAP template'!G76</f>
        <v>0</v>
      </c>
      <c r="H8" s="1029">
        <f>'SEAP template'!H76</f>
        <v>0</v>
      </c>
      <c r="I8" s="1029">
        <f>'SEAP template'!I76</f>
        <v>0</v>
      </c>
      <c r="J8" s="1029">
        <f>'SEAP template'!J76</f>
        <v>15882.34155426307</v>
      </c>
      <c r="K8" s="1029">
        <f>'SEAP template'!K76</f>
        <v>0</v>
      </c>
      <c r="L8" s="1029">
        <f>'SEAP template'!L76</f>
        <v>0</v>
      </c>
      <c r="M8" s="1029">
        <f>'SEAP template'!M76</f>
        <v>0</v>
      </c>
      <c r="N8" s="1029">
        <f>'SEAP template'!N76</f>
        <v>0</v>
      </c>
      <c r="O8" s="1029">
        <f>'SEAP template'!O76</f>
        <v>0</v>
      </c>
      <c r="P8" s="1030">
        <f>'SEAP template'!Q76</f>
        <v>151.15064679882241</v>
      </c>
    </row>
    <row r="9" spans="1:16">
      <c r="A9" s="1035" t="s">
        <v>785</v>
      </c>
      <c r="B9" s="1029">
        <f>'SEAP template'!B77</f>
        <v>14332.5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40950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43898.798185039013</v>
      </c>
      <c r="C10" s="1031">
        <f>SUM(C4:C9)</f>
        <v>636.04590994475757</v>
      </c>
      <c r="D10" s="1031">
        <f t="shared" ref="D10:H10" si="0">SUM(D8:D9)</f>
        <v>748.27052870704154</v>
      </c>
      <c r="E10" s="1031">
        <f t="shared" si="0"/>
        <v>0</v>
      </c>
      <c r="F10" s="1031">
        <f t="shared" si="0"/>
        <v>0</v>
      </c>
      <c r="G10" s="1031">
        <f t="shared" si="0"/>
        <v>0</v>
      </c>
      <c r="H10" s="1031">
        <f t="shared" si="0"/>
        <v>0</v>
      </c>
      <c r="I10" s="1031">
        <f>SUM(I8:I9)</f>
        <v>0</v>
      </c>
      <c r="J10" s="1031">
        <f>SUM(J8:J9)</f>
        <v>56832.341554263068</v>
      </c>
      <c r="K10" s="1031">
        <f t="shared" ref="K10:L10" si="1">SUM(K8:K9)</f>
        <v>0</v>
      </c>
      <c r="L10" s="1031">
        <f t="shared" si="1"/>
        <v>0</v>
      </c>
      <c r="M10" s="1031">
        <f>SUM(M8:M9)</f>
        <v>0</v>
      </c>
      <c r="N10" s="1031">
        <f>SUM(N8:N9)</f>
        <v>0</v>
      </c>
      <c r="O10" s="1031">
        <f>SUM(O8:O9)</f>
        <v>0</v>
      </c>
      <c r="P10" s="1031">
        <f>SUM(P8:P9)</f>
        <v>151.15064679882241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0.15340838898784104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19286.207920797151</v>
      </c>
      <c r="C17" s="1032">
        <f>'SEAP template'!C87</f>
        <v>908.63812167389312</v>
      </c>
      <c r="D17" s="1030">
        <f>'SEAP template'!D87</f>
        <v>1068.9592010226888</v>
      </c>
      <c r="E17" s="1030">
        <f>'SEAP template'!E87</f>
        <v>0</v>
      </c>
      <c r="F17" s="1030">
        <f>'SEAP template'!F87</f>
        <v>0</v>
      </c>
      <c r="G17" s="1030">
        <f>'SEAP template'!G87</f>
        <v>0</v>
      </c>
      <c r="H17" s="1030">
        <f>'SEAP template'!H87</f>
        <v>0</v>
      </c>
      <c r="I17" s="1030">
        <f>'SEAP template'!I87</f>
        <v>0</v>
      </c>
      <c r="J17" s="1030">
        <f>'SEAP template'!J87</f>
        <v>22689.087017165501</v>
      </c>
      <c r="K17" s="1030">
        <f>'SEAP template'!K87</f>
        <v>0</v>
      </c>
      <c r="L17" s="1030">
        <f>'SEAP template'!L87</f>
        <v>0</v>
      </c>
      <c r="M17" s="1030">
        <f>'SEAP template'!M87</f>
        <v>0</v>
      </c>
      <c r="N17" s="1030">
        <f>'SEAP template'!N87</f>
        <v>0</v>
      </c>
      <c r="O17" s="1030">
        <f>'SEAP template'!O87</f>
        <v>0</v>
      </c>
      <c r="P17" s="1030">
        <f>'SEAP template'!Q87</f>
        <v>215.92975860658316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19286.207920797151</v>
      </c>
      <c r="C20" s="1031">
        <f>SUM(C17:C19)</f>
        <v>908.63812167389312</v>
      </c>
      <c r="D20" s="1031">
        <f t="shared" ref="D20:H20" si="2">SUM(D17:D19)</f>
        <v>1068.9592010226888</v>
      </c>
      <c r="E20" s="1031">
        <f t="shared" si="2"/>
        <v>0</v>
      </c>
      <c r="F20" s="1031">
        <f t="shared" si="2"/>
        <v>0</v>
      </c>
      <c r="G20" s="1031">
        <f t="shared" si="2"/>
        <v>0</v>
      </c>
      <c r="H20" s="1031">
        <f t="shared" si="2"/>
        <v>0</v>
      </c>
      <c r="I20" s="1031">
        <f>SUM(I17:I19)</f>
        <v>0</v>
      </c>
      <c r="J20" s="1031">
        <f>SUM(J17:J19)</f>
        <v>22689.087017165501</v>
      </c>
      <c r="K20" s="1031">
        <f t="shared" ref="K20:L20" si="3">SUM(K17:K19)</f>
        <v>0</v>
      </c>
      <c r="L20" s="1031">
        <f t="shared" si="3"/>
        <v>0</v>
      </c>
      <c r="M20" s="1031">
        <f>SUM(M17:M19)</f>
        <v>0</v>
      </c>
      <c r="N20" s="1031">
        <f>SUM(N17:N19)</f>
        <v>0</v>
      </c>
      <c r="O20" s="1031">
        <f>SUM(O17:O19)</f>
        <v>0</v>
      </c>
      <c r="P20" s="1031">
        <f>SUM(P17:P19)</f>
        <v>215.92975860658316</v>
      </c>
    </row>
    <row r="21" spans="1:16">
      <c r="B21" s="887"/>
    </row>
    <row r="22" spans="1:16">
      <c r="A22" s="464" t="s">
        <v>797</v>
      </c>
      <c r="B22" s="781" t="s">
        <v>795</v>
      </c>
      <c r="C22" s="781">
        <f ca="1">'EF ele_warmte'!B22</f>
        <v>1.0692320117344256E-2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0.15340838898784104</v>
      </c>
      <c r="C17" s="501">
        <f ca="1">'EF ele_warmte'!B22</f>
        <v>1.0692320117344256E-2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2020-06-20T15:37:51Z</dcterms:modified>
</cp:coreProperties>
</file>