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5"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4" i="18" l="1"/>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M77" i="14" s="1"/>
  <c r="M9" i="59" s="1"/>
  <c r="V41" i="18"/>
  <c r="U41" i="18"/>
  <c r="T41" i="18"/>
  <c r="S41" i="18"/>
  <c r="E9" i="18" s="1"/>
  <c r="F77" i="14" s="1"/>
  <c r="F9" i="59" s="1"/>
  <c r="R41" i="18"/>
  <c r="Q41" i="18"/>
  <c r="P41" i="18"/>
  <c r="O41" i="18"/>
  <c r="N41" i="18"/>
  <c r="B9" i="18" s="1"/>
  <c r="M41" i="18"/>
  <c r="W37" i="18"/>
  <c r="V37" i="18"/>
  <c r="U37" i="18"/>
  <c r="T37" i="18"/>
  <c r="S37" i="18"/>
  <c r="R37" i="18"/>
  <c r="Q37" i="18"/>
  <c r="P37" i="18"/>
  <c r="O37" i="18"/>
  <c r="N37" i="18"/>
  <c r="M37" i="18"/>
  <c r="W36" i="18"/>
  <c r="V36" i="18"/>
  <c r="U36" i="18"/>
  <c r="T36" i="18"/>
  <c r="S36" i="18"/>
  <c r="R36" i="18"/>
  <c r="Q36" i="18"/>
  <c r="P36" i="18"/>
  <c r="O36" i="18"/>
  <c r="C13" i="15" s="1"/>
  <c r="N36" i="18"/>
  <c r="M36" i="18"/>
  <c r="W35" i="18"/>
  <c r="V35" i="18"/>
  <c r="U35" i="18"/>
  <c r="T35" i="18"/>
  <c r="S35" i="18"/>
  <c r="F16" i="16" s="1"/>
  <c r="R35" i="18"/>
  <c r="Q35" i="18"/>
  <c r="P35" i="18"/>
  <c r="O35" i="18"/>
  <c r="N35" i="18"/>
  <c r="W34" i="18"/>
  <c r="V34" i="18"/>
  <c r="U34" i="18"/>
  <c r="T34" i="18"/>
  <c r="S34" i="18"/>
  <c r="R34" i="18"/>
  <c r="Q34" i="18"/>
  <c r="P34" i="18"/>
  <c r="O34" i="18"/>
  <c r="B17" i="18" s="1"/>
  <c r="N34" i="18"/>
  <c r="B8" i="18" s="1"/>
  <c r="M3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0" i="18"/>
  <c r="B54" i="18" s="1"/>
  <c r="B16" i="16"/>
  <c r="K9" i="14"/>
  <c r="H77" i="14"/>
  <c r="J11" i="48"/>
  <c r="J29" i="48" s="1"/>
  <c r="M9" i="14"/>
  <c r="L11" i="48"/>
  <c r="O19" i="14"/>
  <c r="O22" i="14" s="1"/>
  <c r="N10" i="48"/>
  <c r="N28" i="48" s="1"/>
  <c r="J19" i="14"/>
  <c r="J22" i="14" s="1"/>
  <c r="J27" i="14" s="1"/>
  <c r="I10" i="48"/>
  <c r="I28" i="48" s="1"/>
  <c r="J19" i="19"/>
  <c r="K39" i="14" s="1"/>
  <c r="N19" i="19"/>
  <c r="O39" i="14" s="1"/>
  <c r="C50" i="18"/>
  <c r="I5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3" i="18"/>
  <c r="E8" i="18" s="1"/>
  <c r="F76" i="14" s="1"/>
  <c r="F7" i="48"/>
  <c r="F25" i="48" s="1"/>
  <c r="D53" i="18"/>
  <c r="O9" i="18"/>
  <c r="M29" i="48"/>
  <c r="F12" i="17"/>
  <c r="G54" i="14" s="1"/>
  <c r="G56" i="14" s="1"/>
  <c r="C54" i="18"/>
  <c r="C53" i="18"/>
  <c r="B10" i="18"/>
  <c r="E54" i="18"/>
  <c r="E17" i="18" s="1"/>
  <c r="F87" i="14" s="1"/>
  <c r="G54" i="18"/>
  <c r="D7" i="48"/>
  <c r="D25" i="48" s="1"/>
  <c r="H53" i="18"/>
  <c r="G53" i="18"/>
  <c r="D54" i="18"/>
  <c r="L28" i="48"/>
  <c r="H54" i="18"/>
  <c r="I54" i="18"/>
  <c r="H17" i="18" s="1"/>
  <c r="F54" i="18"/>
  <c r="F53" i="18"/>
  <c r="H10" i="18"/>
  <c r="M78" i="14"/>
  <c r="B5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5" i="48" l="1"/>
  <c r="J23" i="48"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17" i="19"/>
  <c r="C19" i="19" s="1"/>
  <c r="D39" i="14" s="1"/>
  <c r="C20" i="16"/>
  <c r="C22" i="16" s="1"/>
  <c r="D43" i="14" s="1"/>
  <c r="C18" i="15"/>
  <c r="C20" i="15" s="1"/>
  <c r="D40"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<sst xmlns="http://schemas.openxmlformats.org/spreadsheetml/2006/main" count="2454" uniqueCount="910">
  <si>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</si>
  <si>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</si>
  <si>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</si>
  <si>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</si>
  <si>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</si>
  <si>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</si>
  <si>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</si>
  <si>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</si>
  <si>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</si>
  <si>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</si>
  <si>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</si>
  <si>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</si>
  <si>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</si>
  <si>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</si>
  <si>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</si>
  <si>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</si>
  <si>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</si>
  <si>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</si>
  <si>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</si>
  <si>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</si>
  <si>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</si>
  <si>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</si>
  <si>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</si>
  <si>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</si>
  <si>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</si>
  <si>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</si>
  <si>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</si>
  <si>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</si>
  <si>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</si>
  <si>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</si>
  <si>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</si>
  <si>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</si>
  <si>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</si>
  <si>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</si>
  <si>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</si>
  <si>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</si>
  <si>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</si>
  <si>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</si>
  <si>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</si>
  <si>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</si>
  <si>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</si>
  <si>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</si>
  <si>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</si>
  <si>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</si>
  <si>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</si>
  <si>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</si>
  <si>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</si>
  <si>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</si>
  <si>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</si>
  <si>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</si>
  <si>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</si>
  <si>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</si>
  <si>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</si>
  <si>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</si>
  <si>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</si>
  <si>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</si>
  <si>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</si>
  <si>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</si>
  <si>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</si>
  <si>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</si>
  <si>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</si>
  <si>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</si>
  <si>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</si>
  <si>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</si>
  <si>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</si>
  <si>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</si>
  <si>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</si>
  <si>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</si>
  <si>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</si>
  <si>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</si>
  <si>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</si>
  <si>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</si>
  <si>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</si>
  <si>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</si>
  <si>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</si>
  <si>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</si>
  <si>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</si>
  <si>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</si>
  <si>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</si>
  <si>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</si>
  <si>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</si>
  <si>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</si>
  <si>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</si>
  <si>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</si>
  <si>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</si>
  <si>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</si>
  <si>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</si>
  <si>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</si>
  <si>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</si>
  <si>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</si>
  <si>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</si>
  <si>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</si>
  <si>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</si>
  <si>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</si>
  <si>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</si>
  <si>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</si>
  <si>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</si>
  <si>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</si>
  <si>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</si>
  <si>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</si>
  <si>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</si>
  <si>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</si>
  <si>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</si>
  <si>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</si>
  <si>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</si>
  <si>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</si>
  <si>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</si>
  <si>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</si>
  <si>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</si>
  <si>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</si>
  <si>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</si>
  <si>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</si>
  <si>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</si>
  <si>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</si>
  <si>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</si>
  <si>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</si>
  <si>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</si>
  <si>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</si>
  <si>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</si>
  <si>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</si>
  <si>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</si>
  <si>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</si>
  <si>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</si>
  <si>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</si>
  <si>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</si>
  <si>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</si>
  <si>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</si>
  <si>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</si>
  <si>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</si>
  <si>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</si>
  <si>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</si>
  <si>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</si>
  <si>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</si>
  <si>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</si>
  <si>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</si>
  <si>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</si>
  <si>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</si>
  <si>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</si>
  <si>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</si>
  <si>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</si>
  <si>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</si>
  <si>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</si>
  <si>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</si>
  <si>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</si>
  <si>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</si>
  <si>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</si>
  <si>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</si>
  <si>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</si>
  <si>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</si>
  <si>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</si>
  <si>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</si>
  <si>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</si>
  <si>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</si>
  <si>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</si>
  <si>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</si>
  <si>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</si>
  <si>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</si>
  <si>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</si>
  <si>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</si>
  <si>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</si>
  <si>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</si>
  <si>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</si>
  <si>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</si>
  <si>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</si>
  <si>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</si>
  <si>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</si>
  <si>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</si>
  <si>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</si>
  <si>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</si>
  <si>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</si>
  <si>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</si>
  <si>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</si>
  <si>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</si>
  <si>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</si>
  <si>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</si>
  <si>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</si>
  <si>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</si>
  <si>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</si>
  <si>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</si>
  <si>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</si>
  <si>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</si>
  <si>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</si>
  <si>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</si>
  <si>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</si>
  <si>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</si>
  <si>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</si>
  <si>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</si>
  <si>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</si>
  <si>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</si>
  <si>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</si>
  <si>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</si>
  <si>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</si>
  <si>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</si>
  <si>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</si>
  <si>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</si>
  <si>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</si>
  <si>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</si>
  <si>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</si>
  <si>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</si>
  <si>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</si>
  <si>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</si>
  <si>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</si>
  <si>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</si>
  <si>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</si>
  <si>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</si>
  <si>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</si>
  <si>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</si>
  <si>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</si>
  <si>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</si>
  <si>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</si>
  <si>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</si>
  <si>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</si>
  <si>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</si>
  <si>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</si>
  <si>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</si>
  <si>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</si>
  <si>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</si>
  <si>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</si>
  <si>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</si>
  <si>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</si>
  <si>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</si>
  <si>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</si>
  <si>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</si>
  <si>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</si>
  <si>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</si>
  <si>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</si>
  <si>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</si>
  <si>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</si>
  <si>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</si>
  <si>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</si>
  <si>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</si>
  <si>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</si>
  <si>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</si>
  <si>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</si>
  <si>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</si>
  <si>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</si>
  <si>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</si>
  <si>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</si>
  <si>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</si>
  <si>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</si>
  <si>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</si>
  <si>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</si>
  <si>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</si>
  <si>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</si>
  <si>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</si>
  <si>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</si>
  <si>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</si>
  <si>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</si>
  <si>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</si>
  <si>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</si>
  <si>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</si>
  <si>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</si>
  <si>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</si>
  <si>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</si>
  <si>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</si>
  <si>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</si>
  <si>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</si>
  <si>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</si>
  <si>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</si>
  <si>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</si>
  <si>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</si>
  <si>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</si>
  <si>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</si>
  <si>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</si>
  <si>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</si>
  <si>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</si>
  <si>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</si>
  <si>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</si>
  <si>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</si>
  <si>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</si>
  <si>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</si>
  <si>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</si>
  <si>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</si>
  <si>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</si>
  <si>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</si>
  <si>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</si>
  <si>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</si>
  <si>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</si>
  <si>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</si>
  <si>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</si>
  <si>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</si>
  <si>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</si>
  <si>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</si>
  <si>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</si>
  <si>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</si>
  <si>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</si>
  <si>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</si>
  <si>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</si>
  <si>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</si>
  <si>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</si>
  <si>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</si>
  <si>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</si>
  <si>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</si>
  <si>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</si>
  <si>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</si>
  <si>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</si>
  <si>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</si>
  <si>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</si>
  <si>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</si>
  <si>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</si>
  <si>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</si>
  <si>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</si>
  <si>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</si>
  <si>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</si>
  <si>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</si>
  <si>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</si>
  <si>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</si>
  <si>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</si>
  <si>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</si>
  <si>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</si>
  <si>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</si>
  <si>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</si>
  <si>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</si>
  <si>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</si>
  <si>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</si>
  <si>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</si>
  <si>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</si>
  <si>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</si>
  <si>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</si>
  <si>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</si>
  <si>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</si>
  <si>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</si>
  <si>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</si>
  <si>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</si>
  <si>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</si>
  <si>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</si>
  <si>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</si>
  <si>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</si>
  <si>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</si>
  <si>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</si>
  <si>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</si>
  <si>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</si>
  <si>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</si>
  <si>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</si>
  <si>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</si>
  <si>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</si>
  <si>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</si>
  <si>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</si>
  <si>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</si>
  <si>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</si>
  <si>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</si>
  <si>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</si>
  <si>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</si>
  <si>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</si>
  <si>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</si>
  <si>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</si>
  <si>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</si>
  <si>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</si>
  <si>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</si>
  <si>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</si>
  <si>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</si>
  <si>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</si>
  <si>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</si>
  <si>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</si>
  <si>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</si>
  <si>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</si>
  <si>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</si>
  <si>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</si>
  <si>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</si>
  <si>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</si>
  <si>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</si>
  <si>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</si>
  <si>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</si>
  <si>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</si>
  <si>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</si>
  <si>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</si>
  <si>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</si>
  <si>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</si>
  <si>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</si>
  <si>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</si>
  <si>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</si>
  <si>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</si>
  <si>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</si>
  <si>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</si>
  <si>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</si>
  <si>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</si>
  <si>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</si>
  <si>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</si>
  <si>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</si>
  <si>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</si>
  <si>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</si>
  <si>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</si>
  <si>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</si>
  <si>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</si>
  <si>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</si>
  <si>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</si>
  <si>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</si>
  <si>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</si>
  <si>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</si>
  <si>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</si>
  <si>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</si>
  <si>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</si>
  <si>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</si>
  <si>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</si>
  <si>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</si>
  <si>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</si>
  <si>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</si>
  <si>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</si>
  <si>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</si>
  <si>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</si>
  <si>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</si>
  <si>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</si>
  <si>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</si>
  <si>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</si>
  <si>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</si>
  <si>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</si>
  <si>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</si>
  <si>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</si>
  <si>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</si>
  <si>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</si>
  <si>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</si>
  <si>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</si>
  <si>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</si>
  <si>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</si>
  <si>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</si>
  <si>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</si>
  <si>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</si>
  <si>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</si>
  <si>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</si>
  <si>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</si>
  <si>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</si>
  <si>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</si>
  <si>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</si>
  <si>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</si>
  <si>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</si>
  <si>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</si>
  <si>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</si>
  <si>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</si>
  <si>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</si>
  <si>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</si>
  <si>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</si>
  <si>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</si>
  <si>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</si>
  <si>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</si>
  <si>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</si>
  <si>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</si>
  <si>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</si>
  <si>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</si>
  <si>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</si>
  <si>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</si>
  <si>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</si>
  <si>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</si>
  <si>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</si>
  <si>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</si>
  <si>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</si>
  <si>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</si>
  <si>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</si>
  <si>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</si>
  <si>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</si>
  <si>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</si>
  <si>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</si>
  <si>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</si>
  <si>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</si>
  <si>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</si>
  <si>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</si>
  <si>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</si>
  <si>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</si>
  <si>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</si>
  <si>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</si>
  <si>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</si>
  <si>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</si>
  <si>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</si>
  <si>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</si>
  <si>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</si>
  <si>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</si>
  <si>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</si>
  <si>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</si>
  <si>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</si>
  <si>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</si>
  <si>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</si>
  <si>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</si>
  <si>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</si>
  <si>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</si>
  <si>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</si>
  <si>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</si>
  <si>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</si>
  <si>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</si>
  <si>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</si>
  <si>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</si>
  <si>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</si>
  <si>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</si>
  <si>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</si>
  <si>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</si>
  <si>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</si>
  <si>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</si>
  <si>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</si>
  <si>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</si>
  <si>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</si>
  <si>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</si>
  <si>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</si>
  <si>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</si>
  <si>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</si>
  <si>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</si>
  <si>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</si>
  <si>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</si>
  <si>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</si>
  <si>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</si>
  <si>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</si>
  <si>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</si>
  <si>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</si>
  <si>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</si>
  <si>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</si>
  <si>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</si>
  <si>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</si>
  <si>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</si>
  <si>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</si>
  <si>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</si>
  <si>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</si>
  <si>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</si>
  <si>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</si>
  <si>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</si>
  <si>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</si>
  <si>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</si>
  <si>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</si>
  <si>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</si>
  <si>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</si>
  <si>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</si>
  <si>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</si>
  <si>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</si>
  <si>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</si>
  <si>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</si>
  <si>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</si>
  <si>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</si>
  <si>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</si>
  <si>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</si>
  <si>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</si>
  <si>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</si>
  <si>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</si>
  <si>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</si>
  <si>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</si>
  <si>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</si>
  <si>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</si>
  <si>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</si>
  <si>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</si>
  <si>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</si>
  <si>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</si>
  <si>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</si>
  <si>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</si>
  <si>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</si>
  <si>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</si>
  <si>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</si>
  <si>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</si>
  <si>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</si>
  <si>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</si>
  <si>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</si>
  <si>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</si>
  <si>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</si>
  <si>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</si>
  <si>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</si>
  <si>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</si>
  <si>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</si>
  <si>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</si>
  <si>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</si>
  <si>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</si>
  <si>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</si>
  <si>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</si>
  <si>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</si>
  <si>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</si>
  <si>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</si>
  <si>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</si>
  <si>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</si>
  <si>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</si>
  <si>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</si>
  <si>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</si>
  <si>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</si>
  <si>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</si>
  <si>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</si>
  <si>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</si>
  <si>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</si>
  <si>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</si>
  <si>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</si>
  <si>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</si>
  <si>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</si>
  <si>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</si>
  <si>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</si>
  <si>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</si>
  <si>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</si>
  <si>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</si>
  <si>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</si>
  <si>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</si>
  <si>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</si>
  <si>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</si>
  <si>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</si>
  <si>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</si>
  <si>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</si>
  <si>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</si>
  <si>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</si>
  <si>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</si>
  <si>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</si>
  <si>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</si>
  <si>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</si>
  <si>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</si>
  <si>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</si>
  <si>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</si>
  <si>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</si>
  <si>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</si>
  <si>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</si>
  <si>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</si>
  <si>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</si>
  <si>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</si>
  <si>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</si>
  <si>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</si>
  <si>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</si>
  <si>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</si>
  <si>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</si>
  <si>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</si>
  <si>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</si>
  <si>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</si>
  <si>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</si>
  <si>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</si>
  <si>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</si>
  <si>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</si>
  <si>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</si>
  <si>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</si>
  <si>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</si>
  <si>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</si>
  <si>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</si>
  <si>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</si>
  <si>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</si>
  <si>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</si>
  <si>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</si>
  <si>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</si>
  <si>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</si>
  <si>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</si>
  <si>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</si>
  <si>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</si>
  <si>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</si>
  <si>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</si>
  <si>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</si>
  <si>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</si>
  <si>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</si>
  <si>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</si>
  <si>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</si>
  <si>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</si>
  <si>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</si>
  <si>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</si>
  <si>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</si>
  <si>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</si>
  <si>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</si>
  <si>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</si>
  <si>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</si>
  <si>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</si>
  <si>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</si>
  <si>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</si>
  <si>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</si>
  <si>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</si>
  <si>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</si>
  <si>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</si>
  <si>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</si>
  <si>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</si>
  <si>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</si>
  <si>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</si>
  <si>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</si>
  <si>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</si>
  <si>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</si>
  <si>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</si>
  <si>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</si>
  <si>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</si>
  <si>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</si>
  <si>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</si>
  <si>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</si>
  <si>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</si>
  <si>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</si>
  <si>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</si>
  <si>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</si>
  <si>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</si>
  <si>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</si>
  <si>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</si>
  <si>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</si>
  <si>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</si>
  <si>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</si>
  <si>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</si>
  <si>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</si>
  <si>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</si>
  <si>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</si>
  <si>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</si>
  <si>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</si>
  <si>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</si>
  <si>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</si>
  <si>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</si>
  <si>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</si>
  <si>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</si>
  <si>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</si>
  <si>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</si>
  <si>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</si>
  <si>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</si>
  <si>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</si>
  <si>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</si>
  <si>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</si>
  <si>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</si>
  <si>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</si>
  <si>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</si>
  <si>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</si>
  <si>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</si>
  <si>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</si>
  <si>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</si>
  <si>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</si>
  <si>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</si>
  <si>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</si>
  <si>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</si>
  <si>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</si>
  <si>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</si>
  <si>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</si>
  <si>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</si>
  <si>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</si>
  <si>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</si>
  <si>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</si>
  <si>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</si>
  <si>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</si>
  <si>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</si>
  <si>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</si>
  <si>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</si>
  <si>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</si>
  <si>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</si>
  <si>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</si>
  <si>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</si>
  <si>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</si>
  <si>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</si>
  <si>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</si>
  <si>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</si>
  <si>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</si>
  <si>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</si>
  <si>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</si>
  <si>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</si>
  <si>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</si>
  <si>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</si>
  <si>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</si>
  <si>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</si>
  <si>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</si>
  <si>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</si>
  <si>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</si>
  <si>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</si>
  <si>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</si>
  <si>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</si>
  <si>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</si>
  <si>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</si>
  <si>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</si>
  <si>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</si>
  <si>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</si>
  <si>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</si>
  <si>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</si>
  <si>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</si>
  <si>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</si>
  <si>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</si>
  <si>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</si>
  <si>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</si>
  <si>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</si>
  <si>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</si>
  <si>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</si>
  <si>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</si>
  <si>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</si>
  <si>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</si>
  <si>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</si>
  <si>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</si>
  <si>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</si>
  <si>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</si>
  <si>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</si>
  <si>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</si>
  <si>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</si>
  <si>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</si>
  <si>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</si>
  <si>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</si>
  <si>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</si>
  <si>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</si>
  <si>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</si>
  <si>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</si>
  <si>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</si>
  <si>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</si>
  <si>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</si>
  <si>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</si>
  <si>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</si>
  <si>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</si>
  <si>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</si>
  <si>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</si>
  <si>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</si>
  <si>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</si>
  <si>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</si>
  <si>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</si>
  <si>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</si>
  <si>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</si>
  <si>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</si>
  <si>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</si>
  <si>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</si>
  <si>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</si>
  <si>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</si>
  <si>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</si>
  <si>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</si>
  <si>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</si>
  <si>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</si>
  <si>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</si>
  <si>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</si>
  <si>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</si>
  <si>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</si>
  <si>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</si>
  <si>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</si>
  <si>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</si>
  <si>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</si>
  <si>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</si>
  <si>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</si>
  <si>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</si>
  <si>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</si>
  <si>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</si>
  <si>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</si>
  <si>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</si>
  <si>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</si>
  <si>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</si>
  <si>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</si>
  <si>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</si>
  <si>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</si>
  <si>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</si>
  <si>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</si>
  <si>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</si>
  <si>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</si>
  <si>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</si>
  <si>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</si>
  <si>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</si>
  <si>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</si>
  <si>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</si>
  <si>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</si>
  <si>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</si>
  <si>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</si>
  <si>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</si>
  <si>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</si>
  <si>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</si>
  <si>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</si>
  <si>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</si>
  <si>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</si>
  <si>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</si>
  <si>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</si>
  <si>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</si>
  <si>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</si>
  <si>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</si>
  <si>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</si>
  <si>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</si>
  <si>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</si>
  <si>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</si>
  <si>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</si>
  <si>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</si>
  <si>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</si>
  <si>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</si>
  <si>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</si>
  <si>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</si>
  <si>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</si>
  <si>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</si>
  <si>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</si>
  <si>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</si>
  <si>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</si>
  <si>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</si>
  <si>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</si>
  <si>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</si>
  <si>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</si>
  <si>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</si>
  <si>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</si>
  <si>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</si>
  <si>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</si>
  <si>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</si>
  <si>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</si>
  <si>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</si>
  <si>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</si>
  <si>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</si>
  <si>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</si>
  <si>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</si>
  <si>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</si>
  <si>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</si>
  <si>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</si>
  <si>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</si>
  <si>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</si>
  <si>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</si>
  <si>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</si>
  <si>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</si>
  <si>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</si>
  <si>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</si>
  <si>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</si>
  <si>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</si>
  <si>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</si>
  <si>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</si>
  <si>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</si>
  <si>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</si>
  <si>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</si>
  <si>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</si>
  <si>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</si>
  <si>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</si>
  <si>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</si>
  <si>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</si>
  <si>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</si>
  <si>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72004</t>
  </si>
  <si>
    <t>BREE</t>
  </si>
  <si>
    <t>referentietaak LNE (2017); Jaarverslag De Lijn</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</si>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</sst>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129726.34706959412</c:v>
                </c:pt>
                <c:pt idx="1">
                  <c:v>54490.418809499439</c:v>
                </c:pt>
                <c:pt idx="2">
                  <c:v>1404.518</c:v>
                </c:pt>
                <c:pt idx="3">
                  <c:v>59169.30813442581</c:v>
                </c:pt>
                <c:pt idx="4">
                  <c:v>167267.74721443857</c:v>
                </c:pt>
                <c:pt idx="5">
                  <c:v>100973.78745805674</c:v>
                </c:pt>
                <c:pt idx="6">
                  <c:v>2063.5135308572953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129726.34706959412</c:v>
                </c:pt>
                <c:pt idx="1">
                  <c:v>54490.418809499439</c:v>
                </c:pt>
                <c:pt idx="2">
                  <c:v>1404.518</c:v>
                </c:pt>
                <c:pt idx="3">
                  <c:v>59169.30813442581</c:v>
                </c:pt>
                <c:pt idx="4">
                  <c:v>167267.74721443857</c:v>
                </c:pt>
                <c:pt idx="5">
                  <c:v>100973.78745805674</c:v>
                </c:pt>
                <c:pt idx="6">
                  <c:v>2063.5135308572953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23766.371993932342</c:v>
                </c:pt>
                <c:pt idx="1">
                  <c:v>9410.3755585226445</c:v>
                </c:pt>
                <c:pt idx="2">
                  <c:v>226.11358541479632</c:v>
                </c:pt>
                <c:pt idx="3">
                  <c:v>8728.6039761326738</c:v>
                </c:pt>
                <c:pt idx="4">
                  <c:v>32077.873444312198</c:v>
                </c:pt>
                <c:pt idx="5">
                  <c:v>25103.161636788391</c:v>
                </c:pt>
                <c:pt idx="6">
                  <c:v>521.95249924090683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23766.371993932342</c:v>
                </c:pt>
                <c:pt idx="1">
                  <c:v>9410.3755585226445</c:v>
                </c:pt>
                <c:pt idx="2">
                  <c:v>226.11358541479632</c:v>
                </c:pt>
                <c:pt idx="3">
                  <c:v>8728.6039761326738</c:v>
                </c:pt>
                <c:pt idx="4">
                  <c:v>32077.873444312198</c:v>
                </c:pt>
                <c:pt idx="5">
                  <c:v>25103.161636788391</c:v>
                </c:pt>
                <c:pt idx="6">
                  <c:v>521.95249924090683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72004</v>
      </c>
      <c r="B6" s="390"/>
      <c r="C6" s="391"/>
    </row>
    <row r="7" spans="1:7" s="388" customFormat="1" ht="15.75" customHeight="1">
      <c r="A7" s="392" t="str">
        <f>txtMunicipality</f>
        <v>BREE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0.16099016560471016</v>
      </c>
      <c r="C17" s="501">
        <f ca="1">'EF ele_warmte'!B22</f>
        <v>9.8926177564326507E-4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0.16099016560471016</v>
      </c>
      <c r="C29" s="502">
        <f ca="1">'EF ele_warmte'!B22</f>
        <v>9.8926177564326507E-4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6706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4068.81</v>
      </c>
      <c r="C14" s="330"/>
      <c r="D14" s="330"/>
      <c r="E14" s="330"/>
      <c r="F14" s="330"/>
    </row>
    <row r="15" spans="1:6">
      <c r="A15" s="1298" t="s">
        <v>183</v>
      </c>
      <c r="B15" s="1299">
        <v>2022</v>
      </c>
      <c r="C15" s="330"/>
      <c r="D15" s="330"/>
      <c r="E15" s="330"/>
      <c r="F15" s="330"/>
    </row>
    <row r="16" spans="1:6">
      <c r="A16" s="1298" t="s">
        <v>6</v>
      </c>
      <c r="B16" s="1299">
        <v>4180</v>
      </c>
      <c r="C16" s="330"/>
      <c r="D16" s="330"/>
      <c r="E16" s="330"/>
      <c r="F16" s="330"/>
    </row>
    <row r="17" spans="1:6">
      <c r="A17" s="1298" t="s">
        <v>7</v>
      </c>
      <c r="B17" s="1299">
        <v>226</v>
      </c>
      <c r="C17" s="330"/>
      <c r="D17" s="330"/>
      <c r="E17" s="330"/>
      <c r="F17" s="330"/>
    </row>
    <row r="18" spans="1:6">
      <c r="A18" s="1298" t="s">
        <v>8</v>
      </c>
      <c r="B18" s="1299">
        <v>2340</v>
      </c>
      <c r="C18" s="330"/>
      <c r="D18" s="330"/>
      <c r="E18" s="330"/>
      <c r="F18" s="330"/>
    </row>
    <row r="19" spans="1:6">
      <c r="A19" s="1298" t="s">
        <v>9</v>
      </c>
      <c r="B19" s="1299">
        <v>2241</v>
      </c>
      <c r="C19" s="330"/>
      <c r="D19" s="330"/>
      <c r="E19" s="330"/>
      <c r="F19" s="330"/>
    </row>
    <row r="20" spans="1:6">
      <c r="A20" s="1298" t="s">
        <v>10</v>
      </c>
      <c r="B20" s="1299">
        <v>1101</v>
      </c>
      <c r="C20" s="330"/>
      <c r="D20" s="330"/>
      <c r="E20" s="330"/>
      <c r="F20" s="330"/>
    </row>
    <row r="21" spans="1:6">
      <c r="A21" s="1298" t="s">
        <v>11</v>
      </c>
      <c r="B21" s="1299">
        <v>8988</v>
      </c>
      <c r="C21" s="330"/>
      <c r="D21" s="330"/>
      <c r="E21" s="330"/>
      <c r="F21" s="330"/>
    </row>
    <row r="22" spans="1:6">
      <c r="A22" s="1298" t="s">
        <v>12</v>
      </c>
      <c r="B22" s="1299">
        <v>27555</v>
      </c>
      <c r="C22" s="330"/>
      <c r="D22" s="330"/>
      <c r="E22" s="330"/>
      <c r="F22" s="330"/>
    </row>
    <row r="23" spans="1:6">
      <c r="A23" s="1298" t="s">
        <v>13</v>
      </c>
      <c r="B23" s="1299">
        <v>599</v>
      </c>
      <c r="C23" s="330"/>
      <c r="D23" s="330"/>
      <c r="E23" s="330"/>
      <c r="F23" s="330"/>
    </row>
    <row r="24" spans="1:6">
      <c r="A24" s="1298" t="s">
        <v>14</v>
      </c>
      <c r="B24" s="1299">
        <v>22</v>
      </c>
      <c r="C24" s="330"/>
      <c r="D24" s="330"/>
      <c r="E24" s="330"/>
      <c r="F24" s="330"/>
    </row>
    <row r="25" spans="1:6">
      <c r="A25" s="1298" t="s">
        <v>15</v>
      </c>
      <c r="B25" s="1299">
        <v>2762</v>
      </c>
      <c r="C25" s="330"/>
      <c r="D25" s="330"/>
      <c r="E25" s="330"/>
      <c r="F25" s="330"/>
    </row>
    <row r="26" spans="1:6">
      <c r="A26" s="1298" t="s">
        <v>16</v>
      </c>
      <c r="B26" s="1299">
        <v>183</v>
      </c>
      <c r="C26" s="330"/>
      <c r="D26" s="330"/>
      <c r="E26" s="330"/>
      <c r="F26" s="330"/>
    </row>
    <row r="27" spans="1:6">
      <c r="A27" s="1298" t="s">
        <v>17</v>
      </c>
      <c r="B27" s="1299">
        <v>3</v>
      </c>
      <c r="C27" s="330"/>
      <c r="D27" s="330"/>
      <c r="E27" s="330"/>
      <c r="F27" s="330"/>
    </row>
    <row r="28" spans="1:6" s="43" customFormat="1">
      <c r="A28" s="1300" t="s">
        <v>18</v>
      </c>
      <c r="B28" s="1301">
        <v>304146</v>
      </c>
      <c r="C28" s="336"/>
      <c r="D28" s="336"/>
      <c r="E28" s="336"/>
      <c r="F28" s="336"/>
    </row>
    <row r="29" spans="1:6">
      <c r="A29" s="1300" t="s">
        <v>705</v>
      </c>
      <c r="B29" s="1301">
        <v>315</v>
      </c>
      <c r="C29" s="336"/>
      <c r="D29" s="336"/>
      <c r="E29" s="336"/>
      <c r="F29" s="336"/>
    </row>
    <row r="30" spans="1:6">
      <c r="A30" s="1293" t="s">
        <v>706</v>
      </c>
      <c r="B30" s="1302">
        <v>79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44</v>
      </c>
      <c r="F36" s="1299">
        <v>1221865</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3712</v>
      </c>
      <c r="D39" s="1299">
        <v>51158313.399999999</v>
      </c>
      <c r="E39" s="1299">
        <v>6765</v>
      </c>
      <c r="F39" s="1299">
        <v>21203782.522</v>
      </c>
    </row>
    <row r="40" spans="1:6">
      <c r="A40" s="1298" t="s">
        <v>29</v>
      </c>
      <c r="B40" s="1298" t="s">
        <v>28</v>
      </c>
      <c r="C40" s="1299">
        <v>0</v>
      </c>
      <c r="D40" s="1299">
        <v>0</v>
      </c>
      <c r="E40" s="1299">
        <v>0</v>
      </c>
      <c r="F40" s="1299">
        <v>0</v>
      </c>
    </row>
    <row r="41" spans="1:6">
      <c r="A41" s="1298" t="s">
        <v>31</v>
      </c>
      <c r="B41" s="1298" t="s">
        <v>32</v>
      </c>
      <c r="C41" s="1299">
        <v>67</v>
      </c>
      <c r="D41" s="1299">
        <v>1752605.3</v>
      </c>
      <c r="E41" s="1299">
        <v>171</v>
      </c>
      <c r="F41" s="1299">
        <v>1794309.281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17</v>
      </c>
      <c r="D44" s="1299">
        <v>3545280.8289999999</v>
      </c>
      <c r="E44" s="1299">
        <v>50</v>
      </c>
      <c r="F44" s="1299">
        <v>7016659.6569999997</v>
      </c>
    </row>
    <row r="45" spans="1:6">
      <c r="A45" s="1298" t="s">
        <v>31</v>
      </c>
      <c r="B45" s="1298" t="s">
        <v>36</v>
      </c>
      <c r="C45" s="1299">
        <v>7</v>
      </c>
      <c r="D45" s="1299">
        <v>143545</v>
      </c>
      <c r="E45" s="1299">
        <v>10</v>
      </c>
      <c r="F45" s="1299">
        <v>695949</v>
      </c>
    </row>
    <row r="46" spans="1:6">
      <c r="A46" s="1298" t="s">
        <v>31</v>
      </c>
      <c r="B46" s="1298" t="s">
        <v>37</v>
      </c>
      <c r="C46" s="1299">
        <v>0</v>
      </c>
      <c r="D46" s="1299">
        <v>0</v>
      </c>
      <c r="E46" s="1299">
        <v>0</v>
      </c>
      <c r="F46" s="1299">
        <v>0</v>
      </c>
    </row>
    <row r="47" spans="1:6">
      <c r="A47" s="1298" t="s">
        <v>31</v>
      </c>
      <c r="B47" s="1298" t="s">
        <v>38</v>
      </c>
      <c r="C47" s="1299">
        <v>7</v>
      </c>
      <c r="D47" s="1299">
        <v>173939</v>
      </c>
      <c r="E47" s="1299">
        <v>9</v>
      </c>
      <c r="F47" s="1299">
        <v>99050</v>
      </c>
    </row>
    <row r="48" spans="1:6">
      <c r="A48" s="1298" t="s">
        <v>31</v>
      </c>
      <c r="B48" s="1298" t="s">
        <v>28</v>
      </c>
      <c r="C48" s="1299">
        <v>4</v>
      </c>
      <c r="D48" s="1299">
        <v>1291416.7080000001</v>
      </c>
      <c r="E48" s="1299">
        <v>5</v>
      </c>
      <c r="F48" s="1299">
        <v>2001700.8130000001</v>
      </c>
    </row>
    <row r="49" spans="1:6">
      <c r="A49" s="1298" t="s">
        <v>31</v>
      </c>
      <c r="B49" s="1298" t="s">
        <v>39</v>
      </c>
      <c r="C49" s="1299">
        <v>0</v>
      </c>
      <c r="D49" s="1299">
        <v>0</v>
      </c>
      <c r="E49" s="1299">
        <v>0</v>
      </c>
      <c r="F49" s="1299">
        <v>0</v>
      </c>
    </row>
    <row r="50" spans="1:6">
      <c r="A50" s="1298" t="s">
        <v>31</v>
      </c>
      <c r="B50" s="1298" t="s">
        <v>40</v>
      </c>
      <c r="C50" s="1299">
        <v>7</v>
      </c>
      <c r="D50" s="1299">
        <v>127587120.245</v>
      </c>
      <c r="E50" s="1299">
        <v>15</v>
      </c>
      <c r="F50" s="1299">
        <v>27281997</v>
      </c>
    </row>
    <row r="51" spans="1:6">
      <c r="A51" s="1298" t="s">
        <v>41</v>
      </c>
      <c r="B51" s="1298" t="s">
        <v>42</v>
      </c>
      <c r="C51" s="1299">
        <v>11</v>
      </c>
      <c r="D51" s="1299">
        <v>7238395.1320000002</v>
      </c>
      <c r="E51" s="1299">
        <v>154</v>
      </c>
      <c r="F51" s="1299">
        <v>6108871</v>
      </c>
    </row>
    <row r="52" spans="1:6">
      <c r="A52" s="1298" t="s">
        <v>41</v>
      </c>
      <c r="B52" s="1298" t="s">
        <v>28</v>
      </c>
      <c r="C52" s="1299">
        <v>0</v>
      </c>
      <c r="D52" s="1299">
        <v>0</v>
      </c>
      <c r="E52" s="1299">
        <v>0</v>
      </c>
      <c r="F52" s="1299">
        <v>0</v>
      </c>
    </row>
    <row r="53" spans="1:6">
      <c r="A53" s="1298" t="s">
        <v>43</v>
      </c>
      <c r="B53" s="1298" t="s">
        <v>44</v>
      </c>
      <c r="C53" s="1299">
        <v>58</v>
      </c>
      <c r="D53" s="1299">
        <v>1581083.2</v>
      </c>
      <c r="E53" s="1299">
        <v>179</v>
      </c>
      <c r="F53" s="1299">
        <v>789473.05</v>
      </c>
    </row>
    <row r="54" spans="1:6">
      <c r="A54" s="1298" t="s">
        <v>45</v>
      </c>
      <c r="B54" s="1298" t="s">
        <v>46</v>
      </c>
      <c r="C54" s="1299">
        <v>0</v>
      </c>
      <c r="D54" s="1299">
        <v>0</v>
      </c>
      <c r="E54" s="1299">
        <v>3</v>
      </c>
      <c r="F54" s="1299">
        <v>1404518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49</v>
      </c>
      <c r="D57" s="1299">
        <v>4243647.9139999999</v>
      </c>
      <c r="E57" s="1299">
        <v>113</v>
      </c>
      <c r="F57" s="1299">
        <v>4919733.6059999997</v>
      </c>
    </row>
    <row r="58" spans="1:6">
      <c r="A58" s="1298" t="s">
        <v>48</v>
      </c>
      <c r="B58" s="1298" t="s">
        <v>50</v>
      </c>
      <c r="C58" s="1299">
        <v>33</v>
      </c>
      <c r="D58" s="1299">
        <v>2514696</v>
      </c>
      <c r="E58" s="1299">
        <v>54</v>
      </c>
      <c r="F58" s="1299">
        <v>1258241.6580000001</v>
      </c>
    </row>
    <row r="59" spans="1:6">
      <c r="A59" s="1298" t="s">
        <v>48</v>
      </c>
      <c r="B59" s="1298" t="s">
        <v>51</v>
      </c>
      <c r="C59" s="1299">
        <v>114</v>
      </c>
      <c r="D59" s="1299">
        <v>6553261.5710000005</v>
      </c>
      <c r="E59" s="1299">
        <v>276</v>
      </c>
      <c r="F59" s="1299">
        <v>8972720.1850000005</v>
      </c>
    </row>
    <row r="60" spans="1:6">
      <c r="A60" s="1298" t="s">
        <v>48</v>
      </c>
      <c r="B60" s="1298" t="s">
        <v>52</v>
      </c>
      <c r="C60" s="1299">
        <v>77</v>
      </c>
      <c r="D60" s="1299">
        <v>3880053.6</v>
      </c>
      <c r="E60" s="1299">
        <v>169</v>
      </c>
      <c r="F60" s="1299">
        <v>3313483.7850000001</v>
      </c>
    </row>
    <row r="61" spans="1:6">
      <c r="A61" s="1298" t="s">
        <v>48</v>
      </c>
      <c r="B61" s="1298" t="s">
        <v>53</v>
      </c>
      <c r="C61" s="1299">
        <v>150</v>
      </c>
      <c r="D61" s="1299">
        <v>5332791.3609999996</v>
      </c>
      <c r="E61" s="1299">
        <v>297</v>
      </c>
      <c r="F61" s="1299">
        <v>6336950.4649999999</v>
      </c>
    </row>
    <row r="62" spans="1:6">
      <c r="A62" s="1298" t="s">
        <v>48</v>
      </c>
      <c r="B62" s="1298" t="s">
        <v>54</v>
      </c>
      <c r="C62" s="1299">
        <v>14</v>
      </c>
      <c r="D62" s="1299">
        <v>1850800</v>
      </c>
      <c r="E62" s="1299">
        <v>23</v>
      </c>
      <c r="F62" s="1299">
        <v>775913.05700000003</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122515</v>
      </c>
      <c r="E65" s="1299">
        <v>0</v>
      </c>
      <c r="F65" s="1299">
        <v>0</v>
      </c>
    </row>
    <row r="66" spans="1:6">
      <c r="A66" s="1298" t="s">
        <v>55</v>
      </c>
      <c r="B66" s="1298" t="s">
        <v>57</v>
      </c>
      <c r="C66" s="1299">
        <v>0</v>
      </c>
      <c r="D66" s="1299">
        <v>0</v>
      </c>
      <c r="E66" s="1299">
        <v>25</v>
      </c>
      <c r="F66" s="1299">
        <v>394170.17099999997</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146346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95464313</v>
      </c>
      <c r="E73" s="450"/>
      <c r="F73" s="330"/>
    </row>
    <row r="74" spans="1:6">
      <c r="A74" s="1298" t="s">
        <v>63</v>
      </c>
      <c r="B74" s="1298" t="s">
        <v>647</v>
      </c>
      <c r="C74" s="1312" t="s">
        <v>649</v>
      </c>
      <c r="D74" s="1313">
        <v>8663320.5</v>
      </c>
      <c r="E74" s="450"/>
      <c r="F74" s="330"/>
    </row>
    <row r="75" spans="1:6">
      <c r="A75" s="1298" t="s">
        <v>64</v>
      </c>
      <c r="B75" s="1298" t="s">
        <v>646</v>
      </c>
      <c r="C75" s="1312" t="s">
        <v>650</v>
      </c>
      <c r="D75" s="1313">
        <v>18688868</v>
      </c>
      <c r="E75" s="450"/>
      <c r="F75" s="330"/>
    </row>
    <row r="76" spans="1:6">
      <c r="A76" s="1298" t="s">
        <v>64</v>
      </c>
      <c r="B76" s="1298" t="s">
        <v>647</v>
      </c>
      <c r="C76" s="1312" t="s">
        <v>651</v>
      </c>
      <c r="D76" s="1313">
        <v>357216.5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566451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6134.7886232601395</v>
      </c>
      <c r="C91" s="330"/>
      <c r="D91" s="330"/>
      <c r="E91" s="330"/>
      <c r="F91" s="330"/>
    </row>
    <row r="92" spans="1:6">
      <c r="A92" s="1293" t="s">
        <v>68</v>
      </c>
      <c r="B92" s="1294">
        <v>4938.7850638954869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913</v>
      </c>
      <c r="C97" s="330"/>
      <c r="D97" s="330"/>
      <c r="E97" s="330"/>
      <c r="F97" s="330"/>
    </row>
    <row r="98" spans="1:6">
      <c r="A98" s="1298" t="s">
        <v>71</v>
      </c>
      <c r="B98" s="1299">
        <v>1</v>
      </c>
      <c r="C98" s="330"/>
      <c r="D98" s="330"/>
      <c r="E98" s="330"/>
      <c r="F98" s="330"/>
    </row>
    <row r="99" spans="1:6">
      <c r="A99" s="1298" t="s">
        <v>72</v>
      </c>
      <c r="B99" s="1299">
        <v>40</v>
      </c>
      <c r="C99" s="330"/>
      <c r="D99" s="330"/>
      <c r="E99" s="330"/>
      <c r="F99" s="330"/>
    </row>
    <row r="100" spans="1:6">
      <c r="A100" s="1298" t="s">
        <v>73</v>
      </c>
      <c r="B100" s="1299">
        <v>210</v>
      </c>
      <c r="C100" s="330"/>
      <c r="D100" s="330"/>
      <c r="E100" s="330"/>
      <c r="F100" s="330"/>
    </row>
    <row r="101" spans="1:6">
      <c r="A101" s="1298" t="s">
        <v>74</v>
      </c>
      <c r="B101" s="1299">
        <v>42</v>
      </c>
      <c r="C101" s="330"/>
      <c r="D101" s="330"/>
      <c r="E101" s="330"/>
      <c r="F101" s="330"/>
    </row>
    <row r="102" spans="1:6">
      <c r="A102" s="1298" t="s">
        <v>75</v>
      </c>
      <c r="B102" s="1299">
        <v>57</v>
      </c>
      <c r="C102" s="330"/>
      <c r="D102" s="330"/>
      <c r="E102" s="330"/>
      <c r="F102" s="330"/>
    </row>
    <row r="103" spans="1:6">
      <c r="A103" s="1298" t="s">
        <v>76</v>
      </c>
      <c r="B103" s="1299">
        <v>93</v>
      </c>
      <c r="C103" s="330"/>
      <c r="D103" s="330"/>
      <c r="E103" s="330"/>
      <c r="F103" s="330"/>
    </row>
    <row r="104" spans="1:6">
      <c r="A104" s="1298" t="s">
        <v>77</v>
      </c>
      <c r="B104" s="1299">
        <v>3845</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26</v>
      </c>
      <c r="C123" s="1299">
        <v>46</v>
      </c>
      <c r="D123" s="330"/>
      <c r="E123" s="330"/>
      <c r="F123" s="330"/>
    </row>
    <row r="124" spans="1:6" s="43" customFormat="1">
      <c r="A124" s="1300" t="s">
        <v>88</v>
      </c>
      <c r="B124" s="1321">
        <v>1</v>
      </c>
      <c r="C124" s="1321">
        <v>5</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213</v>
      </c>
      <c r="C129" s="330"/>
      <c r="D129" s="330"/>
      <c r="E129" s="330"/>
      <c r="F129" s="330"/>
    </row>
    <row r="130" spans="1:6">
      <c r="A130" s="1298" t="s">
        <v>294</v>
      </c>
      <c r="B130" s="1299">
        <v>4</v>
      </c>
      <c r="C130" s="330"/>
      <c r="D130" s="330"/>
      <c r="E130" s="330"/>
      <c r="F130" s="330"/>
    </row>
    <row r="131" spans="1:6">
      <c r="A131" s="1298" t="s">
        <v>295</v>
      </c>
      <c r="B131" s="1299">
        <v>6</v>
      </c>
      <c r="C131" s="330"/>
      <c r="D131" s="330"/>
      <c r="E131" s="330"/>
      <c r="F131" s="330"/>
    </row>
    <row r="132" spans="1:6">
      <c r="A132" s="1293" t="s">
        <v>296</v>
      </c>
      <c r="B132" s="1294">
        <v>45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100230.23674371121</v>
      </c>
      <c r="C3" s="43" t="s">
        <v>169</v>
      </c>
      <c r="D3" s="43"/>
      <c r="E3" s="154"/>
      <c r="F3" s="43"/>
      <c r="G3" s="43"/>
      <c r="H3" s="43"/>
      <c r="I3" s="43"/>
      <c r="J3" s="43"/>
      <c r="K3" s="96"/>
    </row>
    <row r="4" spans="1:11">
      <c r="A4" s="358" t="s">
        <v>170</v>
      </c>
      <c r="B4" s="49">
        <f>IF(ISERROR('SEAP template'!B78+'SEAP template'!C78),0,'SEAP template'!B78+'SEAP template'!C78)</f>
        <v>27288.873687155625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16.041176470588237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0.16099016560471016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22.915966386554626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23164.714285714286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9.8926177564326507E-4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1404.518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1404.518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0.16099016560471016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226.11358541479632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21203.782522000001</v>
      </c>
      <c r="C5" s="17">
        <f>IF(ISERROR('Eigen informatie GS &amp; warmtenet'!B59),0,'Eigen informatie GS &amp; warmtenet'!B59)</f>
        <v>0</v>
      </c>
      <c r="D5" s="30">
        <f>(SUM(HH_hh_gas_kWh,HH_rest_gas_kWh)/1000)*0.902</f>
        <v>46144.798686800001</v>
      </c>
      <c r="E5" s="17">
        <f>B46*B57</f>
        <v>11879.697183359938</v>
      </c>
      <c r="F5" s="17">
        <f>B51*B62</f>
        <v>27517.566676046652</v>
      </c>
      <c r="G5" s="18"/>
      <c r="H5" s="17"/>
      <c r="I5" s="17"/>
      <c r="J5" s="17">
        <f>B50*B61+C50*C61</f>
        <v>0</v>
      </c>
      <c r="K5" s="17"/>
      <c r="L5" s="17"/>
      <c r="M5" s="17"/>
      <c r="N5" s="17">
        <f>B48*B59+C48*C59</f>
        <v>15563.503338055883</v>
      </c>
      <c r="O5" s="17">
        <f>B69*B70*B71</f>
        <v>523.76496991817646</v>
      </c>
      <c r="P5" s="17">
        <f>B77*B78*B79/1000-B77*B78*B79/1000/B80</f>
        <v>758.44507015332169</v>
      </c>
    </row>
    <row r="6" spans="1:16">
      <c r="A6" s="16" t="s">
        <v>611</v>
      </c>
      <c r="B6" s="783">
        <f>kWh_PV_kleiner_dan_10kW</f>
        <v>6134.7886232601395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27338.571145260139</v>
      </c>
      <c r="C8" s="21">
        <f>C5</f>
        <v>0</v>
      </c>
      <c r="D8" s="21">
        <f>D5</f>
        <v>46144.798686800001</v>
      </c>
      <c r="E8" s="21">
        <f>E5</f>
        <v>11879.697183359938</v>
      </c>
      <c r="F8" s="21">
        <f>F5</f>
        <v>27517.566676046652</v>
      </c>
      <c r="G8" s="21"/>
      <c r="H8" s="21"/>
      <c r="I8" s="21"/>
      <c r="J8" s="21">
        <f>J5</f>
        <v>0</v>
      </c>
      <c r="K8" s="21"/>
      <c r="L8" s="21">
        <f>L5</f>
        <v>0</v>
      </c>
      <c r="M8" s="21">
        <f>M5</f>
        <v>0</v>
      </c>
      <c r="N8" s="21">
        <f>N5</f>
        <v>15563.503338055883</v>
      </c>
      <c r="O8" s="21">
        <f>O5</f>
        <v>523.76496991817646</v>
      </c>
      <c r="P8" s="21">
        <f>P5</f>
        <v>758.44507015332169</v>
      </c>
    </row>
    <row r="9" spans="1:16">
      <c r="B9" s="19"/>
      <c r="C9" s="19"/>
      <c r="D9" s="258"/>
      <c r="E9" s="19"/>
      <c r="F9" s="19"/>
      <c r="G9" s="19"/>
      <c r="H9" s="19"/>
      <c r="I9" s="19"/>
      <c r="J9" s="19"/>
      <c r="K9" s="19"/>
      <c r="L9" s="19"/>
      <c r="M9" s="19"/>
      <c r="N9" s="19"/>
      <c r="O9" s="19"/>
      <c r="P9" s="19"/>
    </row>
    <row r="10" spans="1:16">
      <c r="A10" s="24" t="s">
        <v>213</v>
      </c>
      <c r="B10" s="25">
        <f ca="1">'EF ele_warmte'!B12</f>
        <v>0.16099016560471016</v>
      </c>
      <c r="C10" s="25">
        <f ca="1">'EF ele_warmte'!B22</f>
        <v>9.8926177564326507E-4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4401.2410960715806</v>
      </c>
      <c r="C12" s="23">
        <f ca="1">C10*C8</f>
        <v>0</v>
      </c>
      <c r="D12" s="23">
        <f>D8*D10</f>
        <v>9321.2493347336003</v>
      </c>
      <c r="E12" s="23">
        <f>E10*E8</f>
        <v>2696.6912606227061</v>
      </c>
      <c r="F12" s="23">
        <f>F10*F8</f>
        <v>7347.1903025044567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913</v>
      </c>
      <c r="C18" s="166" t="s">
        <v>110</v>
      </c>
      <c r="D18" s="228"/>
      <c r="E18" s="15"/>
    </row>
    <row r="19" spans="1:7">
      <c r="A19" s="171" t="s">
        <v>71</v>
      </c>
      <c r="B19" s="37">
        <f>aantalw2001_ander</f>
        <v>1</v>
      </c>
      <c r="C19" s="166" t="s">
        <v>110</v>
      </c>
      <c r="D19" s="229"/>
      <c r="E19" s="15"/>
    </row>
    <row r="20" spans="1:7">
      <c r="A20" s="171" t="s">
        <v>72</v>
      </c>
      <c r="B20" s="37">
        <f>aantalw2001_propaan</f>
        <v>40</v>
      </c>
      <c r="C20" s="167">
        <f>IF(ISERROR(B20/SUM($B$20,$B$21,$B$22)*100),0,B20/SUM($B$20,$B$21,$B$22)*100)</f>
        <v>13.698630136986301</v>
      </c>
      <c r="D20" s="229"/>
      <c r="E20" s="15"/>
    </row>
    <row r="21" spans="1:7">
      <c r="A21" s="171" t="s">
        <v>73</v>
      </c>
      <c r="B21" s="37">
        <f>aantalw2001_elektriciteit</f>
        <v>210</v>
      </c>
      <c r="C21" s="167">
        <f>IF(ISERROR(B21/SUM($B$20,$B$21,$B$22)*100),0,B21/SUM($B$20,$B$21,$B$22)*100)</f>
        <v>71.917808219178085</v>
      </c>
      <c r="D21" s="229"/>
      <c r="E21" s="15"/>
    </row>
    <row r="22" spans="1:7">
      <c r="A22" s="171" t="s">
        <v>74</v>
      </c>
      <c r="B22" s="37">
        <f>aantalw2001_hout</f>
        <v>42</v>
      </c>
      <c r="C22" s="167">
        <f>IF(ISERROR(B22/SUM($B$20,$B$21,$B$22)*100),0,B22/SUM($B$20,$B$21,$B$22)*100)</f>
        <v>14.383561643835616</v>
      </c>
      <c r="D22" s="229"/>
      <c r="E22" s="15"/>
    </row>
    <row r="23" spans="1:7">
      <c r="A23" s="171" t="s">
        <v>75</v>
      </c>
      <c r="B23" s="37">
        <f>aantalw2001_niet_gespec</f>
        <v>57</v>
      </c>
      <c r="C23" s="166" t="s">
        <v>110</v>
      </c>
      <c r="D23" s="228"/>
      <c r="E23" s="15"/>
    </row>
    <row r="24" spans="1:7">
      <c r="A24" s="171" t="s">
        <v>76</v>
      </c>
      <c r="B24" s="37">
        <f>aantalw2001_steenkool</f>
        <v>93</v>
      </c>
      <c r="C24" s="166" t="s">
        <v>110</v>
      </c>
      <c r="D24" s="229"/>
      <c r="E24" s="15"/>
    </row>
    <row r="25" spans="1:7">
      <c r="A25" s="171" t="s">
        <v>77</v>
      </c>
      <c r="B25" s="37">
        <f>aantalw2001_stookolie</f>
        <v>3845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6706</v>
      </c>
      <c r="C28" s="36"/>
      <c r="D28" s="228"/>
    </row>
    <row r="29" spans="1:7" s="15" customFormat="1">
      <c r="A29" s="230" t="s">
        <v>819</v>
      </c>
      <c r="B29" s="37">
        <f>SUM(HH_hh_gas_aantal,HH_rest_gas_aantal)</f>
        <v>3712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3712</v>
      </c>
      <c r="C32" s="167">
        <f>IF(ISERROR(B32/SUM($B$32,$B$34,$B$35,$B$36,$B$38,$B$39)*100),0,B32/SUM($B$32,$B$34,$B$35,$B$36,$B$38,$B$39)*100)</f>
        <v>55.95417545975279</v>
      </c>
      <c r="D32" s="233"/>
      <c r="G32" s="15"/>
    </row>
    <row r="33" spans="1:7">
      <c r="A33" s="171" t="s">
        <v>71</v>
      </c>
      <c r="B33" s="34" t="s">
        <v>110</v>
      </c>
      <c r="C33" s="167"/>
      <c r="D33" s="233"/>
      <c r="G33" s="15"/>
    </row>
    <row r="34" spans="1:7">
      <c r="A34" s="171" t="s">
        <v>72</v>
      </c>
      <c r="B34" s="33">
        <f>IF((($B$28-$B$32-$B$39-$B$77-$B$38)*C20/100)&lt;0,0,($B$28-$B$32-$B$39-$B$77-$B$38)*C20/100)</f>
        <v>218.64383561643834</v>
      </c>
      <c r="C34" s="167">
        <f>IF(ISERROR(B34/SUM($B$32,$B$34,$B$35,$B$36,$B$38,$B$39)*100),0,B34/SUM($B$32,$B$34,$B$35,$B$36,$B$38,$B$39)*100)</f>
        <v>3.2958069884901771</v>
      </c>
      <c r="D34" s="233"/>
      <c r="G34" s="15"/>
    </row>
    <row r="35" spans="1:7">
      <c r="A35" s="171" t="s">
        <v>73</v>
      </c>
      <c r="B35" s="33">
        <f>IF((($B$28-$B$32-$B$39-$B$77-$B$38)*C21/100)&lt;0,0,($B$28-$B$32-$B$39-$B$77-$B$38)*C21/100)</f>
        <v>1147.8801369863013</v>
      </c>
      <c r="C35" s="167">
        <f>IF(ISERROR(B35/SUM($B$32,$B$34,$B$35,$B$36,$B$38,$B$39)*100),0,B35/SUM($B$32,$B$34,$B$35,$B$36,$B$38,$B$39)*100)</f>
        <v>17.30298668957343</v>
      </c>
      <c r="D35" s="233"/>
      <c r="G35" s="15"/>
    </row>
    <row r="36" spans="1:7">
      <c r="A36" s="171" t="s">
        <v>74</v>
      </c>
      <c r="B36" s="33">
        <f>IF((($B$28-$B$32-$B$39-$B$77-$B$38)*C22/100)&lt;0,0,($B$28-$B$32-$B$39-$B$77-$B$38)*C22/100)</f>
        <v>229.57602739726025</v>
      </c>
      <c r="C36" s="167">
        <f>IF(ISERROR(B36/SUM($B$32,$B$34,$B$35,$B$36,$B$38,$B$39)*100),0,B36/SUM($B$32,$B$34,$B$35,$B$36,$B$38,$B$39)*100)</f>
        <v>3.4605973379146859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1325.9</v>
      </c>
      <c r="C39" s="167">
        <f>IF(ISERROR(B39/SUM($B$32,$B$34,$B$35,$B$36,$B$38,$B$39)*100),0,B39/SUM($B$32,$B$34,$B$35,$B$36,$B$38,$B$39)*100)</f>
        <v>19.986433524268918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3712</v>
      </c>
      <c r="C44" s="34" t="s">
        <v>110</v>
      </c>
      <c r="D44" s="174"/>
    </row>
    <row r="45" spans="1:7">
      <c r="A45" s="171" t="s">
        <v>71</v>
      </c>
      <c r="B45" s="33" t="str">
        <f t="shared" si="0"/>
        <v>-</v>
      </c>
      <c r="C45" s="34" t="s">
        <v>110</v>
      </c>
      <c r="D45" s="174"/>
    </row>
    <row r="46" spans="1:7">
      <c r="A46" s="171" t="s">
        <v>72</v>
      </c>
      <c r="B46" s="33">
        <f t="shared" si="0"/>
        <v>218.64383561643834</v>
      </c>
      <c r="C46" s="34" t="s">
        <v>110</v>
      </c>
      <c r="D46" s="174"/>
    </row>
    <row r="47" spans="1:7">
      <c r="A47" s="171" t="s">
        <v>73</v>
      </c>
      <c r="B47" s="33">
        <f t="shared" si="0"/>
        <v>1147.8801369863013</v>
      </c>
      <c r="C47" s="34" t="s">
        <v>110</v>
      </c>
      <c r="D47" s="174"/>
    </row>
    <row r="48" spans="1:7">
      <c r="A48" s="171" t="s">
        <v>74</v>
      </c>
      <c r="B48" s="33">
        <f t="shared" si="0"/>
        <v>229.57602739726025</v>
      </c>
      <c r="C48" s="33">
        <f>B48*10</f>
        <v>2295.7602739726026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1325.9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25577.042755999999</v>
      </c>
      <c r="C5" s="17">
        <f>IF(ISERROR('Eigen informatie GS &amp; warmtenet'!B60),0,'Eigen informatie GS &amp; warmtenet'!B60)</f>
        <v>0</v>
      </c>
      <c r="D5" s="30">
        <f>SUM(D6:D12)</f>
        <v>21986.475902292004</v>
      </c>
      <c r="E5" s="17">
        <f>SUM(E6:E12)</f>
        <v>357.10368426808441</v>
      </c>
      <c r="F5" s="17">
        <f>SUM(F6:F12)</f>
        <v>2990.1044542648929</v>
      </c>
      <c r="G5" s="18"/>
      <c r="H5" s="17"/>
      <c r="I5" s="17"/>
      <c r="J5" s="17">
        <f>SUM(J6:J12)</f>
        <v>8.3517666434919452E-2</v>
      </c>
      <c r="K5" s="17"/>
      <c r="L5" s="17"/>
      <c r="M5" s="17"/>
      <c r="N5" s="17">
        <f>SUM(N6:N12)</f>
        <v>3273.7131935342541</v>
      </c>
      <c r="O5" s="17">
        <f>B38*B39*B40</f>
        <v>19.589043063364617</v>
      </c>
      <c r="P5" s="17">
        <f>B46*B47*B48/1000-B46*B47*B48/1000/B49</f>
        <v>315.23482983897009</v>
      </c>
      <c r="R5" s="32"/>
    </row>
    <row r="6" spans="1:18">
      <c r="A6" s="32" t="s">
        <v>53</v>
      </c>
      <c r="B6" s="37">
        <f>B26</f>
        <v>6336.9504649999999</v>
      </c>
      <c r="C6" s="33"/>
      <c r="D6" s="37">
        <f>IF(ISERROR(TER_kantoor_gas_kWh/1000),0,TER_kantoor_gas_kWh/1000)*0.902</f>
        <v>4810.1778076219998</v>
      </c>
      <c r="E6" s="33">
        <f>$C$26*'E Balans VL '!I12/100/3.6*1000000</f>
        <v>50.991408605466923</v>
      </c>
      <c r="F6" s="33">
        <f>$C$26*('E Balans VL '!L12+'E Balans VL '!N12)/100/3.6*1000000</f>
        <v>774.75885693089538</v>
      </c>
      <c r="G6" s="34"/>
      <c r="H6" s="33"/>
      <c r="I6" s="33"/>
      <c r="J6" s="33">
        <f>$C$26*('E Balans VL '!D12+'E Balans VL '!E12)/100/3.6*1000000</f>
        <v>0</v>
      </c>
      <c r="K6" s="33"/>
      <c r="L6" s="33"/>
      <c r="M6" s="33"/>
      <c r="N6" s="33">
        <f>$C$26*'E Balans VL '!Y12/100/3.6*1000000</f>
        <v>3.4057988139028681</v>
      </c>
      <c r="O6" s="33"/>
      <c r="P6" s="33"/>
      <c r="R6" s="32"/>
    </row>
    <row r="7" spans="1:18">
      <c r="A7" s="32" t="s">
        <v>52</v>
      </c>
      <c r="B7" s="37">
        <f t="shared" ref="B7:B12" si="0">B27</f>
        <v>3313.4837850000004</v>
      </c>
      <c r="C7" s="33"/>
      <c r="D7" s="37">
        <f>IF(ISERROR(TER_horeca_gas_kWh/1000),0,TER_horeca_gas_kWh/1000)*0.902</f>
        <v>3499.8083472000003</v>
      </c>
      <c r="E7" s="33">
        <f>$C$27*'E Balans VL '!I9/100/3.6*1000000</f>
        <v>35.578679357213147</v>
      </c>
      <c r="F7" s="33">
        <f>$C$27*('E Balans VL '!L9+'E Balans VL '!N9)/100/3.6*1000000</f>
        <v>398.53175168541316</v>
      </c>
      <c r="G7" s="34"/>
      <c r="H7" s="33"/>
      <c r="I7" s="33"/>
      <c r="J7" s="33">
        <f>$C$27*('E Balans VL '!D9+'E Balans VL '!E9)/100/3.6*1000000</f>
        <v>0</v>
      </c>
      <c r="K7" s="33"/>
      <c r="L7" s="33"/>
      <c r="M7" s="33"/>
      <c r="N7" s="33">
        <f>$C$27*'E Balans VL '!Y9/100/3.6*1000000</f>
        <v>0.49675837589104854</v>
      </c>
      <c r="O7" s="33"/>
      <c r="P7" s="33"/>
      <c r="R7" s="32"/>
    </row>
    <row r="8" spans="1:18">
      <c r="A8" s="6" t="s">
        <v>51</v>
      </c>
      <c r="B8" s="37">
        <f t="shared" si="0"/>
        <v>8972.7201850000001</v>
      </c>
      <c r="C8" s="33"/>
      <c r="D8" s="37">
        <f>IF(ISERROR(TER_handel_gas_kWh/1000),0,TER_handel_gas_kWh/1000)*0.902</f>
        <v>5911.0419370420013</v>
      </c>
      <c r="E8" s="33">
        <f>$C$28*'E Balans VL '!I13/100/3.6*1000000</f>
        <v>240.80034004903169</v>
      </c>
      <c r="F8" s="33">
        <f>$C$28*('E Balans VL '!L13+'E Balans VL '!N13)/100/3.6*1000000</f>
        <v>856.27405201578176</v>
      </c>
      <c r="G8" s="34"/>
      <c r="H8" s="33"/>
      <c r="I8" s="33"/>
      <c r="J8" s="33">
        <f>$C$28*('E Balans VL '!D13+'E Balans VL '!E13)/100/3.6*1000000</f>
        <v>0</v>
      </c>
      <c r="K8" s="33"/>
      <c r="L8" s="33"/>
      <c r="M8" s="33"/>
      <c r="N8" s="33">
        <f>$C$28*'E Balans VL '!Y13/100/3.6*1000000</f>
        <v>3.5568883046213142</v>
      </c>
      <c r="O8" s="33"/>
      <c r="P8" s="33"/>
      <c r="R8" s="32"/>
    </row>
    <row r="9" spans="1:18">
      <c r="A9" s="32" t="s">
        <v>50</v>
      </c>
      <c r="B9" s="37">
        <f t="shared" si="0"/>
        <v>1258.2416580000001</v>
      </c>
      <c r="C9" s="33"/>
      <c r="D9" s="37">
        <f>IF(ISERROR(TER_gezond_gas_kWh/1000),0,TER_gezond_gas_kWh/1000)*0.902</f>
        <v>2268.2557919999999</v>
      </c>
      <c r="E9" s="33">
        <f>$C$29*'E Balans VL '!I10/100/3.6*1000000</f>
        <v>2.3583545683666305</v>
      </c>
      <c r="F9" s="33">
        <f>$C$29*('E Balans VL '!L10+'E Balans VL '!N10)/100/3.6*1000000</f>
        <v>103.43894485811327</v>
      </c>
      <c r="G9" s="34"/>
      <c r="H9" s="33"/>
      <c r="I9" s="33"/>
      <c r="J9" s="33">
        <f>$C$29*('E Balans VL '!D10+'E Balans VL '!E10)/100/3.6*1000000</f>
        <v>0</v>
      </c>
      <c r="K9" s="33"/>
      <c r="L9" s="33"/>
      <c r="M9" s="33"/>
      <c r="N9" s="33">
        <f>$C$29*'E Balans VL '!Y10/100/3.6*1000000</f>
        <v>9.790058882407763</v>
      </c>
      <c r="O9" s="33"/>
      <c r="P9" s="33"/>
      <c r="R9" s="32"/>
    </row>
    <row r="10" spans="1:18">
      <c r="A10" s="32" t="s">
        <v>49</v>
      </c>
      <c r="B10" s="37">
        <f t="shared" si="0"/>
        <v>4919.7336059999998</v>
      </c>
      <c r="C10" s="33"/>
      <c r="D10" s="37">
        <f>IF(ISERROR(TER_ander_gas_kWh/1000),0,TER_ander_gas_kWh/1000)*0.902</f>
        <v>3827.7704184280001</v>
      </c>
      <c r="E10" s="33">
        <f>$C$30*'E Balans VL '!I14/100/3.6*1000000</f>
        <v>7.5838192045393686</v>
      </c>
      <c r="F10" s="33">
        <f>$C$30*('E Balans VL '!L14+'E Balans VL '!N14)/100/3.6*1000000</f>
        <v>763.79000049863225</v>
      </c>
      <c r="G10" s="34"/>
      <c r="H10" s="33"/>
      <c r="I10" s="33"/>
      <c r="J10" s="33">
        <f>$C$30*('E Balans VL '!D14+'E Balans VL '!E14)/100/3.6*1000000</f>
        <v>8.3517666434919452E-2</v>
      </c>
      <c r="K10" s="33"/>
      <c r="L10" s="33"/>
      <c r="M10" s="33"/>
      <c r="N10" s="33">
        <f>$C$30*'E Balans VL '!Y14/100/3.6*1000000</f>
        <v>3254.7380774511048</v>
      </c>
      <c r="O10" s="33"/>
      <c r="P10" s="33"/>
      <c r="R10" s="32"/>
    </row>
    <row r="11" spans="1:18">
      <c r="A11" s="32" t="s">
        <v>54</v>
      </c>
      <c r="B11" s="37">
        <f t="shared" si="0"/>
        <v>775.91305699999998</v>
      </c>
      <c r="C11" s="33"/>
      <c r="D11" s="37">
        <f>IF(ISERROR(TER_onderwijs_gas_kWh/1000),0,TER_onderwijs_gas_kWh/1000)*0.902</f>
        <v>1669.4215999999999</v>
      </c>
      <c r="E11" s="33">
        <f>$C$31*'E Balans VL '!I11/100/3.6*1000000</f>
        <v>19.791082483466678</v>
      </c>
      <c r="F11" s="33">
        <f>$C$31*('E Balans VL '!L11+'E Balans VL '!N11)/100/3.6*1000000</f>
        <v>93.310848276057001</v>
      </c>
      <c r="G11" s="34"/>
      <c r="H11" s="33"/>
      <c r="I11" s="33"/>
      <c r="J11" s="33">
        <f>$C$31*('E Balans VL '!D11+'E Balans VL '!E11)/100/3.6*1000000</f>
        <v>0</v>
      </c>
      <c r="K11" s="33"/>
      <c r="L11" s="33"/>
      <c r="M11" s="33"/>
      <c r="N11" s="33">
        <f>$C$31*'E Balans VL '!Y11/100/3.6*1000000</f>
        <v>1.7256117063262744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energieproductie'!N43+'lokale energieproductie'!N36</f>
        <v>67.5</v>
      </c>
      <c r="C13" s="247">
        <f ca="1">'lokale energieproductie'!O43+'lokale energieproductie'!O36</f>
        <v>96.428571428571431</v>
      </c>
      <c r="D13" s="308">
        <f ca="1">('lokale energieproductie'!P36+'lokale energieproductie'!P43)*(-1)</f>
        <v>-192.85714285714286</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25644.542755999999</v>
      </c>
      <c r="C16" s="21">
        <f t="shared" ca="1" si="1"/>
        <v>96.428571428571431</v>
      </c>
      <c r="D16" s="21">
        <f t="shared" ca="1" si="1"/>
        <v>21793.618759434863</v>
      </c>
      <c r="E16" s="21">
        <f t="shared" si="1"/>
        <v>357.10368426808441</v>
      </c>
      <c r="F16" s="21">
        <f t="shared" ca="1" si="1"/>
        <v>2990.1044542648929</v>
      </c>
      <c r="G16" s="21">
        <f t="shared" si="1"/>
        <v>0</v>
      </c>
      <c r="H16" s="21">
        <f t="shared" si="1"/>
        <v>0</v>
      </c>
      <c r="I16" s="21">
        <f t="shared" si="1"/>
        <v>0</v>
      </c>
      <c r="J16" s="21">
        <f t="shared" si="1"/>
        <v>8.3517666434919452E-2</v>
      </c>
      <c r="K16" s="21">
        <f t="shared" si="1"/>
        <v>0</v>
      </c>
      <c r="L16" s="21">
        <f t="shared" ca="1" si="1"/>
        <v>0</v>
      </c>
      <c r="M16" s="21">
        <f t="shared" si="1"/>
        <v>0</v>
      </c>
      <c r="N16" s="21">
        <f t="shared" ca="1" si="1"/>
        <v>3273.7131935342541</v>
      </c>
      <c r="O16" s="21">
        <f>O5</f>
        <v>19.589043063364617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0.16099016560471016</v>
      </c>
      <c r="C18" s="25">
        <f ca="1">'EF ele_warmte'!B22</f>
        <v>9.8926177564326507E-4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4128.5191851455102</v>
      </c>
      <c r="C20" s="23">
        <f t="shared" ref="C20:P20" ca="1" si="2">C16*C18</f>
        <v>9.5393099794171987E-2</v>
      </c>
      <c r="D20" s="23">
        <f t="shared" ca="1" si="2"/>
        <v>4402.3109894058425</v>
      </c>
      <c r="E20" s="23">
        <f t="shared" si="2"/>
        <v>81.06253632885516</v>
      </c>
      <c r="F20" s="23">
        <f t="shared" ca="1" si="2"/>
        <v>798.35788928872648</v>
      </c>
      <c r="G20" s="23">
        <f t="shared" si="2"/>
        <v>0</v>
      </c>
      <c r="H20" s="23">
        <f t="shared" si="2"/>
        <v>0</v>
      </c>
      <c r="I20" s="23">
        <f t="shared" si="2"/>
        <v>0</v>
      </c>
      <c r="J20" s="23">
        <f t="shared" si="2"/>
        <v>2.9565253917961484E-2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6336.9504649999999</v>
      </c>
      <c r="C26" s="39">
        <f>IF(ISERROR(B26*3.6/1000000/'E Balans VL '!Z12*100),0,B26*3.6/1000000/'E Balans VL '!Z12*100)</f>
        <v>0.13443260647106423</v>
      </c>
      <c r="D26" s="237" t="s">
        <v>708</v>
      </c>
      <c r="F26" s="6"/>
    </row>
    <row r="27" spans="1:18">
      <c r="A27" s="231" t="s">
        <v>52</v>
      </c>
      <c r="B27" s="33">
        <f>IF(ISERROR(TER_horeca_ele_kWh/1000),0,TER_horeca_ele_kWh/1000)</f>
        <v>3313.4837850000004</v>
      </c>
      <c r="C27" s="39">
        <f>IF(ISERROR(B27*3.6/1000000/'E Balans VL '!Z9*100),0,B27*3.6/1000000/'E Balans VL '!Z9*100)</f>
        <v>0.24953468152833794</v>
      </c>
      <c r="D27" s="237" t="s">
        <v>708</v>
      </c>
      <c r="F27" s="6"/>
    </row>
    <row r="28" spans="1:18">
      <c r="A28" s="171" t="s">
        <v>51</v>
      </c>
      <c r="B28" s="33">
        <f>IF(ISERROR(TER_handel_ele_kWh/1000),0,TER_handel_ele_kWh/1000)</f>
        <v>8972.7201850000001</v>
      </c>
      <c r="C28" s="39">
        <f>IF(ISERROR(B28*3.6/1000000/'E Balans VL '!Z13*100),0,B28*3.6/1000000/'E Balans VL '!Z13*100)</f>
        <v>0.26044627414240079</v>
      </c>
      <c r="D28" s="237" t="s">
        <v>708</v>
      </c>
      <c r="F28" s="6"/>
    </row>
    <row r="29" spans="1:18">
      <c r="A29" s="231" t="s">
        <v>50</v>
      </c>
      <c r="B29" s="33">
        <f>IF(ISERROR(TER_gezond_ele_kWh/1000),0,TER_gezond_ele_kWh/1000)</f>
        <v>1258.2416580000001</v>
      </c>
      <c r="C29" s="39">
        <f>IF(ISERROR(B29*3.6/1000000/'E Balans VL '!Z10*100),0,B29*3.6/1000000/'E Balans VL '!Z10*100)</f>
        <v>0.12689517172359183</v>
      </c>
      <c r="D29" s="237" t="s">
        <v>708</v>
      </c>
      <c r="F29" s="6"/>
    </row>
    <row r="30" spans="1:18">
      <c r="A30" s="231" t="s">
        <v>49</v>
      </c>
      <c r="B30" s="33">
        <f>IF(ISERROR(TER_ander_ele_kWh/1000),0,TER_ander_ele_kWh/1000)</f>
        <v>4919.7336059999998</v>
      </c>
      <c r="C30" s="39">
        <f>IF(ISERROR(B30*3.6/1000000/'E Balans VL '!Z14*100),0,B30*3.6/1000000/'E Balans VL '!Z14*100)</f>
        <v>0.35699379058801567</v>
      </c>
      <c r="D30" s="237" t="s">
        <v>708</v>
      </c>
      <c r="F30" s="6"/>
    </row>
    <row r="31" spans="1:18">
      <c r="A31" s="231" t="s">
        <v>54</v>
      </c>
      <c r="B31" s="33">
        <f>IF(ISERROR(TER_onderwijs_ele_kWh/1000),0,TER_onderwijs_ele_kWh/1000)</f>
        <v>775.91305699999998</v>
      </c>
      <c r="C31" s="39">
        <f>IF(ISERROR(B31*3.6/1000000/'E Balans VL '!Z11*100),0,B31*3.6/1000000/'E Balans VL '!Z11*100)</f>
        <v>0.22116681789593567</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38889.665751000008</v>
      </c>
      <c r="C5" s="17">
        <f>IF(ISERROR('Eigen informatie GS &amp; warmtenet'!B61),0,'Eigen informatie GS &amp; warmtenet'!B61)</f>
        <v>0</v>
      </c>
      <c r="D5" s="30">
        <f>SUM(D6:D15)</f>
        <v>121313.504187964</v>
      </c>
      <c r="E5" s="17">
        <f>SUM(E6:E15)</f>
        <v>721.54013532087833</v>
      </c>
      <c r="F5" s="17">
        <f>SUM(F6:F15)</f>
        <v>4253.3297958875892</v>
      </c>
      <c r="G5" s="18"/>
      <c r="H5" s="17"/>
      <c r="I5" s="17"/>
      <c r="J5" s="17">
        <f>SUM(J6:J15)</f>
        <v>34.641815136515611</v>
      </c>
      <c r="K5" s="17"/>
      <c r="L5" s="17"/>
      <c r="M5" s="17"/>
      <c r="N5" s="17">
        <f>SUM(N6:N15)</f>
        <v>2055.0655291295902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7016.6596569999992</v>
      </c>
      <c r="C8" s="33"/>
      <c r="D8" s="37">
        <f>IF( ISERROR(IND_metaal_Gas_kWH/1000),0,IND_metaal_Gas_kWH/1000)*0.902</f>
        <v>3197.8433077579998</v>
      </c>
      <c r="E8" s="33">
        <f>C30*'E Balans VL '!I18/100/3.6*1000000</f>
        <v>50.620274673242548</v>
      </c>
      <c r="F8" s="33">
        <f>C30*'E Balans VL '!L18/100/3.6*1000000+C30*'E Balans VL '!N18/100/3.6*1000000</f>
        <v>663.64662541109112</v>
      </c>
      <c r="G8" s="34"/>
      <c r="H8" s="33"/>
      <c r="I8" s="33"/>
      <c r="J8" s="40">
        <f>C30*'E Balans VL '!D18/100/3.6*1000000+C30*'E Balans VL '!E18/100/3.6*1000000</f>
        <v>7.057397058209987</v>
      </c>
      <c r="K8" s="33"/>
      <c r="L8" s="33"/>
      <c r="M8" s="33"/>
      <c r="N8" s="33">
        <f>C30*'E Balans VL '!Y18/100/3.6*1000000</f>
        <v>88.709142313150025</v>
      </c>
      <c r="O8" s="33"/>
      <c r="P8" s="33"/>
      <c r="R8" s="32"/>
    </row>
    <row r="9" spans="1:18">
      <c r="A9" s="6" t="s">
        <v>32</v>
      </c>
      <c r="B9" s="37">
        <f t="shared" si="0"/>
        <v>1794.3092810000001</v>
      </c>
      <c r="C9" s="33"/>
      <c r="D9" s="37">
        <f>IF( ISERROR(IND_andere_gas_kWh/1000),0,IND_andere_gas_kWh/1000)*0.902</f>
        <v>1580.8499806</v>
      </c>
      <c r="E9" s="33">
        <f>C31*'E Balans VL '!I19/100/3.6*1000000</f>
        <v>497.2270946860736</v>
      </c>
      <c r="F9" s="33">
        <f>C31*'E Balans VL '!L19/100/3.6*1000000+C31*'E Balans VL '!N19/100/3.6*1000000</f>
        <v>1487.1274096250402</v>
      </c>
      <c r="G9" s="34"/>
      <c r="H9" s="33"/>
      <c r="I9" s="33"/>
      <c r="J9" s="40">
        <f>C31*'E Balans VL '!D19/100/3.6*1000000+C31*'E Balans VL '!E19/100/3.6*1000000</f>
        <v>0</v>
      </c>
      <c r="K9" s="33"/>
      <c r="L9" s="33"/>
      <c r="M9" s="33"/>
      <c r="N9" s="33">
        <f>C31*'E Balans VL '!Y19/100/3.6*1000000</f>
        <v>130.24490702217327</v>
      </c>
      <c r="O9" s="33"/>
      <c r="P9" s="33"/>
      <c r="R9" s="32"/>
    </row>
    <row r="10" spans="1:18">
      <c r="A10" s="6" t="s">
        <v>40</v>
      </c>
      <c r="B10" s="37">
        <f t="shared" si="0"/>
        <v>27281.996999999999</v>
      </c>
      <c r="C10" s="33"/>
      <c r="D10" s="37">
        <f>IF( ISERROR(IND_voed_gas_kWh/1000),0,IND_voed_gas_kWh/1000)*0.902</f>
        <v>115083.58246099</v>
      </c>
      <c r="E10" s="33">
        <f>C32*'E Balans VL '!I20/100/3.6*1000000</f>
        <v>48.298375694851181</v>
      </c>
      <c r="F10" s="33">
        <f>C32*'E Balans VL '!L20/100/3.6*1000000+C32*'E Balans VL '!N20/100/3.6*1000000</f>
        <v>1473.4696361704455</v>
      </c>
      <c r="G10" s="34"/>
      <c r="H10" s="33"/>
      <c r="I10" s="33"/>
      <c r="J10" s="40">
        <f>C32*'E Balans VL '!D20/100/3.6*1000000+C32*'E Balans VL '!E20/100/3.6*1000000</f>
        <v>0</v>
      </c>
      <c r="K10" s="33"/>
      <c r="L10" s="33"/>
      <c r="M10" s="33"/>
      <c r="N10" s="33">
        <f>C32*'E Balans VL '!Y20/100/3.6*1000000</f>
        <v>1585.29238090738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695.94899999999996</v>
      </c>
      <c r="C12" s="33"/>
      <c r="D12" s="37">
        <f>IF( ISERROR(IND_min_gas_kWh/1000),0,IND_min_gas_kWh/1000)*0.902</f>
        <v>129.47758999999999</v>
      </c>
      <c r="E12" s="33">
        <f>C34*'E Balans VL '!I22/100/3.6*1000000</f>
        <v>30.647111486264869</v>
      </c>
      <c r="F12" s="33">
        <f>C34*'E Balans VL '!L22/100/3.6*1000000+C34*'E Balans VL '!N22/100/3.6*1000000</f>
        <v>272.14416528980513</v>
      </c>
      <c r="G12" s="34"/>
      <c r="H12" s="33"/>
      <c r="I12" s="33"/>
      <c r="J12" s="40">
        <f>C34*'E Balans VL '!D22/100/3.6*1000000+C34*'E Balans VL '!E22/100/3.6*1000000</f>
        <v>0.2113148476165099</v>
      </c>
      <c r="K12" s="33"/>
      <c r="L12" s="33"/>
      <c r="M12" s="33"/>
      <c r="N12" s="33">
        <f>C34*'E Balans VL '!Y22/100/3.6*1000000</f>
        <v>172.15669180988513</v>
      </c>
      <c r="O12" s="33"/>
      <c r="P12" s="33"/>
      <c r="R12" s="32"/>
    </row>
    <row r="13" spans="1:18">
      <c r="A13" s="6" t="s">
        <v>38</v>
      </c>
      <c r="B13" s="37">
        <f t="shared" si="0"/>
        <v>99.05</v>
      </c>
      <c r="C13" s="33"/>
      <c r="D13" s="37">
        <f>IF( ISERROR(IND_papier_gas_kWh/1000),0,IND_papier_gas_kWh/1000)*0.902</f>
        <v>156.892978</v>
      </c>
      <c r="E13" s="33">
        <f>C35*'E Balans VL '!I23/100/3.6*1000000</f>
        <v>0.14573656180644115</v>
      </c>
      <c r="F13" s="33">
        <f>C35*'E Balans VL '!L23/100/3.6*1000000+C35*'E Balans VL '!N23/100/3.6*1000000</f>
        <v>1.0605587115541029</v>
      </c>
      <c r="G13" s="34"/>
      <c r="H13" s="33"/>
      <c r="I13" s="33"/>
      <c r="J13" s="40">
        <f>C35*'E Balans VL '!D23/100/3.6*1000000+C35*'E Balans VL '!E23/100/3.6*1000000</f>
        <v>10.836625443334118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2001.7008130000002</v>
      </c>
      <c r="C15" s="33"/>
      <c r="D15" s="37">
        <f>IF( ISERROR(IND_rest_gas_kWh/1000),0,IND_rest_gas_kWh/1000)*0.902</f>
        <v>1164.8578706160001</v>
      </c>
      <c r="E15" s="33">
        <f>C37*'E Balans VL '!I15/100/3.6*1000000</f>
        <v>94.601542218639679</v>
      </c>
      <c r="F15" s="33">
        <f>C37*'E Balans VL '!L15/100/3.6*1000000+C37*'E Balans VL '!N15/100/3.6*1000000</f>
        <v>355.88140067965315</v>
      </c>
      <c r="G15" s="34"/>
      <c r="H15" s="33"/>
      <c r="I15" s="33"/>
      <c r="J15" s="40">
        <f>C37*'E Balans VL '!D15/100/3.6*1000000+C37*'E Balans VL '!E15/100/3.6*1000000</f>
        <v>16.536477787354997</v>
      </c>
      <c r="K15" s="33"/>
      <c r="L15" s="33"/>
      <c r="M15" s="33"/>
      <c r="N15" s="33">
        <f>C37*'E Balans VL '!Y15/100/3.6*1000000</f>
        <v>78.662407077001902</v>
      </c>
      <c r="O15" s="33"/>
      <c r="P15" s="33"/>
      <c r="R15" s="32"/>
    </row>
    <row r="16" spans="1:18">
      <c r="A16" s="16" t="s">
        <v>478</v>
      </c>
      <c r="B16" s="247">
        <f>'lokale energieproductie'!N42+'lokale energieproductie'!N35</f>
        <v>0</v>
      </c>
      <c r="C16" s="247">
        <f>'lokale energieproductie'!O42+'lokale energieproductie'!O35</f>
        <v>0</v>
      </c>
      <c r="D16" s="308">
        <f>('lokale energieproductie'!P35+'lokale energieproductie'!P42)*(-1)</f>
        <v>0</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38889.665751000008</v>
      </c>
      <c r="C18" s="21">
        <f>C5+C16</f>
        <v>0</v>
      </c>
      <c r="D18" s="21">
        <f>MAX((D5+D16),0)</f>
        <v>121313.504187964</v>
      </c>
      <c r="E18" s="21">
        <f>MAX((E5+E16),0)</f>
        <v>721.54013532087833</v>
      </c>
      <c r="F18" s="21">
        <f>MAX((F5+F16),0)</f>
        <v>4253.3297958875892</v>
      </c>
      <c r="G18" s="21"/>
      <c r="H18" s="21"/>
      <c r="I18" s="21"/>
      <c r="J18" s="21">
        <f>MAX((J5+J16),0)</f>
        <v>34.641815136515611</v>
      </c>
      <c r="K18" s="21"/>
      <c r="L18" s="21">
        <f>MAX((L5+L16),0)</f>
        <v>0</v>
      </c>
      <c r="M18" s="21"/>
      <c r="N18" s="21">
        <f>MAX((N5+N16),0)</f>
        <v>2055.0655291295902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0.16099016560471016</v>
      </c>
      <c r="C20" s="25">
        <f ca="1">'EF ele_warmte'!B22</f>
        <v>9.8926177564326507E-4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6260.8537295653159</v>
      </c>
      <c r="C22" s="23">
        <f ca="1">C18*C20</f>
        <v>0</v>
      </c>
      <c r="D22" s="23">
        <f>D18*D20</f>
        <v>24505.327845968732</v>
      </c>
      <c r="E22" s="23">
        <f>E18*E20</f>
        <v>163.78961071783939</v>
      </c>
      <c r="F22" s="23">
        <f>F18*F20</f>
        <v>1135.6390555019864</v>
      </c>
      <c r="G22" s="23"/>
      <c r="H22" s="23"/>
      <c r="I22" s="23"/>
      <c r="J22" s="23">
        <f>J18*J20</f>
        <v>12.263202558326526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7016.6596569999992</v>
      </c>
      <c r="C30" s="39">
        <f>IF(ISERROR(B30*3.6/1000000/'E Balans VL '!Z18*100),0,B30*3.6/1000000/'E Balans VL '!Z18*100)</f>
        <v>0.40506081357007845</v>
      </c>
      <c r="D30" s="237" t="s">
        <v>708</v>
      </c>
    </row>
    <row r="31" spans="1:18">
      <c r="A31" s="6" t="s">
        <v>32</v>
      </c>
      <c r="B31" s="37">
        <f>IF( ISERROR(IND_ander_ele_kWh/1000),0,IND_ander_ele_kWh/1000)</f>
        <v>1794.3092810000001</v>
      </c>
      <c r="C31" s="39">
        <f>IF(ISERROR(B31*3.6/1000000/'E Balans VL '!Z19*100),0,B31*3.6/1000000/'E Balans VL '!Z19*100)</f>
        <v>9.024794080596793E-2</v>
      </c>
      <c r="D31" s="237" t="s">
        <v>708</v>
      </c>
    </row>
    <row r="32" spans="1:18">
      <c r="A32" s="171" t="s">
        <v>40</v>
      </c>
      <c r="B32" s="37">
        <f>IF( ISERROR(IND_voed_ele_kWh/1000),0,IND_voed_ele_kWh/1000)</f>
        <v>27281.996999999999</v>
      </c>
      <c r="C32" s="39">
        <f>IF(ISERROR(B32*3.6/1000000/'E Balans VL '!Z20*100),0,B32*3.6/1000000/'E Balans VL '!Z20*100)</f>
        <v>0.90865250736645009</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695.94899999999996</v>
      </c>
      <c r="C34" s="39">
        <f>IF(ISERROR(B34*3.6/1000000/'E Balans VL '!Z22*100),0,B34*3.6/1000000/'E Balans VL '!Z22*100)</f>
        <v>0.12981799512276374</v>
      </c>
      <c r="D34" s="237" t="s">
        <v>708</v>
      </c>
    </row>
    <row r="35" spans="1:5">
      <c r="A35" s="171" t="s">
        <v>38</v>
      </c>
      <c r="B35" s="37">
        <f>IF( ISERROR(IND_papier_ele_kWh/1000),0,IND_papier_ele_kWh/1000)</f>
        <v>99.05</v>
      </c>
      <c r="C35" s="39">
        <f>IF(ISERROR(B35*3.6/1000000/'E Balans VL '!Z22*100),0,B35*3.6/1000000/'E Balans VL '!Z22*100)</f>
        <v>1.847617054828694E-2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2001.7008130000002</v>
      </c>
      <c r="C37" s="39">
        <f>IF(ISERROR(B37*3.6/1000000/'E Balans VL '!Z15*100),0,B37*3.6/1000000/'E Balans VL '!Z15*100)</f>
        <v>1.5618740254882505E-2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6108.8710000000001</v>
      </c>
      <c r="C5" s="17">
        <f>'Eigen informatie GS &amp; warmtenet'!B62</f>
        <v>0</v>
      </c>
      <c r="D5" s="30">
        <f>IF(ISERROR(SUM(LB_lb_gas_kWh,LB_rest_gas_kWh)/1000),0,SUM(LB_lb_gas_kWh,LB_rest_gas_kWh)/1000)*0.902</f>
        <v>6529.0324090640006</v>
      </c>
      <c r="E5" s="17">
        <f>B17*'E Balans VL '!I25/3.6*1000000/100</f>
        <v>190.65584945286352</v>
      </c>
      <c r="F5" s="17">
        <f>B17*('E Balans VL '!L25/3.6*1000000+'E Balans VL '!N25/3.6*1000000)/100</f>
        <v>21589.426836474118</v>
      </c>
      <c r="G5" s="18"/>
      <c r="H5" s="17"/>
      <c r="I5" s="17"/>
      <c r="J5" s="17">
        <f>('E Balans VL '!D25+'E Balans VL '!E25)/3.6*1000000*landbouw!B17/100</f>
        <v>1683.036325149104</v>
      </c>
      <c r="K5" s="17"/>
      <c r="L5" s="17">
        <f>L6*(-1)</f>
        <v>0</v>
      </c>
      <c r="M5" s="17"/>
      <c r="N5" s="17">
        <f>N6*(-1)</f>
        <v>46136.571428571435</v>
      </c>
      <c r="O5" s="17"/>
      <c r="P5" s="17"/>
      <c r="R5" s="32"/>
    </row>
    <row r="6" spans="1:18">
      <c r="A6" s="16" t="s">
        <v>478</v>
      </c>
      <c r="B6" s="17" t="s">
        <v>210</v>
      </c>
      <c r="C6" s="17">
        <f>'lokale energieproductie'!O44+'lokale energieproductie'!O37</f>
        <v>23068.285714285714</v>
      </c>
      <c r="D6" s="308">
        <f>('lokale energieproductie'!P37+'lokale energieproductie'!P44)*(-1)</f>
        <v>0</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-46136.571428571435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6108.8710000000001</v>
      </c>
      <c r="C8" s="21">
        <f>C5+C6</f>
        <v>23068.285714285714</v>
      </c>
      <c r="D8" s="21">
        <f>MAX((D5+D6),0)</f>
        <v>6529.0324090640006</v>
      </c>
      <c r="E8" s="21">
        <f>MAX((E5+E6),0)</f>
        <v>190.65584945286352</v>
      </c>
      <c r="F8" s="21">
        <f>MAX((F5+F6),0)</f>
        <v>21589.426836474118</v>
      </c>
      <c r="G8" s="21"/>
      <c r="H8" s="21"/>
      <c r="I8" s="21"/>
      <c r="J8" s="21">
        <f>MAX((J5+J6),0)</f>
        <v>1683.036325149104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0.16099016560471016</v>
      </c>
      <c r="C10" s="31">
        <f ca="1">'EF ele_warmte'!B22</f>
        <v>9.8926177564326507E-4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983.4681539478114</v>
      </c>
      <c r="C12" s="23">
        <f ca="1">C8*C10</f>
        <v>22.82057328676045</v>
      </c>
      <c r="D12" s="23">
        <f>D8*D10</f>
        <v>1318.8645466309283</v>
      </c>
      <c r="E12" s="23">
        <f>E8*E10</f>
        <v>43.278877825800024</v>
      </c>
      <c r="F12" s="23">
        <f>F8*F10</f>
        <v>5764.3769653385898</v>
      </c>
      <c r="G12" s="23"/>
      <c r="H12" s="23"/>
      <c r="I12" s="23"/>
      <c r="J12" s="23">
        <f>J8*J10</f>
        <v>595.79485910278277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0.9081274666854523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979.77244519832129</v>
      </c>
      <c r="C26" s="247">
        <f>B26*'GWP N2O_CH4'!B5</f>
        <v>20575.221349164749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381.55148015400573</v>
      </c>
      <c r="C27" s="247">
        <f>B27*'GWP N2O_CH4'!B5</f>
        <v>8012.5810832341203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12.573234251023083</v>
      </c>
      <c r="C28" s="247">
        <f>B28*'GWP N2O_CH4'!B4</f>
        <v>3897.7026178171554</v>
      </c>
      <c r="D28" s="50"/>
    </row>
    <row r="29" spans="1:4">
      <c r="A29" s="41" t="s">
        <v>276</v>
      </c>
      <c r="B29" s="247">
        <f>B34*'ha_N2O bodem landbouw'!B4</f>
        <v>27.472029913446125</v>
      </c>
      <c r="C29" s="247">
        <f>B29*'GWP N2O_CH4'!B4</f>
        <v>8516.3292731682996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6.0241215372416456E-3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1.9654214922387145E-4</v>
      </c>
      <c r="C5" s="437" t="s">
        <v>210</v>
      </c>
      <c r="D5" s="422">
        <f>SUM(D6:D11)</f>
        <v>7.0510810410997192E-4</v>
      </c>
      <c r="E5" s="422">
        <f>SUM(E6:E11)</f>
        <v>5.9550730052988874E-4</v>
      </c>
      <c r="F5" s="435" t="s">
        <v>210</v>
      </c>
      <c r="G5" s="422">
        <f>SUM(G6:G11)</f>
        <v>0.27596549802699644</v>
      </c>
      <c r="H5" s="422">
        <f>SUM(H6:H11)</f>
        <v>6.5780484224208097E-2</v>
      </c>
      <c r="I5" s="437" t="s">
        <v>210</v>
      </c>
      <c r="J5" s="437" t="s">
        <v>210</v>
      </c>
      <c r="K5" s="437" t="s">
        <v>210</v>
      </c>
      <c r="L5" s="437" t="s">
        <v>210</v>
      </c>
      <c r="M5" s="422">
        <f>SUM(M6:M11)</f>
        <v>2.0262495043936034E-2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1.6436476922356084E-4</v>
      </c>
      <c r="C6" s="423"/>
      <c r="D6" s="890">
        <f>vkm_GW_PW*SUMIFS(TableVerdeelsleutelVkm[CNG],TableVerdeelsleutelVkm[Voertuigtype],"Lichte voertuigen")*SUMIFS(TableECFTransport[EnergieConsumptieFactor (PJ per km)],TableECFTransport[Index],CONCATENATE($A6,"_CNG_CNG"))</f>
        <v>5.2948506279617083E-4</v>
      </c>
      <c r="E6" s="890">
        <f>vkm_GW_PW*SUMIFS(TableVerdeelsleutelVkm[LPG],TableVerdeelsleutelVkm[Voertuigtype],"Lichte voertuigen")*SUMIFS(TableECFTransport[EnergieConsumptieFactor (PJ per km)],TableECFTransport[Index],CONCATENATE($A6,"_LPG_LPG"))</f>
        <v>4.5280323966660432E-4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0.14627783270744812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4.9601915947378436E-2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1.1715897417408815E-2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8.2244073051123287E-2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1.176016398744406E-6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4.7407462757133442E-3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3.2177380000310603E-5</v>
      </c>
      <c r="C8" s="423"/>
      <c r="D8" s="425">
        <f>vkm_NGW_PW*SUMIFS(TableVerdeelsleutelVkm[CNG],TableVerdeelsleutelVkm[Voertuigtype],"Lichte voertuigen")*SUMIFS(TableECFTransport[EnergieConsumptieFactor (PJ per km)],TableECFTransport[Index],CONCATENATE($A8,"_CNG_CNG"))</f>
        <v>1.7562304131380112E-4</v>
      </c>
      <c r="E8" s="425">
        <f>vkm_NGW_PW*SUMIFS(TableVerdeelsleutelVkm[LPG],TableVerdeelsleutelVkm[Voertuigtype],"Lichte voertuigen")*SUMIFS(TableECFTransport[EnergieConsumptieFactor (PJ per km)],TableECFTransport[Index],CONCATENATE($A8,"_LPG_LPG"))</f>
        <v>1.4270406086328439E-4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4.307809083590651E-2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1.6177313114514352E-2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3.5542122362071686E-3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4.3655014325185244E-3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7.9145916576098685E-8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2.5163911460670548E-4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54.595041451075403</v>
      </c>
      <c r="C14" s="21"/>
      <c r="D14" s="21">
        <f t="shared" ref="D14:M14" si="0">((D5)*10^9/3600)+D12</f>
        <v>195.86336225276997</v>
      </c>
      <c r="E14" s="21">
        <f t="shared" si="0"/>
        <v>165.41869459163576</v>
      </c>
      <c r="F14" s="21"/>
      <c r="G14" s="21">
        <f t="shared" si="0"/>
        <v>76657.082785276783</v>
      </c>
      <c r="H14" s="21">
        <f t="shared" si="0"/>
        <v>18272.356728946692</v>
      </c>
      <c r="I14" s="21"/>
      <c r="J14" s="21"/>
      <c r="K14" s="21"/>
      <c r="L14" s="21"/>
      <c r="M14" s="21">
        <f t="shared" si="0"/>
        <v>5628.4708455377868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0.16099016560471016</v>
      </c>
      <c r="C16" s="56">
        <f ca="1">'EF ele_warmte'!B22</f>
        <v>9.8926177564326507E-4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8.7892647644046455</v>
      </c>
      <c r="C18" s="23"/>
      <c r="D18" s="23">
        <f t="shared" ref="D18:M18" si="1">D14*D16</f>
        <v>39.564399175059535</v>
      </c>
      <c r="E18" s="23">
        <f t="shared" si="1"/>
        <v>37.550043672301321</v>
      </c>
      <c r="F18" s="23"/>
      <c r="G18" s="23">
        <f t="shared" si="1"/>
        <v>20467.441103668902</v>
      </c>
      <c r="H18" s="23">
        <f t="shared" si="1"/>
        <v>4549.8168255077262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7.0375617875178447E-3</v>
      </c>
      <c r="H50" s="319">
        <f t="shared" si="2"/>
        <v>0</v>
      </c>
      <c r="I50" s="319">
        <f t="shared" si="2"/>
        <v>0</v>
      </c>
      <c r="J50" s="319">
        <f t="shared" si="2"/>
        <v>0</v>
      </c>
      <c r="K50" s="319">
        <f t="shared" si="2"/>
        <v>0</v>
      </c>
      <c r="L50" s="319">
        <f t="shared" si="2"/>
        <v>0</v>
      </c>
      <c r="M50" s="319">
        <f t="shared" si="2"/>
        <v>3.9108692356841881E-4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7.0375617875178447E-3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3.9108692356841881E-4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1954.8782743105123</v>
      </c>
      <c r="H54" s="21">
        <f t="shared" si="3"/>
        <v>0</v>
      </c>
      <c r="I54" s="21">
        <f t="shared" si="3"/>
        <v>0</v>
      </c>
      <c r="J54" s="21">
        <f t="shared" si="3"/>
        <v>0</v>
      </c>
      <c r="K54" s="21">
        <f t="shared" si="3"/>
        <v>0</v>
      </c>
      <c r="L54" s="21">
        <f t="shared" si="3"/>
        <v>0</v>
      </c>
      <c r="M54" s="21">
        <f t="shared" si="3"/>
        <v>108.63525654678301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0.16099016560471016</v>
      </c>
      <c r="C56" s="56">
        <f ca="1">'EF ele_warmte'!B22</f>
        <v>9.8926177564326507E-4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521.95249924090683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27049.060755999999</v>
      </c>
      <c r="D10" s="686">
        <f ca="1">tertiair!C16</f>
        <v>96.428571428571431</v>
      </c>
      <c r="E10" s="686">
        <f ca="1">tertiair!D16</f>
        <v>21793.618759434863</v>
      </c>
      <c r="F10" s="686">
        <f>tertiair!E16</f>
        <v>357.10368426808441</v>
      </c>
      <c r="G10" s="686">
        <f ca="1">tertiair!F16</f>
        <v>2990.1044542648929</v>
      </c>
      <c r="H10" s="686">
        <f>tertiair!G16</f>
        <v>0</v>
      </c>
      <c r="I10" s="686">
        <f>tertiair!H16</f>
        <v>0</v>
      </c>
      <c r="J10" s="686">
        <f>tertiair!I16</f>
        <v>0</v>
      </c>
      <c r="K10" s="686">
        <f>tertiair!J16</f>
        <v>8.3517666434919452E-2</v>
      </c>
      <c r="L10" s="686">
        <f>tertiair!K16</f>
        <v>0</v>
      </c>
      <c r="M10" s="686">
        <f ca="1">tertiair!L16</f>
        <v>0</v>
      </c>
      <c r="N10" s="686">
        <f>tertiair!M16</f>
        <v>0</v>
      </c>
      <c r="O10" s="686">
        <f ca="1">tertiair!N16</f>
        <v>3273.7131935342541</v>
      </c>
      <c r="P10" s="686">
        <f>tertiair!O16</f>
        <v>19.589043063364617</v>
      </c>
      <c r="Q10" s="687">
        <f>tertiair!P16</f>
        <v>315.23482983897009</v>
      </c>
      <c r="R10" s="689">
        <f ca="1">SUM(C10:Q10)</f>
        <v>55894.936809499435</v>
      </c>
      <c r="S10" s="67"/>
    </row>
    <row r="11" spans="1:19" s="448" customFormat="1">
      <c r="A11" s="808" t="s">
        <v>224</v>
      </c>
      <c r="B11" s="813"/>
      <c r="C11" s="686">
        <f>huishoudens!B8</f>
        <v>27338.571145260139</v>
      </c>
      <c r="D11" s="686">
        <f>huishoudens!C8</f>
        <v>0</v>
      </c>
      <c r="E11" s="686">
        <f>huishoudens!D8</f>
        <v>46144.798686800001</v>
      </c>
      <c r="F11" s="686">
        <f>huishoudens!E8</f>
        <v>11879.697183359938</v>
      </c>
      <c r="G11" s="686">
        <f>huishoudens!F8</f>
        <v>27517.566676046652</v>
      </c>
      <c r="H11" s="686">
        <f>huishoudens!G8</f>
        <v>0</v>
      </c>
      <c r="I11" s="686">
        <f>huishoudens!H8</f>
        <v>0</v>
      </c>
      <c r="J11" s="686">
        <f>huishoudens!I8</f>
        <v>0</v>
      </c>
      <c r="K11" s="686">
        <f>huishoudens!J8</f>
        <v>0</v>
      </c>
      <c r="L11" s="686">
        <f>huishoudens!K8</f>
        <v>0</v>
      </c>
      <c r="M11" s="686">
        <f>huishoudens!L8</f>
        <v>0</v>
      </c>
      <c r="N11" s="686">
        <f>huishoudens!M8</f>
        <v>0</v>
      </c>
      <c r="O11" s="686">
        <f>huishoudens!N8</f>
        <v>15563.503338055883</v>
      </c>
      <c r="P11" s="686">
        <f>huishoudens!O8</f>
        <v>523.76496991817646</v>
      </c>
      <c r="Q11" s="687">
        <f>huishoudens!P8</f>
        <v>758.44507015332169</v>
      </c>
      <c r="R11" s="689">
        <f>SUM(C11:Q11)</f>
        <v>129726.34706959412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38889.665751000008</v>
      </c>
      <c r="D13" s="686">
        <f>industrie!C18</f>
        <v>0</v>
      </c>
      <c r="E13" s="686">
        <f>industrie!D18</f>
        <v>121313.504187964</v>
      </c>
      <c r="F13" s="686">
        <f>industrie!E18</f>
        <v>721.54013532087833</v>
      </c>
      <c r="G13" s="686">
        <f>industrie!F18</f>
        <v>4253.3297958875892</v>
      </c>
      <c r="H13" s="686">
        <f>industrie!G18</f>
        <v>0</v>
      </c>
      <c r="I13" s="686">
        <f>industrie!H18</f>
        <v>0</v>
      </c>
      <c r="J13" s="686">
        <f>industrie!I18</f>
        <v>0</v>
      </c>
      <c r="K13" s="686">
        <f>industrie!J18</f>
        <v>34.641815136515611</v>
      </c>
      <c r="L13" s="686">
        <f>industrie!K18</f>
        <v>0</v>
      </c>
      <c r="M13" s="686">
        <f>industrie!L18</f>
        <v>0</v>
      </c>
      <c r="N13" s="686">
        <f>industrie!M18</f>
        <v>0</v>
      </c>
      <c r="O13" s="686">
        <f>industrie!N18</f>
        <v>2055.0655291295902</v>
      </c>
      <c r="P13" s="686">
        <f>industrie!O18</f>
        <v>0</v>
      </c>
      <c r="Q13" s="687">
        <f>industrie!P18</f>
        <v>0</v>
      </c>
      <c r="R13" s="689">
        <f>SUM(C13:Q13)</f>
        <v>167267.74721443857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93277.297652260138</v>
      </c>
      <c r="D16" s="722">
        <f t="shared" ref="D16:R16" ca="1" si="0">SUM(D9:D15)</f>
        <v>96.428571428571431</v>
      </c>
      <c r="E16" s="722">
        <f t="shared" ca="1" si="0"/>
        <v>189251.92163419886</v>
      </c>
      <c r="F16" s="722">
        <f t="shared" si="0"/>
        <v>12958.3410029489</v>
      </c>
      <c r="G16" s="722">
        <f t="shared" ca="1" si="0"/>
        <v>34761.000926199136</v>
      </c>
      <c r="H16" s="722">
        <f t="shared" si="0"/>
        <v>0</v>
      </c>
      <c r="I16" s="722">
        <f t="shared" si="0"/>
        <v>0</v>
      </c>
      <c r="J16" s="722">
        <f t="shared" si="0"/>
        <v>0</v>
      </c>
      <c r="K16" s="722">
        <f t="shared" si="0"/>
        <v>34.725332802950533</v>
      </c>
      <c r="L16" s="722">
        <f t="shared" si="0"/>
        <v>0</v>
      </c>
      <c r="M16" s="722">
        <f t="shared" ca="1" si="0"/>
        <v>0</v>
      </c>
      <c r="N16" s="722">
        <f t="shared" si="0"/>
        <v>0</v>
      </c>
      <c r="O16" s="722">
        <f t="shared" ca="1" si="0"/>
        <v>20892.282060719728</v>
      </c>
      <c r="P16" s="722">
        <f t="shared" si="0"/>
        <v>543.35401298154113</v>
      </c>
      <c r="Q16" s="722">
        <f t="shared" si="0"/>
        <v>1073.6798999922917</v>
      </c>
      <c r="R16" s="722">
        <f t="shared" ca="1" si="0"/>
        <v>352889.0310935321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1954.8782743105123</v>
      </c>
      <c r="I19" s="686">
        <f>transport!H54</f>
        <v>0</v>
      </c>
      <c r="J19" s="686">
        <f>transport!I54</f>
        <v>0</v>
      </c>
      <c r="K19" s="686">
        <f>transport!J54</f>
        <v>0</v>
      </c>
      <c r="L19" s="686">
        <f>transport!K54</f>
        <v>0</v>
      </c>
      <c r="M19" s="686">
        <f>transport!L54</f>
        <v>0</v>
      </c>
      <c r="N19" s="686">
        <f>transport!M54</f>
        <v>108.63525654678301</v>
      </c>
      <c r="O19" s="686">
        <f>transport!N54</f>
        <v>0</v>
      </c>
      <c r="P19" s="686">
        <f>transport!O54</f>
        <v>0</v>
      </c>
      <c r="Q19" s="687">
        <f>transport!P54</f>
        <v>0</v>
      </c>
      <c r="R19" s="689">
        <f>SUM(C19:Q19)</f>
        <v>2063.5135308572953</v>
      </c>
      <c r="S19" s="67"/>
    </row>
    <row r="20" spans="1:19" s="448" customFormat="1">
      <c r="A20" s="808" t="s">
        <v>306</v>
      </c>
      <c r="B20" s="813"/>
      <c r="C20" s="686">
        <f>transport!B14</f>
        <v>54.595041451075403</v>
      </c>
      <c r="D20" s="686">
        <f>transport!C14</f>
        <v>0</v>
      </c>
      <c r="E20" s="686">
        <f>transport!D14</f>
        <v>195.86336225276997</v>
      </c>
      <c r="F20" s="686">
        <f>transport!E14</f>
        <v>165.41869459163576</v>
      </c>
      <c r="G20" s="686">
        <f>transport!F14</f>
        <v>0</v>
      </c>
      <c r="H20" s="686">
        <f>transport!G14</f>
        <v>76657.082785276783</v>
      </c>
      <c r="I20" s="686">
        <f>transport!H14</f>
        <v>18272.356728946692</v>
      </c>
      <c r="J20" s="686">
        <f>transport!I14</f>
        <v>0</v>
      </c>
      <c r="K20" s="686">
        <f>transport!J14</f>
        <v>0</v>
      </c>
      <c r="L20" s="686">
        <f>transport!K14</f>
        <v>0</v>
      </c>
      <c r="M20" s="686">
        <f>transport!L14</f>
        <v>0</v>
      </c>
      <c r="N20" s="686">
        <f>transport!M14</f>
        <v>5628.4708455377868</v>
      </c>
      <c r="O20" s="686">
        <f>transport!N14</f>
        <v>0</v>
      </c>
      <c r="P20" s="686">
        <f>transport!O14</f>
        <v>0</v>
      </c>
      <c r="Q20" s="687">
        <f>transport!P14</f>
        <v>0</v>
      </c>
      <c r="R20" s="689">
        <f>SUM(C20:Q20)</f>
        <v>100973.78745805674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54.595041451075403</v>
      </c>
      <c r="D22" s="811">
        <f t="shared" ref="D22:R22" si="1">SUM(D18:D21)</f>
        <v>0</v>
      </c>
      <c r="E22" s="811">
        <f t="shared" si="1"/>
        <v>195.86336225276997</v>
      </c>
      <c r="F22" s="811">
        <f t="shared" si="1"/>
        <v>165.41869459163576</v>
      </c>
      <c r="G22" s="811">
        <f t="shared" si="1"/>
        <v>0</v>
      </c>
      <c r="H22" s="811">
        <f t="shared" si="1"/>
        <v>78611.961059587295</v>
      </c>
      <c r="I22" s="811">
        <f t="shared" si="1"/>
        <v>18272.356728946692</v>
      </c>
      <c r="J22" s="811">
        <f t="shared" si="1"/>
        <v>0</v>
      </c>
      <c r="K22" s="811">
        <f t="shared" si="1"/>
        <v>0</v>
      </c>
      <c r="L22" s="811">
        <f t="shared" si="1"/>
        <v>0</v>
      </c>
      <c r="M22" s="811">
        <f t="shared" si="1"/>
        <v>0</v>
      </c>
      <c r="N22" s="811">
        <f t="shared" si="1"/>
        <v>5737.10610208457</v>
      </c>
      <c r="O22" s="811">
        <f t="shared" si="1"/>
        <v>0</v>
      </c>
      <c r="P22" s="811">
        <f t="shared" si="1"/>
        <v>0</v>
      </c>
      <c r="Q22" s="811">
        <f t="shared" si="1"/>
        <v>0</v>
      </c>
      <c r="R22" s="811">
        <f t="shared" si="1"/>
        <v>103037.30098891404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6108.8710000000001</v>
      </c>
      <c r="D24" s="686">
        <f>+landbouw!C8</f>
        <v>23068.285714285714</v>
      </c>
      <c r="E24" s="686">
        <f>+landbouw!D8</f>
        <v>6529.0324090640006</v>
      </c>
      <c r="F24" s="686">
        <f>+landbouw!E8</f>
        <v>190.65584945286352</v>
      </c>
      <c r="G24" s="686">
        <f>+landbouw!F8</f>
        <v>21589.426836474118</v>
      </c>
      <c r="H24" s="686">
        <f>+landbouw!G8</f>
        <v>0</v>
      </c>
      <c r="I24" s="686">
        <f>+landbouw!H8</f>
        <v>0</v>
      </c>
      <c r="J24" s="686">
        <f>+landbouw!I8</f>
        <v>0</v>
      </c>
      <c r="K24" s="686">
        <f>+landbouw!J8</f>
        <v>1683.036325149104</v>
      </c>
      <c r="L24" s="686">
        <f>+landbouw!K8</f>
        <v>0</v>
      </c>
      <c r="M24" s="686">
        <f>+landbouw!L8</f>
        <v>0</v>
      </c>
      <c r="N24" s="686">
        <f>+landbouw!M8</f>
        <v>0</v>
      </c>
      <c r="O24" s="686">
        <f>+landbouw!N8</f>
        <v>0</v>
      </c>
      <c r="P24" s="686">
        <f>+landbouw!O8</f>
        <v>0</v>
      </c>
      <c r="Q24" s="687">
        <f>+landbouw!P8</f>
        <v>0</v>
      </c>
      <c r="R24" s="689">
        <f>SUM(C24:Q24)</f>
        <v>59169.30813442581</v>
      </c>
      <c r="S24" s="67"/>
    </row>
    <row r="25" spans="1:19" s="448" customFormat="1" ht="15" thickBot="1">
      <c r="A25" s="830" t="s">
        <v>724</v>
      </c>
      <c r="B25" s="949"/>
      <c r="C25" s="950">
        <f>IF(Onbekend_ele_kWh="---",0,Onbekend_ele_kWh)/1000+IF(REST_rest_ele_kWh="---",0,REST_rest_ele_kWh)/1000</f>
        <v>789.47305000000006</v>
      </c>
      <c r="D25" s="950"/>
      <c r="E25" s="950">
        <f>IF(onbekend_gas_kWh="---",0,onbekend_gas_kWh)/1000+IF(REST_rest_gas_kWh="---",0,REST_rest_gas_kWh)/1000</f>
        <v>1581.0832</v>
      </c>
      <c r="F25" s="950"/>
      <c r="G25" s="950"/>
      <c r="H25" s="950"/>
      <c r="I25" s="950"/>
      <c r="J25" s="950"/>
      <c r="K25" s="950"/>
      <c r="L25" s="950"/>
      <c r="M25" s="950"/>
      <c r="N25" s="950"/>
      <c r="O25" s="950"/>
      <c r="P25" s="950"/>
      <c r="Q25" s="951"/>
      <c r="R25" s="689">
        <f>SUM(C25:Q25)</f>
        <v>2370.5562500000001</v>
      </c>
      <c r="S25" s="67"/>
    </row>
    <row r="26" spans="1:19" s="448" customFormat="1" ht="15.75" thickBot="1">
      <c r="A26" s="694" t="s">
        <v>725</v>
      </c>
      <c r="B26" s="816"/>
      <c r="C26" s="811">
        <f>SUM(C24:C25)</f>
        <v>6898.3440499999997</v>
      </c>
      <c r="D26" s="811">
        <f t="shared" ref="D26:R26" si="2">SUM(D24:D25)</f>
        <v>23068.285714285714</v>
      </c>
      <c r="E26" s="811">
        <f t="shared" si="2"/>
        <v>8110.1156090640006</v>
      </c>
      <c r="F26" s="811">
        <f t="shared" si="2"/>
        <v>190.65584945286352</v>
      </c>
      <c r="G26" s="811">
        <f t="shared" si="2"/>
        <v>21589.426836474118</v>
      </c>
      <c r="H26" s="811">
        <f t="shared" si="2"/>
        <v>0</v>
      </c>
      <c r="I26" s="811">
        <f t="shared" si="2"/>
        <v>0</v>
      </c>
      <c r="J26" s="811">
        <f t="shared" si="2"/>
        <v>0</v>
      </c>
      <c r="K26" s="811">
        <f t="shared" si="2"/>
        <v>1683.036325149104</v>
      </c>
      <c r="L26" s="811">
        <f t="shared" si="2"/>
        <v>0</v>
      </c>
      <c r="M26" s="811">
        <f t="shared" si="2"/>
        <v>0</v>
      </c>
      <c r="N26" s="811">
        <f t="shared" si="2"/>
        <v>0</v>
      </c>
      <c r="O26" s="811">
        <f t="shared" si="2"/>
        <v>0</v>
      </c>
      <c r="P26" s="811">
        <f t="shared" si="2"/>
        <v>0</v>
      </c>
      <c r="Q26" s="811">
        <f t="shared" si="2"/>
        <v>0</v>
      </c>
      <c r="R26" s="811">
        <f t="shared" si="2"/>
        <v>61539.864384425811</v>
      </c>
      <c r="S26" s="67"/>
    </row>
    <row r="27" spans="1:19" s="448" customFormat="1" ht="17.25" thickTop="1" thickBot="1">
      <c r="A27" s="695" t="s">
        <v>115</v>
      </c>
      <c r="B27" s="803"/>
      <c r="C27" s="696">
        <f ca="1">C22+C16+C26</f>
        <v>100230.23674371121</v>
      </c>
      <c r="D27" s="696">
        <f t="shared" ref="D27:R27" ca="1" si="3">D22+D16+D26</f>
        <v>23164.714285714286</v>
      </c>
      <c r="E27" s="696">
        <f t="shared" ca="1" si="3"/>
        <v>197557.90060551564</v>
      </c>
      <c r="F27" s="696">
        <f t="shared" si="3"/>
        <v>13314.415546993399</v>
      </c>
      <c r="G27" s="696">
        <f t="shared" ca="1" si="3"/>
        <v>56350.427762673251</v>
      </c>
      <c r="H27" s="696">
        <f t="shared" si="3"/>
        <v>78611.961059587295</v>
      </c>
      <c r="I27" s="696">
        <f t="shared" si="3"/>
        <v>18272.356728946692</v>
      </c>
      <c r="J27" s="696">
        <f t="shared" si="3"/>
        <v>0</v>
      </c>
      <c r="K27" s="696">
        <f t="shared" si="3"/>
        <v>1717.7616579520545</v>
      </c>
      <c r="L27" s="696">
        <f t="shared" si="3"/>
        <v>0</v>
      </c>
      <c r="M27" s="696">
        <f t="shared" ca="1" si="3"/>
        <v>0</v>
      </c>
      <c r="N27" s="696">
        <f t="shared" si="3"/>
        <v>5737.10610208457</v>
      </c>
      <c r="O27" s="696">
        <f t="shared" ca="1" si="3"/>
        <v>20892.282060719728</v>
      </c>
      <c r="P27" s="696">
        <f t="shared" si="3"/>
        <v>543.35401298154113</v>
      </c>
      <c r="Q27" s="696">
        <f t="shared" si="3"/>
        <v>1073.6798999922917</v>
      </c>
      <c r="R27" s="696">
        <f t="shared" ca="1" si="3"/>
        <v>517466.19646687194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4354.6327705603062</v>
      </c>
      <c r="D40" s="686">
        <f ca="1">tertiair!C20</f>
        <v>9.5393099794171987E-2</v>
      </c>
      <c r="E40" s="686">
        <f ca="1">tertiair!D20</f>
        <v>4402.3109894058425</v>
      </c>
      <c r="F40" s="686">
        <f>tertiair!E20</f>
        <v>81.06253632885516</v>
      </c>
      <c r="G40" s="686">
        <f ca="1">tertiair!F20</f>
        <v>798.35788928872648</v>
      </c>
      <c r="H40" s="686">
        <f>tertiair!G20</f>
        <v>0</v>
      </c>
      <c r="I40" s="686">
        <f>tertiair!H20</f>
        <v>0</v>
      </c>
      <c r="J40" s="686">
        <f>tertiair!I20</f>
        <v>0</v>
      </c>
      <c r="K40" s="686">
        <f>tertiair!J20</f>
        <v>2.9565253917961484E-2</v>
      </c>
      <c r="L40" s="686">
        <f>tertiair!K20</f>
        <v>0</v>
      </c>
      <c r="M40" s="686">
        <f ca="1">tertiair!L20</f>
        <v>0</v>
      </c>
      <c r="N40" s="686">
        <f>tertiair!M20</f>
        <v>0</v>
      </c>
      <c r="O40" s="686">
        <f ca="1">tertiair!N20</f>
        <v>0</v>
      </c>
      <c r="P40" s="686">
        <f>tertiair!O20</f>
        <v>0</v>
      </c>
      <c r="Q40" s="769">
        <f>tertiair!P20</f>
        <v>0</v>
      </c>
      <c r="R40" s="849">
        <f t="shared" ca="1" si="4"/>
        <v>9636.4891439374423</v>
      </c>
    </row>
    <row r="41" spans="1:18">
      <c r="A41" s="821" t="s">
        <v>224</v>
      </c>
      <c r="B41" s="828"/>
      <c r="C41" s="686">
        <f ca="1">huishoudens!B12</f>
        <v>4401.2410960715806</v>
      </c>
      <c r="D41" s="686">
        <f ca="1">huishoudens!C12</f>
        <v>0</v>
      </c>
      <c r="E41" s="686">
        <f>huishoudens!D12</f>
        <v>9321.2493347336003</v>
      </c>
      <c r="F41" s="686">
        <f>huishoudens!E12</f>
        <v>2696.6912606227061</v>
      </c>
      <c r="G41" s="686">
        <f>huishoudens!F12</f>
        <v>7347.1903025044567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23766.371993932342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6260.8537295653159</v>
      </c>
      <c r="D43" s="686">
        <f ca="1">industrie!C22</f>
        <v>0</v>
      </c>
      <c r="E43" s="686">
        <f>industrie!D22</f>
        <v>24505.327845968732</v>
      </c>
      <c r="F43" s="686">
        <f>industrie!E22</f>
        <v>163.78961071783939</v>
      </c>
      <c r="G43" s="686">
        <f>industrie!F22</f>
        <v>1135.6390555019864</v>
      </c>
      <c r="H43" s="686">
        <f>industrie!G22</f>
        <v>0</v>
      </c>
      <c r="I43" s="686">
        <f>industrie!H22</f>
        <v>0</v>
      </c>
      <c r="J43" s="686">
        <f>industrie!I22</f>
        <v>0</v>
      </c>
      <c r="K43" s="686">
        <f>industrie!J22</f>
        <v>12.263202558326526</v>
      </c>
      <c r="L43" s="686">
        <f>industrie!K22</f>
        <v>0</v>
      </c>
      <c r="M43" s="686">
        <f>industrie!L22</f>
        <v>0</v>
      </c>
      <c r="N43" s="686">
        <f>industrie!M22</f>
        <v>0</v>
      </c>
      <c r="O43" s="686">
        <f>industrie!N22</f>
        <v>0</v>
      </c>
      <c r="P43" s="686">
        <f>industrie!O22</f>
        <v>0</v>
      </c>
      <c r="Q43" s="769">
        <f>industrie!P22</f>
        <v>0</v>
      </c>
      <c r="R43" s="848">
        <f t="shared" ca="1" si="4"/>
        <v>32077.873444312198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15016.727596197201</v>
      </c>
      <c r="D46" s="722">
        <f t="shared" ref="D46:Q46" ca="1" si="5">SUM(D39:D45)</f>
        <v>9.5393099794171987E-2</v>
      </c>
      <c r="E46" s="722">
        <f t="shared" ca="1" si="5"/>
        <v>38228.88817010817</v>
      </c>
      <c r="F46" s="722">
        <f t="shared" si="5"/>
        <v>2941.5434076694005</v>
      </c>
      <c r="G46" s="722">
        <f t="shared" ca="1" si="5"/>
        <v>9281.1872472951691</v>
      </c>
      <c r="H46" s="722">
        <f t="shared" si="5"/>
        <v>0</v>
      </c>
      <c r="I46" s="722">
        <f t="shared" si="5"/>
        <v>0</v>
      </c>
      <c r="J46" s="722">
        <f t="shared" si="5"/>
        <v>0</v>
      </c>
      <c r="K46" s="722">
        <f t="shared" si="5"/>
        <v>12.292767812244488</v>
      </c>
      <c r="L46" s="722">
        <f t="shared" si="5"/>
        <v>0</v>
      </c>
      <c r="M46" s="722">
        <f t="shared" ca="1" si="5"/>
        <v>0</v>
      </c>
      <c r="N46" s="722">
        <f t="shared" si="5"/>
        <v>0</v>
      </c>
      <c r="O46" s="722">
        <f t="shared" ca="1" si="5"/>
        <v>0</v>
      </c>
      <c r="P46" s="722">
        <f t="shared" si="5"/>
        <v>0</v>
      </c>
      <c r="Q46" s="722">
        <f t="shared" si="5"/>
        <v>0</v>
      </c>
      <c r="R46" s="722">
        <f ca="1">SUM(R39:R45)</f>
        <v>65480.734582181976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521.95249924090683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521.95249924090683</v>
      </c>
    </row>
    <row r="50" spans="1:18">
      <c r="A50" s="824" t="s">
        <v>306</v>
      </c>
      <c r="B50" s="834"/>
      <c r="C50" s="692">
        <f ca="1">transport!B18</f>
        <v>8.7892647644046455</v>
      </c>
      <c r="D50" s="692">
        <f>transport!C18</f>
        <v>0</v>
      </c>
      <c r="E50" s="692">
        <f>transport!D18</f>
        <v>39.564399175059535</v>
      </c>
      <c r="F50" s="692">
        <f>transport!E18</f>
        <v>37.550043672301321</v>
      </c>
      <c r="G50" s="692">
        <f>transport!F18</f>
        <v>0</v>
      </c>
      <c r="H50" s="692">
        <f>transport!G18</f>
        <v>20467.441103668902</v>
      </c>
      <c r="I50" s="692">
        <f>transport!H18</f>
        <v>4549.8168255077262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25103.161636788391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8.7892647644046455</v>
      </c>
      <c r="D52" s="722">
        <f t="shared" ref="D52:Q52" ca="1" si="6">SUM(D48:D51)</f>
        <v>0</v>
      </c>
      <c r="E52" s="722">
        <f t="shared" si="6"/>
        <v>39.564399175059535</v>
      </c>
      <c r="F52" s="722">
        <f t="shared" si="6"/>
        <v>37.550043672301321</v>
      </c>
      <c r="G52" s="722">
        <f t="shared" si="6"/>
        <v>0</v>
      </c>
      <c r="H52" s="722">
        <f t="shared" si="6"/>
        <v>20989.393602909808</v>
      </c>
      <c r="I52" s="722">
        <f t="shared" si="6"/>
        <v>4549.8168255077262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25625.114136029297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983.4681539478114</v>
      </c>
      <c r="D54" s="692">
        <f ca="1">+landbouw!C12</f>
        <v>22.82057328676045</v>
      </c>
      <c r="E54" s="692">
        <f>+landbouw!D12</f>
        <v>1318.8645466309283</v>
      </c>
      <c r="F54" s="692">
        <f>+landbouw!E12</f>
        <v>43.278877825800024</v>
      </c>
      <c r="G54" s="692">
        <f>+landbouw!F12</f>
        <v>5764.3769653385898</v>
      </c>
      <c r="H54" s="692">
        <f>+landbouw!G12</f>
        <v>0</v>
      </c>
      <c r="I54" s="692">
        <f>+landbouw!H12</f>
        <v>0</v>
      </c>
      <c r="J54" s="692">
        <f>+landbouw!I12</f>
        <v>0</v>
      </c>
      <c r="K54" s="692">
        <f>+landbouw!J12</f>
        <v>595.79485910278277</v>
      </c>
      <c r="L54" s="692">
        <f>+landbouw!K12</f>
        <v>0</v>
      </c>
      <c r="M54" s="692">
        <f>+landbouw!L12</f>
        <v>0</v>
      </c>
      <c r="N54" s="692">
        <f>+landbouw!M12</f>
        <v>0</v>
      </c>
      <c r="O54" s="692">
        <f>+landbouw!N12</f>
        <v>0</v>
      </c>
      <c r="P54" s="692">
        <f>+landbouw!O12</f>
        <v>0</v>
      </c>
      <c r="Q54" s="693">
        <f>+landbouw!P12</f>
        <v>0</v>
      </c>
      <c r="R54" s="721">
        <f ca="1">SUM(C54:Q54)</f>
        <v>8728.6039761326738</v>
      </c>
    </row>
    <row r="55" spans="1:18" ht="15" thickBot="1">
      <c r="A55" s="824" t="s">
        <v>724</v>
      </c>
      <c r="B55" s="834"/>
      <c r="C55" s="692">
        <f ca="1">C25*'EF ele_warmte'!B12</f>
        <v>127.09739705995564</v>
      </c>
      <c r="D55" s="692"/>
      <c r="E55" s="692">
        <f>E25*EF_CO2_aardgas</f>
        <v>319.37880640000003</v>
      </c>
      <c r="F55" s="692"/>
      <c r="G55" s="692"/>
      <c r="H55" s="692"/>
      <c r="I55" s="692"/>
      <c r="J55" s="692"/>
      <c r="K55" s="692"/>
      <c r="L55" s="692"/>
      <c r="M55" s="692"/>
      <c r="N55" s="692"/>
      <c r="O55" s="692"/>
      <c r="P55" s="692"/>
      <c r="Q55" s="693"/>
      <c r="R55" s="721">
        <f ca="1">SUM(C55:Q55)</f>
        <v>446.47620345995568</v>
      </c>
    </row>
    <row r="56" spans="1:18" ht="15.75" thickBot="1">
      <c r="A56" s="822" t="s">
        <v>725</v>
      </c>
      <c r="B56" s="835"/>
      <c r="C56" s="722">
        <f ca="1">SUM(C54:C55)</f>
        <v>1110.565551007767</v>
      </c>
      <c r="D56" s="722">
        <f t="shared" ref="D56:Q56" ca="1" si="7">SUM(D54:D55)</f>
        <v>22.82057328676045</v>
      </c>
      <c r="E56" s="722">
        <f t="shared" si="7"/>
        <v>1638.2433530309283</v>
      </c>
      <c r="F56" s="722">
        <f t="shared" si="7"/>
        <v>43.278877825800024</v>
      </c>
      <c r="G56" s="722">
        <f t="shared" si="7"/>
        <v>5764.3769653385898</v>
      </c>
      <c r="H56" s="722">
        <f t="shared" si="7"/>
        <v>0</v>
      </c>
      <c r="I56" s="722">
        <f t="shared" si="7"/>
        <v>0</v>
      </c>
      <c r="J56" s="722">
        <f t="shared" si="7"/>
        <v>0</v>
      </c>
      <c r="K56" s="722">
        <f t="shared" si="7"/>
        <v>595.79485910278277</v>
      </c>
      <c r="L56" s="722">
        <f t="shared" si="7"/>
        <v>0</v>
      </c>
      <c r="M56" s="722">
        <f t="shared" si="7"/>
        <v>0</v>
      </c>
      <c r="N56" s="722">
        <f t="shared" si="7"/>
        <v>0</v>
      </c>
      <c r="O56" s="722">
        <f t="shared" si="7"/>
        <v>0</v>
      </c>
      <c r="P56" s="722">
        <f t="shared" si="7"/>
        <v>0</v>
      </c>
      <c r="Q56" s="723">
        <f t="shared" si="7"/>
        <v>0</v>
      </c>
      <c r="R56" s="724">
        <f ca="1">SUM(R54:R55)</f>
        <v>9175.0801795926291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16136.082411969372</v>
      </c>
      <c r="D61" s="730">
        <f t="shared" ref="D61:Q61" ca="1" si="8">D46+D52+D56</f>
        <v>22.915966386554622</v>
      </c>
      <c r="E61" s="730">
        <f t="shared" ca="1" si="8"/>
        <v>39906.69592231416</v>
      </c>
      <c r="F61" s="730">
        <f t="shared" si="8"/>
        <v>3022.3723291675019</v>
      </c>
      <c r="G61" s="730">
        <f t="shared" ca="1" si="8"/>
        <v>15045.564212633759</v>
      </c>
      <c r="H61" s="730">
        <f t="shared" si="8"/>
        <v>20989.393602909808</v>
      </c>
      <c r="I61" s="730">
        <f t="shared" si="8"/>
        <v>4549.8168255077262</v>
      </c>
      <c r="J61" s="730">
        <f t="shared" si="8"/>
        <v>0</v>
      </c>
      <c r="K61" s="730">
        <f t="shared" si="8"/>
        <v>608.08762691502727</v>
      </c>
      <c r="L61" s="730">
        <f t="shared" si="8"/>
        <v>0</v>
      </c>
      <c r="M61" s="730">
        <f t="shared" ca="1" si="8"/>
        <v>0</v>
      </c>
      <c r="N61" s="730">
        <f t="shared" si="8"/>
        <v>0</v>
      </c>
      <c r="O61" s="730">
        <f t="shared" ca="1" si="8"/>
        <v>0</v>
      </c>
      <c r="P61" s="730">
        <f t="shared" si="8"/>
        <v>0</v>
      </c>
      <c r="Q61" s="730">
        <f t="shared" si="8"/>
        <v>0</v>
      </c>
      <c r="R61" s="730">
        <f ca="1">R46+R52+R56</f>
        <v>100280.9288978039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0.16099016560471013</v>
      </c>
      <c r="D63" s="776">
        <f t="shared" ca="1" si="9"/>
        <v>9.8926177564326507E-4</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11073.573687155626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16147.8</v>
      </c>
      <c r="C76" s="743">
        <f>'lokale energieproductie'!B8*IFERROR(SUM(D76:H76)/SUM(D76:O76),0)</f>
        <v>67.499999999999986</v>
      </c>
      <c r="D76" s="958">
        <f>'lokale energieproductie'!C8</f>
        <v>79.411764705882348</v>
      </c>
      <c r="E76" s="959">
        <f>'lokale energieproductie'!D8</f>
        <v>0</v>
      </c>
      <c r="F76" s="959">
        <f>'lokale energieproductie'!E8</f>
        <v>0</v>
      </c>
      <c r="G76" s="959">
        <f>'lokale energieproductie'!F8</f>
        <v>0</v>
      </c>
      <c r="H76" s="959">
        <f>'lokale energieproductie'!G8</f>
        <v>0</v>
      </c>
      <c r="I76" s="959">
        <f>'lokale energieproductie'!I8</f>
        <v>0</v>
      </c>
      <c r="J76" s="959">
        <f>'lokale energieproductie'!J8</f>
        <v>18997.411764705885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16.041176470588237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27221.373687155625</v>
      </c>
      <c r="C78" s="748">
        <f>SUM(C72:C77)</f>
        <v>67.499999999999986</v>
      </c>
      <c r="D78" s="749">
        <f t="shared" ref="D78:H78" si="10">SUM(D76:D77)</f>
        <v>79.411764705882348</v>
      </c>
      <c r="E78" s="749">
        <f t="shared" si="10"/>
        <v>0</v>
      </c>
      <c r="F78" s="749">
        <f t="shared" si="10"/>
        <v>0</v>
      </c>
      <c r="G78" s="749">
        <f t="shared" si="10"/>
        <v>0</v>
      </c>
      <c r="H78" s="749">
        <f t="shared" si="10"/>
        <v>0</v>
      </c>
      <c r="I78" s="749">
        <f>SUM(I76:I77)</f>
        <v>0</v>
      </c>
      <c r="J78" s="749">
        <f>SUM(J76:J77)</f>
        <v>18997.411764705885</v>
      </c>
      <c r="K78" s="749">
        <f t="shared" ref="K78:L78" si="11">SUM(K76:K77)</f>
        <v>0</v>
      </c>
      <c r="L78" s="749">
        <f t="shared" si="11"/>
        <v>0</v>
      </c>
      <c r="M78" s="749">
        <f>SUM(M76:M77)</f>
        <v>0</v>
      </c>
      <c r="N78" s="749">
        <f>SUM(N76:N77)</f>
        <v>0</v>
      </c>
      <c r="O78" s="859">
        <f>SUM(O76:O77)</f>
        <v>0</v>
      </c>
      <c r="P78" s="750">
        <v>0</v>
      </c>
      <c r="Q78" s="750">
        <f>SUM(Q76:Q77)</f>
        <v>16.041176470588237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23068.285714285714</v>
      </c>
      <c r="C87" s="761">
        <f>'lokale energieproductie'!B17*IFERROR(SUM(D87:H87)/SUM(D87:O87),0)</f>
        <v>96.428571428571416</v>
      </c>
      <c r="D87" s="772">
        <f>'lokale energieproductie'!C17</f>
        <v>113.44537815126051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27139.15966386555</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22.915966386554626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23068.285714285714</v>
      </c>
      <c r="C90" s="748">
        <f>SUM(C87:C89)</f>
        <v>96.428571428571416</v>
      </c>
      <c r="D90" s="748">
        <f t="shared" ref="D90:H90" si="12">SUM(D87:D89)</f>
        <v>113.44537815126051</v>
      </c>
      <c r="E90" s="748">
        <f t="shared" si="12"/>
        <v>0</v>
      </c>
      <c r="F90" s="748">
        <f t="shared" si="12"/>
        <v>0</v>
      </c>
      <c r="G90" s="748">
        <f t="shared" si="12"/>
        <v>0</v>
      </c>
      <c r="H90" s="748">
        <f t="shared" si="12"/>
        <v>0</v>
      </c>
      <c r="I90" s="748">
        <f>SUM(I87:I89)</f>
        <v>0</v>
      </c>
      <c r="J90" s="748">
        <f>SUM(J87:J89)</f>
        <v>27139.15966386555</v>
      </c>
      <c r="K90" s="748">
        <f t="shared" ref="K90:L90" si="13">SUM(K87:K89)</f>
        <v>0</v>
      </c>
      <c r="L90" s="748">
        <f t="shared" si="13"/>
        <v>0</v>
      </c>
      <c r="M90" s="748">
        <f>SUM(M87:M89)</f>
        <v>0</v>
      </c>
      <c r="N90" s="748">
        <f>SUM(N87:N89)</f>
        <v>0</v>
      </c>
      <c r="O90" s="748">
        <f>SUM(O87:O89)</f>
        <v>0</v>
      </c>
      <c r="P90" s="748">
        <v>0</v>
      </c>
      <c r="Q90" s="748">
        <f>SUM(Q87:Q89)</f>
        <v>22.915966386554626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299" zoomScale="65" zoomScaleNormal="65" workbookViewId="0">
      <selection activeCell="M33" sqref="M33"/>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11073.573687155626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N34</f>
        <v>16215.3</v>
      </c>
      <c r="C8" s="548">
        <f>B53</f>
        <v>79.411764705882348</v>
      </c>
      <c r="D8" s="549"/>
      <c r="E8" s="549">
        <f>E53</f>
        <v>0</v>
      </c>
      <c r="F8" s="550"/>
      <c r="G8" s="551"/>
      <c r="H8" s="549">
        <f>I53</f>
        <v>0</v>
      </c>
      <c r="I8" s="549">
        <f>G53+F53</f>
        <v>0</v>
      </c>
      <c r="J8" s="549">
        <f>H53+D53+C53</f>
        <v>18997.411764705885</v>
      </c>
      <c r="K8" s="549"/>
      <c r="L8" s="549"/>
      <c r="M8" s="549"/>
      <c r="N8" s="552"/>
      <c r="O8" s="553">
        <f>C8*$C$12+D8*$D$12+E8*$E$12+F8*$F$12+G8*$G$12+H8*$H$12+I8*$I$12+J8*$J$12</f>
        <v>16.041176470588237</v>
      </c>
      <c r="P8" s="1244"/>
      <c r="Q8" s="1245"/>
      <c r="S8" s="543"/>
      <c r="T8" s="1232"/>
      <c r="U8" s="1232"/>
    </row>
    <row r="9" spans="1:21" s="534" customFormat="1" ht="17.45" customHeight="1" thickBot="1">
      <c r="A9" s="554" t="s">
        <v>247</v>
      </c>
      <c r="B9" s="555">
        <f>N41+'Eigen informatie GS &amp; warmtenet'!B12</f>
        <v>0</v>
      </c>
      <c r="C9" s="556">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27288.873687155625</v>
      </c>
      <c r="C10" s="563">
        <f t="shared" ref="C10:L10" si="0">SUM(C8:C9)</f>
        <v>79.411764705882348</v>
      </c>
      <c r="D10" s="563">
        <f t="shared" si="0"/>
        <v>0</v>
      </c>
      <c r="E10" s="563">
        <f t="shared" si="0"/>
        <v>0</v>
      </c>
      <c r="F10" s="563">
        <f t="shared" si="0"/>
        <v>0</v>
      </c>
      <c r="G10" s="563">
        <f t="shared" si="0"/>
        <v>0</v>
      </c>
      <c r="H10" s="563">
        <f t="shared" si="0"/>
        <v>0</v>
      </c>
      <c r="I10" s="563">
        <f t="shared" si="0"/>
        <v>0</v>
      </c>
      <c r="J10" s="563">
        <f t="shared" si="0"/>
        <v>18997.411764705885</v>
      </c>
      <c r="K10" s="563">
        <f t="shared" si="0"/>
        <v>0</v>
      </c>
      <c r="L10" s="563">
        <f t="shared" si="0"/>
        <v>0</v>
      </c>
      <c r="M10" s="971"/>
      <c r="N10" s="971"/>
      <c r="O10" s="564">
        <f>SUM(O4:O9)</f>
        <v>16.041176470588237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O34</f>
        <v>23164.714285714286</v>
      </c>
      <c r="C17" s="579">
        <f>B54</f>
        <v>113.44537815126051</v>
      </c>
      <c r="D17" s="580"/>
      <c r="E17" s="580">
        <f>E54</f>
        <v>0</v>
      </c>
      <c r="F17" s="581"/>
      <c r="G17" s="582"/>
      <c r="H17" s="579">
        <f>I54</f>
        <v>0</v>
      </c>
      <c r="I17" s="580">
        <f>G54+F54</f>
        <v>0</v>
      </c>
      <c r="J17" s="580">
        <f>H54+D54+C54</f>
        <v>27139.15966386555</v>
      </c>
      <c r="K17" s="580"/>
      <c r="L17" s="580"/>
      <c r="M17" s="580"/>
      <c r="N17" s="972"/>
      <c r="O17" s="583">
        <f>C17*$C$22+E17*$E$22+H17*$H$22+I17*$I$22+J17*$J$22+D17*$D$22+F17*$F$22+G17*$G$22+K17*$K$22+L17*$L$22</f>
        <v>22.915966386554626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23164.714285714286</v>
      </c>
      <c r="C20" s="562">
        <f>SUM(C17:C19)</f>
        <v>113.44537815126051</v>
      </c>
      <c r="D20" s="562">
        <f t="shared" ref="D20:L20" si="1">SUM(D17:D19)</f>
        <v>0</v>
      </c>
      <c r="E20" s="562">
        <f t="shared" si="1"/>
        <v>0</v>
      </c>
      <c r="F20" s="562">
        <f t="shared" si="1"/>
        <v>0</v>
      </c>
      <c r="G20" s="562">
        <f t="shared" si="1"/>
        <v>0</v>
      </c>
      <c r="H20" s="562">
        <f t="shared" si="1"/>
        <v>0</v>
      </c>
      <c r="I20" s="562">
        <f t="shared" si="1"/>
        <v>0</v>
      </c>
      <c r="J20" s="562">
        <f t="shared" si="1"/>
        <v>27139.15966386555</v>
      </c>
      <c r="K20" s="562">
        <f t="shared" si="1"/>
        <v>0</v>
      </c>
      <c r="L20" s="562">
        <f t="shared" si="1"/>
        <v>0</v>
      </c>
      <c r="M20" s="562"/>
      <c r="N20" s="562"/>
      <c r="O20" s="588">
        <f>SUM(O17:O19)</f>
        <v>22.915966386554626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72004</v>
      </c>
      <c r="C28" s="791">
        <v>3960</v>
      </c>
      <c r="D28" s="640" t="s">
        <v>888</v>
      </c>
      <c r="E28" s="639" t="s">
        <v>889</v>
      </c>
      <c r="F28" s="639" t="s">
        <v>890</v>
      </c>
      <c r="G28" s="639" t="s">
        <v>891</v>
      </c>
      <c r="H28" s="639" t="s">
        <v>892</v>
      </c>
      <c r="I28" s="639" t="s">
        <v>889</v>
      </c>
      <c r="J28" s="790">
        <v>41068</v>
      </c>
      <c r="K28" s="790">
        <v>41275</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25.5">
      <c r="A29" s="592"/>
      <c r="B29" s="791">
        <v>72004</v>
      </c>
      <c r="C29" s="791">
        <v>3960</v>
      </c>
      <c r="D29" s="640" t="s">
        <v>894</v>
      </c>
      <c r="E29" s="639" t="s">
        <v>895</v>
      </c>
      <c r="F29" s="639" t="s">
        <v>896</v>
      </c>
      <c r="G29" s="639" t="s">
        <v>891</v>
      </c>
      <c r="H29" s="639" t="s">
        <v>892</v>
      </c>
      <c r="I29" s="639" t="s">
        <v>897</v>
      </c>
      <c r="J29" s="790">
        <v>41078</v>
      </c>
      <c r="K29" s="790">
        <v>41275</v>
      </c>
      <c r="L29" s="639" t="s">
        <v>893</v>
      </c>
      <c r="M29" s="639">
        <v>19.399999999999999</v>
      </c>
      <c r="N29" s="639">
        <v>0</v>
      </c>
      <c r="O29" s="639">
        <v>0</v>
      </c>
      <c r="P29" s="639">
        <v>0</v>
      </c>
      <c r="Q29" s="639">
        <v>0</v>
      </c>
      <c r="R29" s="639">
        <v>0</v>
      </c>
      <c r="S29" s="639">
        <v>0</v>
      </c>
      <c r="T29" s="639">
        <v>0</v>
      </c>
      <c r="U29" s="639">
        <v>0</v>
      </c>
      <c r="V29" s="639">
        <v>0</v>
      </c>
      <c r="W29" s="639">
        <v>0</v>
      </c>
      <c r="X29" s="639">
        <v>10</v>
      </c>
      <c r="Y29" s="639" t="s">
        <v>111</v>
      </c>
      <c r="Z29" s="641" t="s">
        <v>111</v>
      </c>
    </row>
    <row r="30" spans="1:26" s="593" customFormat="1" ht="25.5">
      <c r="A30" s="592"/>
      <c r="B30" s="791">
        <v>72004</v>
      </c>
      <c r="C30" s="791">
        <v>3960</v>
      </c>
      <c r="D30" s="640" t="s">
        <v>898</v>
      </c>
      <c r="E30" s="639" t="s">
        <v>899</v>
      </c>
      <c r="F30" s="639" t="s">
        <v>900</v>
      </c>
      <c r="G30" s="639" t="s">
        <v>891</v>
      </c>
      <c r="H30" s="639" t="s">
        <v>892</v>
      </c>
      <c r="I30" s="639" t="s">
        <v>901</v>
      </c>
      <c r="J30" s="790">
        <v>41382</v>
      </c>
      <c r="K30" s="790">
        <v>41382</v>
      </c>
      <c r="L30" s="639" t="s">
        <v>893</v>
      </c>
      <c r="M30" s="639">
        <v>2380</v>
      </c>
      <c r="N30" s="639">
        <v>10710</v>
      </c>
      <c r="O30" s="639">
        <v>15300</v>
      </c>
      <c r="P30" s="639">
        <v>0</v>
      </c>
      <c r="Q30" s="639">
        <v>30600.000000000004</v>
      </c>
      <c r="R30" s="639">
        <v>0</v>
      </c>
      <c r="S30" s="639">
        <v>0</v>
      </c>
      <c r="T30" s="639">
        <v>0</v>
      </c>
      <c r="U30" s="639">
        <v>0</v>
      </c>
      <c r="V30" s="639">
        <v>0</v>
      </c>
      <c r="W30" s="639">
        <v>0</v>
      </c>
      <c r="X30" s="639">
        <v>10</v>
      </c>
      <c r="Y30" s="639" t="s">
        <v>111</v>
      </c>
      <c r="Z30" s="641" t="s">
        <v>111</v>
      </c>
    </row>
    <row r="31" spans="1:26" s="593" customFormat="1" ht="25.5">
      <c r="A31" s="592"/>
      <c r="B31" s="791">
        <v>72004</v>
      </c>
      <c r="C31" s="791">
        <v>3960</v>
      </c>
      <c r="D31" s="640" t="s">
        <v>902</v>
      </c>
      <c r="E31" s="639" t="s">
        <v>903</v>
      </c>
      <c r="F31" s="639" t="s">
        <v>904</v>
      </c>
      <c r="G31" s="639" t="s">
        <v>891</v>
      </c>
      <c r="H31" s="639" t="s">
        <v>892</v>
      </c>
      <c r="I31" s="639" t="s">
        <v>903</v>
      </c>
      <c r="J31" s="790">
        <v>41252</v>
      </c>
      <c r="K31" s="790">
        <v>41865</v>
      </c>
      <c r="L31" s="639" t="s">
        <v>893</v>
      </c>
      <c r="M31" s="639">
        <v>15</v>
      </c>
      <c r="N31" s="639">
        <v>67.5</v>
      </c>
      <c r="O31" s="639">
        <v>96.428571428571431</v>
      </c>
      <c r="P31" s="639">
        <v>192.85714285714286</v>
      </c>
      <c r="Q31" s="639">
        <v>0</v>
      </c>
      <c r="R31" s="639">
        <v>0</v>
      </c>
      <c r="S31" s="639">
        <v>0</v>
      </c>
      <c r="T31" s="639">
        <v>0</v>
      </c>
      <c r="U31" s="639">
        <v>0</v>
      </c>
      <c r="V31" s="639">
        <v>0</v>
      </c>
      <c r="W31" s="639">
        <v>0</v>
      </c>
      <c r="X31" s="639">
        <v>1200</v>
      </c>
      <c r="Y31" s="639" t="s">
        <v>905</v>
      </c>
      <c r="Z31" s="641" t="s">
        <v>155</v>
      </c>
    </row>
    <row r="32" spans="1:26" s="593" customFormat="1" ht="25.5">
      <c r="A32" s="592"/>
      <c r="B32" s="791">
        <v>72004</v>
      </c>
      <c r="C32" s="791">
        <v>3960</v>
      </c>
      <c r="D32" s="640" t="s">
        <v>906</v>
      </c>
      <c r="E32" s="639" t="s">
        <v>907</v>
      </c>
      <c r="F32" s="639" t="s">
        <v>908</v>
      </c>
      <c r="G32" s="639" t="s">
        <v>891</v>
      </c>
      <c r="H32" s="639" t="s">
        <v>892</v>
      </c>
      <c r="I32" s="639" t="s">
        <v>907</v>
      </c>
      <c r="J32" s="790">
        <v>41862</v>
      </c>
      <c r="K32" s="790">
        <v>41887</v>
      </c>
      <c r="L32" s="639" t="s">
        <v>893</v>
      </c>
      <c r="M32" s="639">
        <v>9.6999999999999993</v>
      </c>
      <c r="N32" s="639">
        <v>43.649999999999991</v>
      </c>
      <c r="O32" s="639">
        <v>62.357142857142847</v>
      </c>
      <c r="P32" s="639">
        <v>0</v>
      </c>
      <c r="Q32" s="639">
        <v>124.71428571428569</v>
      </c>
      <c r="R32" s="639">
        <v>0</v>
      </c>
      <c r="S32" s="639">
        <v>0</v>
      </c>
      <c r="T32" s="639">
        <v>0</v>
      </c>
      <c r="U32" s="639">
        <v>0</v>
      </c>
      <c r="V32" s="639">
        <v>0</v>
      </c>
      <c r="W32" s="639">
        <v>0</v>
      </c>
      <c r="X32" s="639">
        <v>10</v>
      </c>
      <c r="Y32" s="639" t="s">
        <v>111</v>
      </c>
      <c r="Z32" s="641" t="s">
        <v>111</v>
      </c>
    </row>
    <row r="33" spans="1:27" s="593" customFormat="1" ht="25.5">
      <c r="A33" s="592"/>
      <c r="B33" s="791">
        <v>72004</v>
      </c>
      <c r="C33" s="791">
        <v>3960</v>
      </c>
      <c r="D33" s="640"/>
      <c r="E33" s="639"/>
      <c r="F33" s="639" t="s">
        <v>909</v>
      </c>
      <c r="G33" s="639" t="s">
        <v>891</v>
      </c>
      <c r="H33" s="639" t="s">
        <v>892</v>
      </c>
      <c r="I33" s="639" t="s">
        <v>899</v>
      </c>
      <c r="J33" s="790">
        <v>42346</v>
      </c>
      <c r="K33" s="790">
        <v>42346</v>
      </c>
      <c r="L33" s="639" t="s">
        <v>893</v>
      </c>
      <c r="M33" s="639">
        <v>1189</v>
      </c>
      <c r="N33" s="639">
        <v>5350.5</v>
      </c>
      <c r="O33" s="639">
        <v>7643.5714285714284</v>
      </c>
      <c r="P33" s="639">
        <v>0</v>
      </c>
      <c r="Q33" s="639">
        <v>15287.142857142859</v>
      </c>
      <c r="R33" s="639">
        <v>0</v>
      </c>
      <c r="S33" s="639">
        <v>0</v>
      </c>
      <c r="T33" s="639">
        <v>0</v>
      </c>
      <c r="U33" s="639">
        <v>0</v>
      </c>
      <c r="V33" s="639">
        <v>0</v>
      </c>
      <c r="W33" s="639">
        <v>0</v>
      </c>
      <c r="X33" s="639">
        <v>10</v>
      </c>
      <c r="Y33" s="639" t="s">
        <v>111</v>
      </c>
      <c r="Z33" s="641" t="s">
        <v>111</v>
      </c>
    </row>
    <row r="34" spans="1:27" s="573" customFormat="1">
      <c r="A34" s="595" t="s">
        <v>279</v>
      </c>
      <c r="B34" s="596"/>
      <c r="C34" s="596"/>
      <c r="D34" s="596"/>
      <c r="E34" s="596"/>
      <c r="F34" s="596"/>
      <c r="G34" s="596"/>
      <c r="H34" s="596"/>
      <c r="I34" s="596"/>
      <c r="J34" s="596"/>
      <c r="K34" s="596"/>
      <c r="L34" s="597"/>
      <c r="M34" s="597">
        <f>SUM(M28:M33)</f>
        <v>3622.7999999999997</v>
      </c>
      <c r="N34" s="597">
        <f>SUM(N28:N33)</f>
        <v>16215.3</v>
      </c>
      <c r="O34" s="597">
        <f>SUM(O28:O33)</f>
        <v>23164.714285714286</v>
      </c>
      <c r="P34" s="597">
        <f>SUM(P28:P33)</f>
        <v>192.85714285714286</v>
      </c>
      <c r="Q34" s="597">
        <f>SUM(Q28:Q33)</f>
        <v>46136.571428571435</v>
      </c>
      <c r="R34" s="597">
        <f>SUM(R28:R33)</f>
        <v>0</v>
      </c>
      <c r="S34" s="597">
        <f>SUM(S28:S33)</f>
        <v>0</v>
      </c>
      <c r="T34" s="597">
        <f>SUM(T28:T33)</f>
        <v>0</v>
      </c>
      <c r="U34" s="597">
        <f>SUM(U28:U33)</f>
        <v>0</v>
      </c>
      <c r="V34" s="597">
        <f>SUM(V28:V33)</f>
        <v>0</v>
      </c>
      <c r="W34" s="597">
        <f>SUM(W28:W33)</f>
        <v>0</v>
      </c>
      <c r="X34" s="598"/>
      <c r="Y34" s="598"/>
      <c r="Z34" s="599"/>
    </row>
    <row r="35" spans="1:27" s="573" customFormat="1">
      <c r="A35" s="595" t="s">
        <v>286</v>
      </c>
      <c r="B35" s="596"/>
      <c r="C35" s="596"/>
      <c r="D35" s="596"/>
      <c r="E35" s="596"/>
      <c r="F35" s="596"/>
      <c r="G35" s="596"/>
      <c r="H35" s="596"/>
      <c r="I35" s="596"/>
      <c r="J35" s="596"/>
      <c r="K35" s="596"/>
      <c r="L35" s="597"/>
      <c r="M35" s="597">
        <f>SUMIF($Z$28:$Z$33,"industrie",M28:M33)</f>
        <v>0</v>
      </c>
      <c r="N35" s="597">
        <f>SUMIF($Z$28:$Z$33,"industrie",N28:N33)</f>
        <v>0</v>
      </c>
      <c r="O35" s="597">
        <f>SUMIF($Z$28:$Z$33,"industrie",O28:O33)</f>
        <v>0</v>
      </c>
      <c r="P35" s="597">
        <f>SUMIF($Z$28:$Z$33,"industrie",P28:P33)</f>
        <v>0</v>
      </c>
      <c r="Q35" s="597">
        <f>SUMIF($Z$28:$Z$33,"industrie",Q28:Q33)</f>
        <v>0</v>
      </c>
      <c r="R35" s="597">
        <f>SUMIF($Z$28:$Z$33,"industrie",R28:R33)</f>
        <v>0</v>
      </c>
      <c r="S35" s="597">
        <f>SUMIF($Z$28:$Z$33,"industrie",S28:S33)</f>
        <v>0</v>
      </c>
      <c r="T35" s="597">
        <f>SUMIF($Z$28:$Z$33,"industrie",T28:T33)</f>
        <v>0</v>
      </c>
      <c r="U35" s="597">
        <f>SUMIF($Z$28:$Z$33,"industrie",U28:U33)</f>
        <v>0</v>
      </c>
      <c r="V35" s="597">
        <f>SUMIF($Z$28:$Z$33,"industrie",V28:V33)</f>
        <v>0</v>
      </c>
      <c r="W35" s="597">
        <f>SUMIF($Z$28:$Z$33,"industrie",W28:W33)</f>
        <v>0</v>
      </c>
      <c r="X35" s="598"/>
      <c r="Y35" s="598"/>
      <c r="Z35" s="599"/>
    </row>
    <row r="36" spans="1:27" s="573" customFormat="1">
      <c r="A36" s="595" t="s">
        <v>287</v>
      </c>
      <c r="B36" s="596"/>
      <c r="C36" s="596"/>
      <c r="D36" s="596"/>
      <c r="E36" s="596"/>
      <c r="F36" s="596"/>
      <c r="G36" s="596"/>
      <c r="H36" s="596"/>
      <c r="I36" s="596"/>
      <c r="J36" s="596"/>
      <c r="K36" s="596"/>
      <c r="L36" s="597"/>
      <c r="M36" s="597">
        <f ca="1">SUMIF($Z$28:AC33,"tertiair",M28:M33)</f>
        <v>15</v>
      </c>
      <c r="N36" s="597">
        <f ca="1">SUMIF($Z$28:AD33,"tertiair",N28:N33)</f>
        <v>67.5</v>
      </c>
      <c r="O36" s="597">
        <f ca="1">SUMIF($Z$28:AE33,"tertiair",O28:O33)</f>
        <v>96.428571428571431</v>
      </c>
      <c r="P36" s="597">
        <f ca="1">SUMIF($Z$28:AF33,"tertiair",P28:P33)</f>
        <v>192.85714285714286</v>
      </c>
      <c r="Q36" s="597">
        <f ca="1">SUMIF($Z$28:AG33,"tertiair",Q28:Q33)</f>
        <v>0</v>
      </c>
      <c r="R36" s="597">
        <f ca="1">SUMIF($Z$28:AH33,"tertiair",R28:R33)</f>
        <v>0</v>
      </c>
      <c r="S36" s="597">
        <f ca="1">SUMIF($Z$28:AI33,"tertiair",S28:S33)</f>
        <v>0</v>
      </c>
      <c r="T36" s="597">
        <f ca="1">SUMIF($Z$28:AJ33,"tertiair",T28:T33)</f>
        <v>0</v>
      </c>
      <c r="U36" s="597">
        <f ca="1">SUMIF($Z$28:AK33,"tertiair",U28:U33)</f>
        <v>0</v>
      </c>
      <c r="V36" s="597">
        <f ca="1">SUMIF($Z$28:AL33,"tertiair",V28:V33)</f>
        <v>0</v>
      </c>
      <c r="W36" s="597">
        <f ca="1">SUMIF($Z$28:AM33,"tertiair",W28:W33)</f>
        <v>0</v>
      </c>
      <c r="X36" s="598"/>
      <c r="Y36" s="598"/>
      <c r="Z36" s="599"/>
    </row>
    <row r="37" spans="1:27" s="573" customFormat="1" ht="15.75" thickBot="1">
      <c r="A37" s="600" t="s">
        <v>288</v>
      </c>
      <c r="B37" s="601"/>
      <c r="C37" s="601"/>
      <c r="D37" s="601"/>
      <c r="E37" s="601"/>
      <c r="F37" s="601"/>
      <c r="G37" s="601"/>
      <c r="H37" s="601"/>
      <c r="I37" s="601"/>
      <c r="J37" s="601"/>
      <c r="K37" s="601"/>
      <c r="L37" s="602"/>
      <c r="M37" s="602">
        <f>SUMIF($Z$28:$Z$33,"landbouw",M28:M33)</f>
        <v>3607.7999999999997</v>
      </c>
      <c r="N37" s="602">
        <f>SUMIF($Z$28:$Z$33,"landbouw",N28:N33)</f>
        <v>16147.8</v>
      </c>
      <c r="O37" s="602">
        <f>SUMIF($Z$28:$Z$33,"landbouw",O28:O33)</f>
        <v>23068.285714285714</v>
      </c>
      <c r="P37" s="602">
        <f>SUMIF($Z$28:$Z$33,"landbouw",P28:P33)</f>
        <v>0</v>
      </c>
      <c r="Q37" s="602">
        <f>SUMIF($Z$28:$Z$33,"landbouw",Q28:Q33)</f>
        <v>46136.571428571435</v>
      </c>
      <c r="R37" s="602">
        <f>SUMIF($Z$28:$Z$33,"landbouw",R28:R33)</f>
        <v>0</v>
      </c>
      <c r="S37" s="602">
        <f>SUMIF($Z$28:$Z$33,"landbouw",S28:S33)</f>
        <v>0</v>
      </c>
      <c r="T37" s="602">
        <f>SUMIF($Z$28:$Z$33,"landbouw",T28:T33)</f>
        <v>0</v>
      </c>
      <c r="U37" s="602">
        <f>SUMIF($Z$28:$Z$33,"landbouw",U28:U33)</f>
        <v>0</v>
      </c>
      <c r="V37" s="602">
        <f>SUMIF($Z$28:$Z$33,"landbouw",V28:V33)</f>
        <v>0</v>
      </c>
      <c r="W37" s="602">
        <f>SUMIF($Z$28:$Z$33,"landbouw",W28:W33)</f>
        <v>0</v>
      </c>
      <c r="X37" s="603"/>
      <c r="Y37" s="603"/>
      <c r="Z37" s="604"/>
    </row>
    <row r="38" spans="1:27" s="534" customFormat="1" ht="15.75" thickBot="1">
      <c r="A38" s="605"/>
      <c r="B38" s="606"/>
      <c r="C38" s="606"/>
      <c r="D38" s="606"/>
      <c r="E38" s="606"/>
      <c r="F38" s="606"/>
      <c r="G38" s="606"/>
      <c r="H38" s="606"/>
      <c r="I38" s="606"/>
      <c r="J38" s="606"/>
      <c r="K38" s="606"/>
      <c r="L38" s="589"/>
      <c r="M38" s="589"/>
      <c r="N38" s="589"/>
      <c r="O38" s="590"/>
      <c r="P38" s="590"/>
    </row>
    <row r="39" spans="1:27" s="534" customFormat="1" ht="45">
      <c r="A39" s="607" t="s">
        <v>280</v>
      </c>
      <c r="B39" s="636" t="s">
        <v>89</v>
      </c>
      <c r="C39" s="636" t="s">
        <v>90</v>
      </c>
      <c r="D39" s="636" t="s">
        <v>91</v>
      </c>
      <c r="E39" s="636" t="s">
        <v>92</v>
      </c>
      <c r="F39" s="636" t="s">
        <v>93</v>
      </c>
      <c r="G39" s="636" t="s">
        <v>94</v>
      </c>
      <c r="H39" s="636" t="s">
        <v>95</v>
      </c>
      <c r="I39" s="636" t="s">
        <v>96</v>
      </c>
      <c r="J39" s="636" t="s">
        <v>97</v>
      </c>
      <c r="K39" s="636" t="s">
        <v>98</v>
      </c>
      <c r="L39" s="636" t="s">
        <v>99</v>
      </c>
      <c r="M39" s="637" t="s">
        <v>297</v>
      </c>
      <c r="N39" s="637" t="s">
        <v>100</v>
      </c>
      <c r="O39" s="637" t="s">
        <v>101</v>
      </c>
      <c r="P39" s="637" t="s">
        <v>524</v>
      </c>
      <c r="Q39" s="637" t="s">
        <v>102</v>
      </c>
      <c r="R39" s="637" t="s">
        <v>103</v>
      </c>
      <c r="S39" s="637" t="s">
        <v>104</v>
      </c>
      <c r="T39" s="637" t="s">
        <v>105</v>
      </c>
      <c r="U39" s="637" t="s">
        <v>106</v>
      </c>
      <c r="V39" s="637" t="s">
        <v>107</v>
      </c>
      <c r="W39" s="636" t="s">
        <v>108</v>
      </c>
      <c r="X39" s="636" t="s">
        <v>298</v>
      </c>
      <c r="Y39" s="636" t="s">
        <v>109</v>
      </c>
      <c r="Z39" s="638" t="s">
        <v>299</v>
      </c>
    </row>
    <row r="40" spans="1:27" s="608" customFormat="1" ht="12.75">
      <c r="A40" s="594"/>
      <c r="B40" s="791"/>
      <c r="C40" s="791"/>
      <c r="D40" s="642"/>
      <c r="E40" s="642"/>
      <c r="F40" s="642"/>
      <c r="G40" s="642"/>
      <c r="H40" s="642"/>
      <c r="I40" s="642"/>
      <c r="J40" s="790"/>
      <c r="K40" s="790"/>
      <c r="L40" s="642"/>
      <c r="M40" s="642"/>
      <c r="N40" s="642"/>
      <c r="O40" s="642"/>
      <c r="P40" s="642"/>
      <c r="Q40" s="642"/>
      <c r="R40" s="642"/>
      <c r="S40" s="642"/>
      <c r="T40" s="642"/>
      <c r="U40" s="642"/>
      <c r="V40" s="642"/>
      <c r="W40" s="642"/>
      <c r="X40" s="642"/>
      <c r="Y40" s="642"/>
      <c r="Z40" s="643"/>
    </row>
    <row r="41" spans="1:27" s="573" customFormat="1">
      <c r="A41" s="595" t="s">
        <v>279</v>
      </c>
      <c r="B41" s="596"/>
      <c r="C41" s="596"/>
      <c r="D41" s="596"/>
      <c r="E41" s="596"/>
      <c r="F41" s="596"/>
      <c r="G41" s="596"/>
      <c r="H41" s="596"/>
      <c r="I41" s="596"/>
      <c r="J41" s="596"/>
      <c r="K41" s="596"/>
      <c r="L41" s="597"/>
      <c r="M41" s="597">
        <f>SUM(M40:M40)</f>
        <v>0</v>
      </c>
      <c r="N41" s="597">
        <f>SUM(N40:N40)</f>
        <v>0</v>
      </c>
      <c r="O41" s="597">
        <f>SUM(O40:O40)</f>
        <v>0</v>
      </c>
      <c r="P41" s="597">
        <f>SUM(P40:P40)</f>
        <v>0</v>
      </c>
      <c r="Q41" s="597">
        <f>SUM(Q40:Q40)</f>
        <v>0</v>
      </c>
      <c r="R41" s="597">
        <f>SUM(R40:R40)</f>
        <v>0</v>
      </c>
      <c r="S41" s="597">
        <f>SUM(S40:S40)</f>
        <v>0</v>
      </c>
      <c r="T41" s="597">
        <f>SUM(T40:T40)</f>
        <v>0</v>
      </c>
      <c r="U41" s="597">
        <f>SUM(U40:U40)</f>
        <v>0</v>
      </c>
      <c r="V41" s="597">
        <f>SUM(V40:V40)</f>
        <v>0</v>
      </c>
      <c r="W41" s="597">
        <f>SUM(W40:W40)</f>
        <v>0</v>
      </c>
      <c r="X41" s="598"/>
      <c r="Y41" s="598"/>
      <c r="Z41" s="599"/>
    </row>
    <row r="42" spans="1:27" s="573" customFormat="1">
      <c r="A42" s="595" t="s">
        <v>286</v>
      </c>
      <c r="B42" s="596"/>
      <c r="C42" s="596"/>
      <c r="D42" s="596"/>
      <c r="E42" s="596"/>
      <c r="F42" s="596"/>
      <c r="G42" s="596"/>
      <c r="H42" s="596"/>
      <c r="I42" s="596"/>
      <c r="J42" s="596"/>
      <c r="K42" s="596"/>
      <c r="L42" s="597"/>
      <c r="M42" s="597">
        <f>SUMIF($Z$40:$Z$40,"industrie",M40:M40)</f>
        <v>0</v>
      </c>
      <c r="N42" s="597">
        <f>SUMIF($Z$40:$Z$40,"industrie",N40:N40)</f>
        <v>0</v>
      </c>
      <c r="O42" s="597">
        <f>SUMIF($Z$40:$Z$40,"industrie",O40:O40)</f>
        <v>0</v>
      </c>
      <c r="P42" s="597">
        <f>SUMIF($Z$40:$Z$40,"industrie",P40:P40)</f>
        <v>0</v>
      </c>
      <c r="Q42" s="597">
        <f>SUMIF($Z$40:$Z$40,"industrie",Q40:Q40)</f>
        <v>0</v>
      </c>
      <c r="R42" s="597">
        <f>SUMIF($Z$40:$Z$40,"industrie",R40:R40)</f>
        <v>0</v>
      </c>
      <c r="S42" s="597">
        <f>SUMIF($Z$40:$Z$40,"industrie",S40:S40)</f>
        <v>0</v>
      </c>
      <c r="T42" s="597">
        <f>SUMIF($Z$40:$Z$40,"industrie",T40:T40)</f>
        <v>0</v>
      </c>
      <c r="U42" s="597">
        <f>SUMIF($Z$40:$Z$40,"industrie",U40:U40)</f>
        <v>0</v>
      </c>
      <c r="V42" s="597">
        <f>SUMIF($Z$40:$Z$40,"industrie",V40:V40)</f>
        <v>0</v>
      </c>
      <c r="W42" s="597">
        <f>SUMIF($Z$40:$Z$40,"industrie",W40:W40)</f>
        <v>0</v>
      </c>
      <c r="X42" s="598"/>
      <c r="Y42" s="598"/>
      <c r="Z42" s="599"/>
    </row>
    <row r="43" spans="1:27" s="573" customFormat="1">
      <c r="A43" s="595" t="s">
        <v>287</v>
      </c>
      <c r="B43" s="596"/>
      <c r="C43" s="596"/>
      <c r="D43" s="596"/>
      <c r="E43" s="596"/>
      <c r="F43" s="596"/>
      <c r="G43" s="596"/>
      <c r="H43" s="596"/>
      <c r="I43" s="596"/>
      <c r="J43" s="596"/>
      <c r="K43" s="596"/>
      <c r="L43" s="597"/>
      <c r="M43" s="597">
        <f>SUMIF($Z$40:$Z$41,"tertiair",M40:M41)</f>
        <v>0</v>
      </c>
      <c r="N43" s="597">
        <f>SUMIF($Z$40:$Z$41,"tertiair",N40:N41)</f>
        <v>0</v>
      </c>
      <c r="O43" s="597">
        <f>SUMIF($Z$40:$Z$41,"tertiair",O40:O41)</f>
        <v>0</v>
      </c>
      <c r="P43" s="597">
        <f>SUMIF($Z$40:$Z$41,"tertiair",P40:P41)</f>
        <v>0</v>
      </c>
      <c r="Q43" s="597">
        <f>SUMIF($Z$40:$Z$41,"tertiair",Q40:Q41)</f>
        <v>0</v>
      </c>
      <c r="R43" s="597">
        <f>SUMIF($Z$40:$Z$41,"tertiair",R40:R41)</f>
        <v>0</v>
      </c>
      <c r="S43" s="597">
        <f>SUMIF($Z$40:$Z$41,"tertiair",S40:S41)</f>
        <v>0</v>
      </c>
      <c r="T43" s="597">
        <f>SUMIF($Z$40:$Z$41,"tertiair",T40:T41)</f>
        <v>0</v>
      </c>
      <c r="U43" s="597">
        <f>SUMIF($Z$40:$Z$41,"tertiair",U40:U41)</f>
        <v>0</v>
      </c>
      <c r="V43" s="597">
        <f>SUMIF($Z$40:$Z$41,"tertiair",V40:V41)</f>
        <v>0</v>
      </c>
      <c r="W43" s="597">
        <f>SUMIF($Z$40:$Z$41,"tertiair",W40:W41)</f>
        <v>0</v>
      </c>
      <c r="X43" s="598"/>
      <c r="Y43" s="598"/>
      <c r="Z43" s="599"/>
    </row>
    <row r="44" spans="1:27" s="573" customFormat="1" ht="15.75" thickBot="1">
      <c r="A44" s="600" t="s">
        <v>288</v>
      </c>
      <c r="B44" s="601"/>
      <c r="C44" s="601"/>
      <c r="D44" s="601"/>
      <c r="E44" s="601"/>
      <c r="F44" s="601"/>
      <c r="G44" s="601"/>
      <c r="H44" s="601"/>
      <c r="I44" s="601"/>
      <c r="J44" s="601"/>
      <c r="K44" s="601"/>
      <c r="L44" s="602"/>
      <c r="M44" s="602">
        <f>SUMIF($Z$40:$Z$42,"landbouw",M40:M42)</f>
        <v>0</v>
      </c>
      <c r="N44" s="602">
        <f>SUMIF($Z$40:$Z$42,"landbouw",N40:N42)</f>
        <v>0</v>
      </c>
      <c r="O44" s="602">
        <f>SUMIF($Z$40:$Z$42,"landbouw",O40:O42)</f>
        <v>0</v>
      </c>
      <c r="P44" s="602">
        <f>SUMIF($Z$40:$Z$42,"landbouw",P40:P42)</f>
        <v>0</v>
      </c>
      <c r="Q44" s="602">
        <f>SUMIF($Z$40:$Z$42,"landbouw",Q40:Q42)</f>
        <v>0</v>
      </c>
      <c r="R44" s="602">
        <f>SUMIF($Z$40:$Z$42,"landbouw",R40:R42)</f>
        <v>0</v>
      </c>
      <c r="S44" s="602">
        <f>SUMIF($Z$40:$Z$42,"landbouw",S40:S42)</f>
        <v>0</v>
      </c>
      <c r="T44" s="602">
        <f>SUMIF($Z$40:$Z$42,"landbouw",T40:T42)</f>
        <v>0</v>
      </c>
      <c r="U44" s="602">
        <f>SUMIF($Z$40:$Z$42,"landbouw",U40:U42)</f>
        <v>0</v>
      </c>
      <c r="V44" s="602">
        <f>SUMIF($Z$40:$Z$42,"landbouw",V40:V42)</f>
        <v>0</v>
      </c>
      <c r="W44" s="602">
        <f>SUMIF($Z$40:$Z$42,"landbouw",W40:W42)</f>
        <v>0</v>
      </c>
      <c r="X44" s="603"/>
      <c r="Y44" s="603"/>
      <c r="Z44" s="604"/>
    </row>
    <row r="45" spans="1:27" s="609" customForma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row>
    <row r="46" spans="1:27" s="609" customFormat="1" ht="15.75" thickBot="1">
      <c r="A46" s="605"/>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row>
    <row r="47" spans="1:27">
      <c r="A47" s="610" t="s">
        <v>281</v>
      </c>
      <c r="B47" s="611"/>
      <c r="C47" s="611"/>
      <c r="D47" s="611"/>
      <c r="E47" s="611"/>
      <c r="F47" s="611"/>
      <c r="G47" s="611"/>
      <c r="H47" s="611"/>
      <c r="I47" s="612"/>
      <c r="J47" s="613"/>
      <c r="K47" s="613"/>
      <c r="L47" s="614"/>
      <c r="M47" s="614"/>
      <c r="N47" s="614"/>
      <c r="O47" s="614"/>
      <c r="P47" s="614"/>
    </row>
    <row r="48" spans="1:27">
      <c r="A48" s="616"/>
      <c r="B48" s="606"/>
      <c r="C48" s="606"/>
      <c r="D48" s="606"/>
      <c r="E48" s="606"/>
      <c r="F48" s="606"/>
      <c r="G48" s="606"/>
      <c r="H48" s="606"/>
      <c r="I48" s="617"/>
      <c r="J48" s="606"/>
      <c r="K48" s="606"/>
      <c r="L48" s="614"/>
      <c r="M48" s="614"/>
      <c r="N48" s="614"/>
      <c r="O48" s="614"/>
      <c r="P48" s="614"/>
    </row>
    <row r="49" spans="1:16">
      <c r="A49" s="618"/>
      <c r="B49" s="619" t="s">
        <v>282</v>
      </c>
      <c r="C49" s="619" t="s">
        <v>283</v>
      </c>
      <c r="D49" s="619"/>
      <c r="E49" s="619"/>
      <c r="F49" s="619"/>
      <c r="G49" s="619"/>
      <c r="H49" s="619"/>
      <c r="I49" s="620"/>
      <c r="J49" s="619"/>
      <c r="K49" s="619"/>
      <c r="L49" s="619"/>
      <c r="M49" s="619"/>
      <c r="N49" s="619"/>
      <c r="O49" s="619"/>
      <c r="P49" s="614"/>
    </row>
    <row r="50" spans="1:16">
      <c r="A50" s="616" t="s">
        <v>279</v>
      </c>
      <c r="B50" s="621">
        <f>IF(ISERROR(O34/(O34+N34)),0,O34/(O34+N34))</f>
        <v>0.58823529411764708</v>
      </c>
      <c r="C50" s="622">
        <f>IF(ISERROR(N34/(O34+N34)),0,N34/(N34+O34))</f>
        <v>0.41176470588235292</v>
      </c>
      <c r="D50" s="589"/>
      <c r="E50" s="589"/>
      <c r="F50" s="589"/>
      <c r="G50" s="589"/>
      <c r="H50" s="589"/>
      <c r="I50" s="623"/>
      <c r="J50" s="589"/>
      <c r="K50" s="589"/>
      <c r="L50" s="624"/>
      <c r="M50" s="624"/>
      <c r="N50" s="624"/>
      <c r="O50" s="624"/>
      <c r="P50" s="614"/>
    </row>
    <row r="51" spans="1:16">
      <c r="A51" s="616"/>
      <c r="B51" s="625"/>
      <c r="C51" s="625"/>
      <c r="D51" s="625"/>
      <c r="E51" s="625"/>
      <c r="F51" s="625"/>
      <c r="G51" s="625"/>
      <c r="H51" s="625"/>
      <c r="I51" s="626"/>
      <c r="J51" s="625"/>
      <c r="K51" s="625"/>
      <c r="L51" s="627"/>
      <c r="M51" s="627"/>
      <c r="N51" s="627"/>
      <c r="O51" s="627"/>
      <c r="P51" s="614"/>
    </row>
    <row r="52" spans="1:16" ht="30">
      <c r="A52" s="628"/>
      <c r="B52" s="629" t="s">
        <v>524</v>
      </c>
      <c r="C52" s="629" t="s">
        <v>102</v>
      </c>
      <c r="D52" s="629" t="s">
        <v>103</v>
      </c>
      <c r="E52" s="629" t="s">
        <v>104</v>
      </c>
      <c r="F52" s="629" t="s">
        <v>105</v>
      </c>
      <c r="G52" s="629" t="s">
        <v>106</v>
      </c>
      <c r="H52" s="629" t="s">
        <v>107</v>
      </c>
      <c r="I52" s="630" t="s">
        <v>108</v>
      </c>
      <c r="J52" s="619"/>
      <c r="K52" s="619"/>
      <c r="L52" s="627"/>
      <c r="M52" s="627"/>
      <c r="N52" s="627"/>
      <c r="O52" s="614"/>
      <c r="P52" s="614"/>
    </row>
    <row r="53" spans="1:16">
      <c r="A53" s="618" t="s">
        <v>284</v>
      </c>
      <c r="B53" s="631">
        <f t="shared" ref="B53:I53" si="2">$C$50*P34</f>
        <v>79.411764705882348</v>
      </c>
      <c r="C53" s="631">
        <f t="shared" si="2"/>
        <v>18997.411764705885</v>
      </c>
      <c r="D53" s="631">
        <f t="shared" si="2"/>
        <v>0</v>
      </c>
      <c r="E53" s="631">
        <f t="shared" si="2"/>
        <v>0</v>
      </c>
      <c r="F53" s="631">
        <f t="shared" si="2"/>
        <v>0</v>
      </c>
      <c r="G53" s="631">
        <f t="shared" si="2"/>
        <v>0</v>
      </c>
      <c r="H53" s="631">
        <f t="shared" si="2"/>
        <v>0</v>
      </c>
      <c r="I53" s="632">
        <f t="shared" si="2"/>
        <v>0</v>
      </c>
      <c r="J53" s="589"/>
      <c r="K53" s="589"/>
      <c r="L53" s="627"/>
      <c r="M53" s="627"/>
      <c r="N53" s="627"/>
      <c r="O53" s="614"/>
      <c r="P53" s="614"/>
    </row>
    <row r="54" spans="1:16" ht="15.75" thickBot="1">
      <c r="A54" s="633" t="s">
        <v>285</v>
      </c>
      <c r="B54" s="634">
        <f t="shared" ref="B54:I54" si="3">$B$50*P34</f>
        <v>113.44537815126051</v>
      </c>
      <c r="C54" s="634">
        <f t="shared" si="3"/>
        <v>27139.15966386555</v>
      </c>
      <c r="D54" s="634">
        <f t="shared" si="3"/>
        <v>0</v>
      </c>
      <c r="E54" s="634">
        <f t="shared" si="3"/>
        <v>0</v>
      </c>
      <c r="F54" s="634">
        <f t="shared" si="3"/>
        <v>0</v>
      </c>
      <c r="G54" s="634">
        <f t="shared" si="3"/>
        <v>0</v>
      </c>
      <c r="H54" s="634">
        <f t="shared" si="3"/>
        <v>0</v>
      </c>
      <c r="I54" s="635">
        <f t="shared" si="3"/>
        <v>0</v>
      </c>
      <c r="J54" s="589"/>
      <c r="K54" s="589"/>
      <c r="L54" s="627"/>
      <c r="M54" s="627"/>
      <c r="N54" s="627"/>
      <c r="O54" s="614"/>
      <c r="P54" s="614"/>
    </row>
    <row r="55" spans="1:16">
      <c r="J55" s="569"/>
      <c r="K55" s="569"/>
      <c r="L55" s="569"/>
      <c r="M55" s="569"/>
      <c r="N55" s="569"/>
    </row>
    <row r="56" spans="1:16">
      <c r="J56" s="569"/>
      <c r="K56" s="569"/>
      <c r="L56" s="569"/>
      <c r="M56" s="569"/>
      <c r="N56"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27338.571145260139</v>
      </c>
      <c r="C4" s="452">
        <f>huishoudens!C8</f>
        <v>0</v>
      </c>
      <c r="D4" s="452">
        <f>huishoudens!D8</f>
        <v>46144.798686800001</v>
      </c>
      <c r="E4" s="452">
        <f>huishoudens!E8</f>
        <v>11879.697183359938</v>
      </c>
      <c r="F4" s="452">
        <f>huishoudens!F8</f>
        <v>27517.566676046652</v>
      </c>
      <c r="G4" s="452">
        <f>huishoudens!G8</f>
        <v>0</v>
      </c>
      <c r="H4" s="452">
        <f>huishoudens!H8</f>
        <v>0</v>
      </c>
      <c r="I4" s="452">
        <f>huishoudens!I8</f>
        <v>0</v>
      </c>
      <c r="J4" s="452">
        <f>huishoudens!J8</f>
        <v>0</v>
      </c>
      <c r="K4" s="452">
        <f>huishoudens!K8</f>
        <v>0</v>
      </c>
      <c r="L4" s="452">
        <f>huishoudens!L8</f>
        <v>0</v>
      </c>
      <c r="M4" s="452">
        <f>huishoudens!M8</f>
        <v>0</v>
      </c>
      <c r="N4" s="452">
        <f>huishoudens!N8</f>
        <v>15563.503338055883</v>
      </c>
      <c r="O4" s="452">
        <f>huishoudens!O8</f>
        <v>523.76496991817646</v>
      </c>
      <c r="P4" s="453">
        <f>huishoudens!P8</f>
        <v>758.44507015332169</v>
      </c>
      <c r="Q4" s="454">
        <f>SUM(B4:P4)</f>
        <v>129726.34706959412</v>
      </c>
    </row>
    <row r="5" spans="1:17">
      <c r="A5" s="451" t="s">
        <v>155</v>
      </c>
      <c r="B5" s="452">
        <f ca="1">tertiair!B16</f>
        <v>25644.542755999999</v>
      </c>
      <c r="C5" s="452">
        <f ca="1">tertiair!C16</f>
        <v>96.428571428571431</v>
      </c>
      <c r="D5" s="452">
        <f ca="1">tertiair!D16</f>
        <v>21793.618759434863</v>
      </c>
      <c r="E5" s="452">
        <f>tertiair!E16</f>
        <v>357.10368426808441</v>
      </c>
      <c r="F5" s="452">
        <f ca="1">tertiair!F16</f>
        <v>2990.1044542648929</v>
      </c>
      <c r="G5" s="452">
        <f>tertiair!G16</f>
        <v>0</v>
      </c>
      <c r="H5" s="452">
        <f>tertiair!H16</f>
        <v>0</v>
      </c>
      <c r="I5" s="452">
        <f>tertiair!I16</f>
        <v>0</v>
      </c>
      <c r="J5" s="452">
        <f>tertiair!J16</f>
        <v>8.3517666434919452E-2</v>
      </c>
      <c r="K5" s="452">
        <f>tertiair!K16</f>
        <v>0</v>
      </c>
      <c r="L5" s="452">
        <f ca="1">tertiair!L16</f>
        <v>0</v>
      </c>
      <c r="M5" s="452">
        <f>tertiair!M16</f>
        <v>0</v>
      </c>
      <c r="N5" s="452">
        <f ca="1">tertiair!N16</f>
        <v>3273.7131935342541</v>
      </c>
      <c r="O5" s="452">
        <f>tertiair!O16</f>
        <v>19.589043063364617</v>
      </c>
      <c r="P5" s="453">
        <f>tertiair!P16</f>
        <v>315.23482983897009</v>
      </c>
      <c r="Q5" s="451">
        <f t="shared" ref="Q5:Q14" ca="1" si="0">SUM(B5:P5)</f>
        <v>54490.418809499439</v>
      </c>
    </row>
    <row r="6" spans="1:17">
      <c r="A6" s="451" t="s">
        <v>193</v>
      </c>
      <c r="B6" s="452">
        <f>'openbare verlichting'!B8</f>
        <v>1404.518</v>
      </c>
      <c r="C6" s="452"/>
      <c r="D6" s="452"/>
      <c r="E6" s="452"/>
      <c r="F6" s="452"/>
      <c r="G6" s="452"/>
      <c r="H6" s="452"/>
      <c r="I6" s="452"/>
      <c r="J6" s="452"/>
      <c r="K6" s="452"/>
      <c r="L6" s="452"/>
      <c r="M6" s="452"/>
      <c r="N6" s="452"/>
      <c r="O6" s="452"/>
      <c r="P6" s="453"/>
      <c r="Q6" s="451">
        <f t="shared" si="0"/>
        <v>1404.518</v>
      </c>
    </row>
    <row r="7" spans="1:17">
      <c r="A7" s="451" t="s">
        <v>111</v>
      </c>
      <c r="B7" s="452">
        <f>landbouw!B8</f>
        <v>6108.8710000000001</v>
      </c>
      <c r="C7" s="452">
        <f>landbouw!C8</f>
        <v>23068.285714285714</v>
      </c>
      <c r="D7" s="452">
        <f>landbouw!D8</f>
        <v>6529.0324090640006</v>
      </c>
      <c r="E7" s="452">
        <f>landbouw!E8</f>
        <v>190.65584945286352</v>
      </c>
      <c r="F7" s="452">
        <f>landbouw!F8</f>
        <v>21589.426836474118</v>
      </c>
      <c r="G7" s="452">
        <f>landbouw!G8</f>
        <v>0</v>
      </c>
      <c r="H7" s="452">
        <f>landbouw!H8</f>
        <v>0</v>
      </c>
      <c r="I7" s="452">
        <f>landbouw!I8</f>
        <v>0</v>
      </c>
      <c r="J7" s="452">
        <f>landbouw!J8</f>
        <v>1683.036325149104</v>
      </c>
      <c r="K7" s="452">
        <f>landbouw!K8</f>
        <v>0</v>
      </c>
      <c r="L7" s="452">
        <f>landbouw!L8</f>
        <v>0</v>
      </c>
      <c r="M7" s="452">
        <f>landbouw!M8</f>
        <v>0</v>
      </c>
      <c r="N7" s="452">
        <f>landbouw!N8</f>
        <v>0</v>
      </c>
      <c r="O7" s="452">
        <f>landbouw!O8</f>
        <v>0</v>
      </c>
      <c r="P7" s="453">
        <f>landbouw!P8</f>
        <v>0</v>
      </c>
      <c r="Q7" s="451">
        <f t="shared" si="0"/>
        <v>59169.30813442581</v>
      </c>
    </row>
    <row r="8" spans="1:17">
      <c r="A8" s="451" t="s">
        <v>625</v>
      </c>
      <c r="B8" s="452">
        <f>industrie!B18</f>
        <v>38889.665751000008</v>
      </c>
      <c r="C8" s="452">
        <f>industrie!C18</f>
        <v>0</v>
      </c>
      <c r="D8" s="452">
        <f>industrie!D18</f>
        <v>121313.504187964</v>
      </c>
      <c r="E8" s="452">
        <f>industrie!E18</f>
        <v>721.54013532087833</v>
      </c>
      <c r="F8" s="452">
        <f>industrie!F18</f>
        <v>4253.3297958875892</v>
      </c>
      <c r="G8" s="452">
        <f>industrie!G18</f>
        <v>0</v>
      </c>
      <c r="H8" s="452">
        <f>industrie!H18</f>
        <v>0</v>
      </c>
      <c r="I8" s="452">
        <f>industrie!I18</f>
        <v>0</v>
      </c>
      <c r="J8" s="452">
        <f>industrie!J18</f>
        <v>34.641815136515611</v>
      </c>
      <c r="K8" s="452">
        <f>industrie!K18</f>
        <v>0</v>
      </c>
      <c r="L8" s="452">
        <f>industrie!L18</f>
        <v>0</v>
      </c>
      <c r="M8" s="452">
        <f>industrie!M18</f>
        <v>0</v>
      </c>
      <c r="N8" s="452">
        <f>industrie!N18</f>
        <v>2055.0655291295902</v>
      </c>
      <c r="O8" s="452">
        <f>industrie!O18</f>
        <v>0</v>
      </c>
      <c r="P8" s="453">
        <f>industrie!P18</f>
        <v>0</v>
      </c>
      <c r="Q8" s="451">
        <f t="shared" si="0"/>
        <v>167267.74721443857</v>
      </c>
    </row>
    <row r="9" spans="1:17" s="457" customFormat="1">
      <c r="A9" s="455" t="s">
        <v>551</v>
      </c>
      <c r="B9" s="456">
        <f>transport!B14</f>
        <v>54.595041451075403</v>
      </c>
      <c r="C9" s="456">
        <f>transport!C14</f>
        <v>0</v>
      </c>
      <c r="D9" s="456">
        <f>transport!D14</f>
        <v>195.86336225276997</v>
      </c>
      <c r="E9" s="456">
        <f>transport!E14</f>
        <v>165.41869459163576</v>
      </c>
      <c r="F9" s="456">
        <f>transport!F14</f>
        <v>0</v>
      </c>
      <c r="G9" s="456">
        <f>transport!G14</f>
        <v>76657.082785276783</v>
      </c>
      <c r="H9" s="456">
        <f>transport!H14</f>
        <v>18272.356728946692</v>
      </c>
      <c r="I9" s="456">
        <f>transport!I14</f>
        <v>0</v>
      </c>
      <c r="J9" s="456">
        <f>transport!J14</f>
        <v>0</v>
      </c>
      <c r="K9" s="456">
        <f>transport!K14</f>
        <v>0</v>
      </c>
      <c r="L9" s="456">
        <f>transport!L14</f>
        <v>0</v>
      </c>
      <c r="M9" s="456">
        <f>transport!M14</f>
        <v>5628.4708455377868</v>
      </c>
      <c r="N9" s="456">
        <f>transport!N14</f>
        <v>0</v>
      </c>
      <c r="O9" s="456">
        <f>transport!O14</f>
        <v>0</v>
      </c>
      <c r="P9" s="456">
        <f>transport!P14</f>
        <v>0</v>
      </c>
      <c r="Q9" s="455">
        <f>SUM(B9:P9)</f>
        <v>100973.78745805674</v>
      </c>
    </row>
    <row r="10" spans="1:17">
      <c r="A10" s="451" t="s">
        <v>541</v>
      </c>
      <c r="B10" s="452">
        <f>transport!B54</f>
        <v>0</v>
      </c>
      <c r="C10" s="452">
        <f>transport!C54</f>
        <v>0</v>
      </c>
      <c r="D10" s="452">
        <f>transport!D54</f>
        <v>0</v>
      </c>
      <c r="E10" s="452">
        <f>transport!E54</f>
        <v>0</v>
      </c>
      <c r="F10" s="452">
        <f>transport!F54</f>
        <v>0</v>
      </c>
      <c r="G10" s="452">
        <f>transport!G54</f>
        <v>1954.8782743105123</v>
      </c>
      <c r="H10" s="452">
        <f>transport!H54</f>
        <v>0</v>
      </c>
      <c r="I10" s="452">
        <f>transport!I54</f>
        <v>0</v>
      </c>
      <c r="J10" s="452">
        <f>transport!J54</f>
        <v>0</v>
      </c>
      <c r="K10" s="452">
        <f>transport!K54</f>
        <v>0</v>
      </c>
      <c r="L10" s="452">
        <f>transport!L54</f>
        <v>0</v>
      </c>
      <c r="M10" s="452">
        <f>transport!M54</f>
        <v>108.63525654678301</v>
      </c>
      <c r="N10" s="452">
        <f>transport!N54</f>
        <v>0</v>
      </c>
      <c r="O10" s="452">
        <f>transport!O54</f>
        <v>0</v>
      </c>
      <c r="P10" s="453">
        <f>transport!P54</f>
        <v>0</v>
      </c>
      <c r="Q10" s="451">
        <f t="shared" si="0"/>
        <v>2063.5135308572953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789.47305000000006</v>
      </c>
      <c r="C14" s="459"/>
      <c r="D14" s="459">
        <f>'SEAP template'!E25</f>
        <v>1581.0832</v>
      </c>
      <c r="E14" s="459"/>
      <c r="F14" s="459"/>
      <c r="G14" s="459"/>
      <c r="H14" s="459"/>
      <c r="I14" s="459"/>
      <c r="J14" s="459"/>
      <c r="K14" s="459"/>
      <c r="L14" s="459"/>
      <c r="M14" s="459"/>
      <c r="N14" s="459"/>
      <c r="O14" s="459"/>
      <c r="P14" s="460"/>
      <c r="Q14" s="451">
        <f t="shared" si="0"/>
        <v>2370.5562500000001</v>
      </c>
    </row>
    <row r="15" spans="1:17" s="463" customFormat="1">
      <c r="A15" s="461" t="s">
        <v>545</v>
      </c>
      <c r="B15" s="462">
        <f ca="1">SUM(B4:B14)</f>
        <v>100230.23674371121</v>
      </c>
      <c r="C15" s="462">
        <f t="shared" ref="C15:Q15" ca="1" si="1">SUM(C4:C14)</f>
        <v>23164.714285714286</v>
      </c>
      <c r="D15" s="462">
        <f t="shared" ca="1" si="1"/>
        <v>197557.90060551564</v>
      </c>
      <c r="E15" s="462">
        <f t="shared" si="1"/>
        <v>13314.415546993399</v>
      </c>
      <c r="F15" s="462">
        <f t="shared" ca="1" si="1"/>
        <v>56350.427762673251</v>
      </c>
      <c r="G15" s="462">
        <f t="shared" si="1"/>
        <v>78611.961059587295</v>
      </c>
      <c r="H15" s="462">
        <f t="shared" si="1"/>
        <v>18272.356728946692</v>
      </c>
      <c r="I15" s="462">
        <f t="shared" si="1"/>
        <v>0</v>
      </c>
      <c r="J15" s="462">
        <f t="shared" si="1"/>
        <v>1717.7616579520545</v>
      </c>
      <c r="K15" s="462">
        <f t="shared" si="1"/>
        <v>0</v>
      </c>
      <c r="L15" s="462">
        <f t="shared" ca="1" si="1"/>
        <v>0</v>
      </c>
      <c r="M15" s="462">
        <f t="shared" si="1"/>
        <v>5737.10610208457</v>
      </c>
      <c r="N15" s="462">
        <f t="shared" ca="1" si="1"/>
        <v>20892.282060719728</v>
      </c>
      <c r="O15" s="462">
        <f t="shared" si="1"/>
        <v>543.35401298154113</v>
      </c>
      <c r="P15" s="462">
        <f t="shared" si="1"/>
        <v>1073.6798999922917</v>
      </c>
      <c r="Q15" s="462">
        <f t="shared" ca="1" si="1"/>
        <v>517466.196466872</v>
      </c>
    </row>
    <row r="17" spans="1:17">
      <c r="A17" s="464" t="s">
        <v>546</v>
      </c>
      <c r="B17" s="781">
        <f ca="1">huishoudens!B10</f>
        <v>0.16099016560471016</v>
      </c>
      <c r="C17" s="781">
        <f ca="1">huishoudens!C10</f>
        <v>9.8926177564326507E-4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4401.2410960715806</v>
      </c>
      <c r="C22" s="452">
        <f t="shared" ref="C22:C32" ca="1" si="3">C4*$C$17</f>
        <v>0</v>
      </c>
      <c r="D22" s="452">
        <f t="shared" ref="D22:D32" si="4">D4*$D$17</f>
        <v>9321.2493347336003</v>
      </c>
      <c r="E22" s="452">
        <f t="shared" ref="E22:E32" si="5">E4*$E$17</f>
        <v>2696.6912606227061</v>
      </c>
      <c r="F22" s="452">
        <f t="shared" ref="F22:F32" si="6">F4*$F$17</f>
        <v>7347.1903025044567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23766.371993932342</v>
      </c>
    </row>
    <row r="23" spans="1:17">
      <c r="A23" s="451" t="s">
        <v>155</v>
      </c>
      <c r="B23" s="452">
        <f t="shared" ca="1" si="2"/>
        <v>4128.5191851455102</v>
      </c>
      <c r="C23" s="452">
        <f t="shared" ca="1" si="3"/>
        <v>9.5393099794171987E-2</v>
      </c>
      <c r="D23" s="452">
        <f t="shared" ca="1" si="4"/>
        <v>4402.3109894058425</v>
      </c>
      <c r="E23" s="452">
        <f t="shared" si="5"/>
        <v>81.06253632885516</v>
      </c>
      <c r="F23" s="452">
        <f t="shared" ca="1" si="6"/>
        <v>798.35788928872648</v>
      </c>
      <c r="G23" s="452">
        <f t="shared" si="7"/>
        <v>0</v>
      </c>
      <c r="H23" s="452">
        <f t="shared" si="8"/>
        <v>0</v>
      </c>
      <c r="I23" s="452">
        <f t="shared" si="9"/>
        <v>0</v>
      </c>
      <c r="J23" s="452">
        <f t="shared" si="10"/>
        <v>2.9565253917961484E-2</v>
      </c>
      <c r="K23" s="452">
        <f t="shared" si="11"/>
        <v>0</v>
      </c>
      <c r="L23" s="452">
        <f t="shared" ca="1" si="12"/>
        <v>0</v>
      </c>
      <c r="M23" s="452">
        <f t="shared" si="13"/>
        <v>0</v>
      </c>
      <c r="N23" s="452">
        <f t="shared" ca="1" si="14"/>
        <v>0</v>
      </c>
      <c r="O23" s="452">
        <f t="shared" si="15"/>
        <v>0</v>
      </c>
      <c r="P23" s="453">
        <f t="shared" si="16"/>
        <v>0</v>
      </c>
      <c r="Q23" s="451">
        <f t="shared" ref="Q23:Q31" ca="1" si="17">SUM(B23:P23)</f>
        <v>9410.3755585226445</v>
      </c>
    </row>
    <row r="24" spans="1:17">
      <c r="A24" s="451" t="s">
        <v>193</v>
      </c>
      <c r="B24" s="452">
        <f t="shared" ca="1" si="2"/>
        <v>226.11358541479632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226.11358541479632</v>
      </c>
    </row>
    <row r="25" spans="1:17">
      <c r="A25" s="451" t="s">
        <v>111</v>
      </c>
      <c r="B25" s="452">
        <f t="shared" ca="1" si="2"/>
        <v>983.4681539478114</v>
      </c>
      <c r="C25" s="452">
        <f t="shared" ca="1" si="3"/>
        <v>22.82057328676045</v>
      </c>
      <c r="D25" s="452">
        <f t="shared" si="4"/>
        <v>1318.8645466309283</v>
      </c>
      <c r="E25" s="452">
        <f t="shared" si="5"/>
        <v>43.278877825800024</v>
      </c>
      <c r="F25" s="452">
        <f t="shared" si="6"/>
        <v>5764.3769653385898</v>
      </c>
      <c r="G25" s="452">
        <f t="shared" si="7"/>
        <v>0</v>
      </c>
      <c r="H25" s="452">
        <f t="shared" si="8"/>
        <v>0</v>
      </c>
      <c r="I25" s="452">
        <f t="shared" si="9"/>
        <v>0</v>
      </c>
      <c r="J25" s="452">
        <f t="shared" si="10"/>
        <v>595.79485910278277</v>
      </c>
      <c r="K25" s="452">
        <f t="shared" si="11"/>
        <v>0</v>
      </c>
      <c r="L25" s="452">
        <f t="shared" si="12"/>
        <v>0</v>
      </c>
      <c r="M25" s="452">
        <f t="shared" si="13"/>
        <v>0</v>
      </c>
      <c r="N25" s="452">
        <f t="shared" si="14"/>
        <v>0</v>
      </c>
      <c r="O25" s="452">
        <f t="shared" si="15"/>
        <v>0</v>
      </c>
      <c r="P25" s="453">
        <f t="shared" si="16"/>
        <v>0</v>
      </c>
      <c r="Q25" s="451">
        <f t="shared" ca="1" si="17"/>
        <v>8728.6039761326738</v>
      </c>
    </row>
    <row r="26" spans="1:17">
      <c r="A26" s="451" t="s">
        <v>625</v>
      </c>
      <c r="B26" s="452">
        <f t="shared" ca="1" si="2"/>
        <v>6260.8537295653159</v>
      </c>
      <c r="C26" s="452">
        <f t="shared" ca="1" si="3"/>
        <v>0</v>
      </c>
      <c r="D26" s="452">
        <f t="shared" si="4"/>
        <v>24505.327845968732</v>
      </c>
      <c r="E26" s="452">
        <f t="shared" si="5"/>
        <v>163.78961071783939</v>
      </c>
      <c r="F26" s="452">
        <f t="shared" si="6"/>
        <v>1135.6390555019864</v>
      </c>
      <c r="G26" s="452">
        <f t="shared" si="7"/>
        <v>0</v>
      </c>
      <c r="H26" s="452">
        <f t="shared" si="8"/>
        <v>0</v>
      </c>
      <c r="I26" s="452">
        <f t="shared" si="9"/>
        <v>0</v>
      </c>
      <c r="J26" s="452">
        <f t="shared" si="10"/>
        <v>12.263202558326526</v>
      </c>
      <c r="K26" s="452">
        <f t="shared" si="11"/>
        <v>0</v>
      </c>
      <c r="L26" s="452">
        <f t="shared" si="12"/>
        <v>0</v>
      </c>
      <c r="M26" s="452">
        <f t="shared" si="13"/>
        <v>0</v>
      </c>
      <c r="N26" s="452">
        <f t="shared" si="14"/>
        <v>0</v>
      </c>
      <c r="O26" s="452">
        <f t="shared" si="15"/>
        <v>0</v>
      </c>
      <c r="P26" s="453">
        <f t="shared" si="16"/>
        <v>0</v>
      </c>
      <c r="Q26" s="451">
        <f t="shared" ca="1" si="17"/>
        <v>32077.873444312198</v>
      </c>
    </row>
    <row r="27" spans="1:17" s="457" customFormat="1">
      <c r="A27" s="455" t="s">
        <v>551</v>
      </c>
      <c r="B27" s="775">
        <f t="shared" ca="1" si="2"/>
        <v>8.7892647644046455</v>
      </c>
      <c r="C27" s="456">
        <f t="shared" ca="1" si="3"/>
        <v>0</v>
      </c>
      <c r="D27" s="456">
        <f t="shared" si="4"/>
        <v>39.564399175059535</v>
      </c>
      <c r="E27" s="456">
        <f t="shared" si="5"/>
        <v>37.550043672301321</v>
      </c>
      <c r="F27" s="456">
        <f t="shared" si="6"/>
        <v>0</v>
      </c>
      <c r="G27" s="456">
        <f t="shared" si="7"/>
        <v>20467.441103668902</v>
      </c>
      <c r="H27" s="456">
        <f t="shared" si="8"/>
        <v>4549.8168255077262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25103.161636788391</v>
      </c>
    </row>
    <row r="28" spans="1:17" ht="16.5" customHeight="1">
      <c r="A28" s="451" t="s">
        <v>541</v>
      </c>
      <c r="B28" s="452">
        <f t="shared" ca="1" si="2"/>
        <v>0</v>
      </c>
      <c r="C28" s="452">
        <f t="shared" ca="1" si="3"/>
        <v>0</v>
      </c>
      <c r="D28" s="452">
        <f t="shared" si="4"/>
        <v>0</v>
      </c>
      <c r="E28" s="452">
        <f t="shared" si="5"/>
        <v>0</v>
      </c>
      <c r="F28" s="452">
        <f t="shared" si="6"/>
        <v>0</v>
      </c>
      <c r="G28" s="452">
        <f t="shared" si="7"/>
        <v>521.95249924090683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521.95249924090683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127.09739705995564</v>
      </c>
      <c r="C32" s="452">
        <f t="shared" ca="1" si="3"/>
        <v>0</v>
      </c>
      <c r="D32" s="452">
        <f t="shared" si="4"/>
        <v>319.37880640000003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446.47620345995568</v>
      </c>
    </row>
    <row r="33" spans="1:17" s="463" customFormat="1">
      <c r="A33" s="461" t="s">
        <v>545</v>
      </c>
      <c r="B33" s="462">
        <f ca="1">SUM(B22:B32)</f>
        <v>16136.082411969375</v>
      </c>
      <c r="C33" s="462">
        <f t="shared" ref="C33:Q33" ca="1" si="19">SUM(C22:C32)</f>
        <v>22.915966386554622</v>
      </c>
      <c r="D33" s="462">
        <f t="shared" ca="1" si="19"/>
        <v>39906.69592231416</v>
      </c>
      <c r="E33" s="462">
        <f t="shared" si="19"/>
        <v>3022.3723291675019</v>
      </c>
      <c r="F33" s="462">
        <f t="shared" ca="1" si="19"/>
        <v>15045.564212633759</v>
      </c>
      <c r="G33" s="462">
        <f t="shared" si="19"/>
        <v>20989.393602909808</v>
      </c>
      <c r="H33" s="462">
        <f t="shared" si="19"/>
        <v>4549.8168255077262</v>
      </c>
      <c r="I33" s="462">
        <f t="shared" si="19"/>
        <v>0</v>
      </c>
      <c r="J33" s="462">
        <f t="shared" si="19"/>
        <v>608.08762691502727</v>
      </c>
      <c r="K33" s="462">
        <f t="shared" si="19"/>
        <v>0</v>
      </c>
      <c r="L33" s="462">
        <f t="shared" ca="1" si="19"/>
        <v>0</v>
      </c>
      <c r="M33" s="462">
        <f t="shared" si="19"/>
        <v>0</v>
      </c>
      <c r="N33" s="462">
        <f t="shared" ca="1" si="19"/>
        <v>0</v>
      </c>
      <c r="O33" s="462">
        <f t="shared" si="19"/>
        <v>0</v>
      </c>
      <c r="P33" s="462">
        <f t="shared" si="19"/>
        <v>0</v>
      </c>
      <c r="Q33" s="462">
        <f t="shared" ca="1" si="19"/>
        <v>100280.92889780393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11073.573687155626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16147.8</v>
      </c>
      <c r="C8" s="1029">
        <f>'SEAP template'!C76</f>
        <v>67.499999999999986</v>
      </c>
      <c r="D8" s="1029">
        <f>'SEAP template'!D76</f>
        <v>79.411764705882348</v>
      </c>
      <c r="E8" s="1029">
        <f>'SEAP template'!E76</f>
        <v>0</v>
      </c>
      <c r="F8" s="1029">
        <f>'SEAP template'!F76</f>
        <v>0</v>
      </c>
      <c r="G8" s="1029">
        <f>'SEAP template'!G76</f>
        <v>0</v>
      </c>
      <c r="H8" s="1029">
        <f>'SEAP template'!H76</f>
        <v>0</v>
      </c>
      <c r="I8" s="1029">
        <f>'SEAP template'!I76</f>
        <v>0</v>
      </c>
      <c r="J8" s="1029">
        <f>'SEAP template'!J76</f>
        <v>18997.411764705885</v>
      </c>
      <c r="K8" s="1029">
        <f>'SEAP template'!K76</f>
        <v>0</v>
      </c>
      <c r="L8" s="1029">
        <f>'SEAP template'!L76</f>
        <v>0</v>
      </c>
      <c r="M8" s="1029">
        <f>'SEAP template'!M76</f>
        <v>0</v>
      </c>
      <c r="N8" s="1029">
        <f>'SEAP template'!N76</f>
        <v>0</v>
      </c>
      <c r="O8" s="1029">
        <f>'SEAP template'!O76</f>
        <v>0</v>
      </c>
      <c r="P8" s="1030">
        <f>'SEAP template'!Q76</f>
        <v>16.041176470588237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27221.373687155625</v>
      </c>
      <c r="C10" s="1031">
        <f>SUM(C4:C9)</f>
        <v>67.499999999999986</v>
      </c>
      <c r="D10" s="1031">
        <f t="shared" ref="D10:H10" si="0">SUM(D8:D9)</f>
        <v>79.411764705882348</v>
      </c>
      <c r="E10" s="1031">
        <f t="shared" si="0"/>
        <v>0</v>
      </c>
      <c r="F10" s="1031">
        <f t="shared" si="0"/>
        <v>0</v>
      </c>
      <c r="G10" s="1031">
        <f t="shared" si="0"/>
        <v>0</v>
      </c>
      <c r="H10" s="1031">
        <f t="shared" si="0"/>
        <v>0</v>
      </c>
      <c r="I10" s="1031">
        <f>SUM(I8:I9)</f>
        <v>0</v>
      </c>
      <c r="J10" s="1031">
        <f>SUM(J8:J9)</f>
        <v>18997.411764705885</v>
      </c>
      <c r="K10" s="1031">
        <f t="shared" ref="K10:L10" si="1">SUM(K8:K9)</f>
        <v>0</v>
      </c>
      <c r="L10" s="1031">
        <f t="shared" si="1"/>
        <v>0</v>
      </c>
      <c r="M10" s="1031">
        <f>SUM(M8:M9)</f>
        <v>0</v>
      </c>
      <c r="N10" s="1031">
        <f>SUM(N8:N9)</f>
        <v>0</v>
      </c>
      <c r="O10" s="1031">
        <f>SUM(O8:O9)</f>
        <v>0</v>
      </c>
      <c r="P10" s="1031">
        <f>SUM(P8:P9)</f>
        <v>16.041176470588237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0.16099016560471016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23068.285714285714</v>
      </c>
      <c r="C17" s="1032">
        <f>'SEAP template'!C87</f>
        <v>96.428571428571416</v>
      </c>
      <c r="D17" s="1030">
        <f>'SEAP template'!D87</f>
        <v>113.44537815126051</v>
      </c>
      <c r="E17" s="1030">
        <f>'SEAP template'!E87</f>
        <v>0</v>
      </c>
      <c r="F17" s="1030">
        <f>'SEAP template'!F87</f>
        <v>0</v>
      </c>
      <c r="G17" s="1030">
        <f>'SEAP template'!G87</f>
        <v>0</v>
      </c>
      <c r="H17" s="1030">
        <f>'SEAP template'!H87</f>
        <v>0</v>
      </c>
      <c r="I17" s="1030">
        <f>'SEAP template'!I87</f>
        <v>0</v>
      </c>
      <c r="J17" s="1030">
        <f>'SEAP template'!J87</f>
        <v>27139.15966386555</v>
      </c>
      <c r="K17" s="1030">
        <f>'SEAP template'!K87</f>
        <v>0</v>
      </c>
      <c r="L17" s="1030">
        <f>'SEAP template'!L87</f>
        <v>0</v>
      </c>
      <c r="M17" s="1030">
        <f>'SEAP template'!M87</f>
        <v>0</v>
      </c>
      <c r="N17" s="1030">
        <f>'SEAP template'!N87</f>
        <v>0</v>
      </c>
      <c r="O17" s="1030">
        <f>'SEAP template'!O87</f>
        <v>0</v>
      </c>
      <c r="P17" s="1030">
        <f>'SEAP template'!Q87</f>
        <v>22.915966386554626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23068.285714285714</v>
      </c>
      <c r="C20" s="1031">
        <f>SUM(C17:C19)</f>
        <v>96.428571428571416</v>
      </c>
      <c r="D20" s="1031">
        <f t="shared" ref="D20:H20" si="2">SUM(D17:D19)</f>
        <v>113.44537815126051</v>
      </c>
      <c r="E20" s="1031">
        <f t="shared" si="2"/>
        <v>0</v>
      </c>
      <c r="F20" s="1031">
        <f t="shared" si="2"/>
        <v>0</v>
      </c>
      <c r="G20" s="1031">
        <f t="shared" si="2"/>
        <v>0</v>
      </c>
      <c r="H20" s="1031">
        <f t="shared" si="2"/>
        <v>0</v>
      </c>
      <c r="I20" s="1031">
        <f>SUM(I17:I19)</f>
        <v>0</v>
      </c>
      <c r="J20" s="1031">
        <f>SUM(J17:J19)</f>
        <v>27139.15966386555</v>
      </c>
      <c r="K20" s="1031">
        <f t="shared" ref="K20:L20" si="3">SUM(K17:K19)</f>
        <v>0</v>
      </c>
      <c r="L20" s="1031">
        <f t="shared" si="3"/>
        <v>0</v>
      </c>
      <c r="M20" s="1031">
        <f>SUM(M17:M19)</f>
        <v>0</v>
      </c>
      <c r="N20" s="1031">
        <f>SUM(N17:N19)</f>
        <v>0</v>
      </c>
      <c r="O20" s="1031">
        <f>SUM(O17:O19)</f>
        <v>0</v>
      </c>
      <c r="P20" s="1031">
        <f>SUM(P17:P19)</f>
        <v>22.915966386554626</v>
      </c>
    </row>
    <row r="21" spans="1:16">
      <c r="B21" s="887"/>
    </row>
    <row r="22" spans="1:16">
      <c r="A22" s="464" t="s">
        <v>797</v>
      </c>
      <c r="B22" s="781" t="s">
        <v>795</v>
      </c>
      <c r="C22" s="781">
        <f ca="1">'EF ele_warmte'!B22</f>
        <v>9.8926177564326507E-4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0.16099016560471016</v>
      </c>
      <c r="C17" s="501">
        <f ca="1">'EF ele_warmte'!B22</f>
        <v>9.8926177564326507E-4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2020-06-20T15:37:32Z</dcterms:modified>
</cp:coreProperties>
</file>