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<sst xmlns="http://schemas.openxmlformats.org/spreadsheetml/2006/main" count="2402" uniqueCount="888">
  <si>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</si>
  <si>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</si>
  <si>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</si>
  <si>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</si>
  <si>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</si>
  <si>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</si>
  <si>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</si>
  <si>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</si>
  <si>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</si>
  <si>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</si>
  <si>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</si>
  <si>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</si>
  <si>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</si>
  <si>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</si>
  <si>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</si>
  <si>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</si>
  <si>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</si>
  <si>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</si>
  <si>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</si>
  <si>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</si>
  <si>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</si>
  <si>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</si>
  <si>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</si>
  <si>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</si>
  <si>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</si>
  <si>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</si>
  <si>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</si>
  <si>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</si>
  <si>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</si>
  <si>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</si>
  <si>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</si>
  <si>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</si>
  <si>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</si>
  <si>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</si>
  <si>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</si>
  <si>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</si>
  <si>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</si>
  <si>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</si>
  <si>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</si>
  <si>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</si>
  <si>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</si>
  <si>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</si>
  <si>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</si>
  <si>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</si>
  <si>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</si>
  <si>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</si>
  <si>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</si>
  <si>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</si>
  <si>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</si>
  <si>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</si>
  <si>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</si>
  <si>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</si>
  <si>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</si>
  <si>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</si>
  <si>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</si>
  <si>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</si>
  <si>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</si>
  <si>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</si>
  <si>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</si>
  <si>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</si>
  <si>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</si>
  <si>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</si>
  <si>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</si>
  <si>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</si>
  <si>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</si>
  <si>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</si>
  <si>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</si>
  <si>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</si>
  <si>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</si>
  <si>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</si>
  <si>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</si>
  <si>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</si>
  <si>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</si>
  <si>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</si>
  <si>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</si>
  <si>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</si>
  <si>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</si>
  <si>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</si>
  <si>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</si>
  <si>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</si>
  <si>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</si>
  <si>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</si>
  <si>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</si>
  <si>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</si>
  <si>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</si>
  <si>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</si>
  <si>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</si>
  <si>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</si>
  <si>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</si>
  <si>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</si>
  <si>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</si>
  <si>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</si>
  <si>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</si>
  <si>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</si>
  <si>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</si>
  <si>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</si>
  <si>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</si>
  <si>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</si>
  <si>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</si>
  <si>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</si>
  <si>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</si>
  <si>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</si>
  <si>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</si>
  <si>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</si>
  <si>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</si>
  <si>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</si>
  <si>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</si>
  <si>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</si>
  <si>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</si>
  <si>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</si>
  <si>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</si>
  <si>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</si>
  <si>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</si>
  <si>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</si>
  <si>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</si>
  <si>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</si>
  <si>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</si>
  <si>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</si>
  <si>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</si>
  <si>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</si>
  <si>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</si>
  <si>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</si>
  <si>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</si>
  <si>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</si>
  <si>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</si>
  <si>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</si>
  <si>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</si>
  <si>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</si>
  <si>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</si>
  <si>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</si>
  <si>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</si>
  <si>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</si>
  <si>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</si>
  <si>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</si>
  <si>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</si>
  <si>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</si>
  <si>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</si>
  <si>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</si>
  <si>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</si>
  <si>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</si>
  <si>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</si>
  <si>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</si>
  <si>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</si>
  <si>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</si>
  <si>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</si>
  <si>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</si>
  <si>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</si>
  <si>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</si>
  <si>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</si>
  <si>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</si>
  <si>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</si>
  <si>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</si>
  <si>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</si>
  <si>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</si>
  <si>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</si>
  <si>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</si>
  <si>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</si>
  <si>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</si>
  <si>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</si>
  <si>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</si>
  <si>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</si>
  <si>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</si>
  <si>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</si>
  <si>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</si>
  <si>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</si>
  <si>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</si>
  <si>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</si>
  <si>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</si>
  <si>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</si>
  <si>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</si>
  <si>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</si>
  <si>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</si>
  <si>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</si>
  <si>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</si>
  <si>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</si>
  <si>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</si>
  <si>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</si>
  <si>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</si>
  <si>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</si>
  <si>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</si>
  <si>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</si>
  <si>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</si>
  <si>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</si>
  <si>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</si>
  <si>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</si>
  <si>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</si>
  <si>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</si>
  <si>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</si>
  <si>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</si>
  <si>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</si>
  <si>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</si>
  <si>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</si>
  <si>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</si>
  <si>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</si>
  <si>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</si>
  <si>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</si>
  <si>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</si>
  <si>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</si>
  <si>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</si>
  <si>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</si>
  <si>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</si>
  <si>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</si>
  <si>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</si>
  <si>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</si>
  <si>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</si>
  <si>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</si>
  <si>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</si>
  <si>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</si>
  <si>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</si>
  <si>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</si>
  <si>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</si>
  <si>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</si>
  <si>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</si>
  <si>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</si>
  <si>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</si>
  <si>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</si>
  <si>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</si>
  <si>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</si>
  <si>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</si>
  <si>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</si>
  <si>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</si>
  <si>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</si>
  <si>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</si>
  <si>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</si>
  <si>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</si>
  <si>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</si>
  <si>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</si>
  <si>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</si>
  <si>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</si>
  <si>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</si>
  <si>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</si>
  <si>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</si>
  <si>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</si>
  <si>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</si>
  <si>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</si>
  <si>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</si>
  <si>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</si>
  <si>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</si>
  <si>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</si>
  <si>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</si>
  <si>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</si>
  <si>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</si>
  <si>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</si>
  <si>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</si>
  <si>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</si>
  <si>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</si>
  <si>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</si>
  <si>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</si>
  <si>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</si>
  <si>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</si>
  <si>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</si>
  <si>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</si>
  <si>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</si>
  <si>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</si>
  <si>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</si>
  <si>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</si>
  <si>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</si>
  <si>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</si>
  <si>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</si>
  <si>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</si>
  <si>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</si>
  <si>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</si>
  <si>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</si>
  <si>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</si>
  <si>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</si>
  <si>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</si>
  <si>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</si>
  <si>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</si>
  <si>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</si>
  <si>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</si>
  <si>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</si>
  <si>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</si>
  <si>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</si>
  <si>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</si>
  <si>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</si>
  <si>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</si>
  <si>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</si>
  <si>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</si>
  <si>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</si>
  <si>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</si>
  <si>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</si>
  <si>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</si>
  <si>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</si>
  <si>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</si>
  <si>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</si>
  <si>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</si>
  <si>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</si>
  <si>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</si>
  <si>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</si>
  <si>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</si>
  <si>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</si>
  <si>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</si>
  <si>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</si>
  <si>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</si>
  <si>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</si>
  <si>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</si>
  <si>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</si>
  <si>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</si>
  <si>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</si>
  <si>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</si>
  <si>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</si>
  <si>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</si>
  <si>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</si>
  <si>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</si>
  <si>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</si>
  <si>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</si>
  <si>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</si>
  <si>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</si>
  <si>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</si>
  <si>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</si>
  <si>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</si>
  <si>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</si>
  <si>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</si>
  <si>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</si>
  <si>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</si>
  <si>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</si>
  <si>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</si>
  <si>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</si>
  <si>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</si>
  <si>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</si>
  <si>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</si>
  <si>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</si>
  <si>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</si>
  <si>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</si>
  <si>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</si>
  <si>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</si>
  <si>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</si>
  <si>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</si>
  <si>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</si>
  <si>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</si>
  <si>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</si>
  <si>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</si>
  <si>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</si>
  <si>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</si>
  <si>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</si>
  <si>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</si>
  <si>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</si>
  <si>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</si>
  <si>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</si>
  <si>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</si>
  <si>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</si>
  <si>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</si>
  <si>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</si>
  <si>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</si>
  <si>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</si>
  <si>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</si>
  <si>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</si>
  <si>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</si>
  <si>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</si>
  <si>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</si>
  <si>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</si>
  <si>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</si>
  <si>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</si>
  <si>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</si>
  <si>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</si>
  <si>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</si>
  <si>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</si>
  <si>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</si>
  <si>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</si>
  <si>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</si>
  <si>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</si>
  <si>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</si>
  <si>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</si>
  <si>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</si>
  <si>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</si>
  <si>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</si>
  <si>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</si>
  <si>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</si>
  <si>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</si>
  <si>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</si>
  <si>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</si>
  <si>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</si>
  <si>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</si>
  <si>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</si>
  <si>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</si>
  <si>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</si>
  <si>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</si>
  <si>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</si>
  <si>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</si>
  <si>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</si>
  <si>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</si>
  <si>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</si>
  <si>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</si>
  <si>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</si>
  <si>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</si>
  <si>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</si>
  <si>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</si>
  <si>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</si>
  <si>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</si>
  <si>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</si>
  <si>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</si>
  <si>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</si>
  <si>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</si>
  <si>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</si>
  <si>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</si>
  <si>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</si>
  <si>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</si>
  <si>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</si>
  <si>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</si>
  <si>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</si>
  <si>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</si>
  <si>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</si>
  <si>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</si>
  <si>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</si>
  <si>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</si>
  <si>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</si>
  <si>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</si>
  <si>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</si>
  <si>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</si>
  <si>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</si>
  <si>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</si>
  <si>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</si>
  <si>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</si>
  <si>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</si>
  <si>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</si>
  <si>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</si>
  <si>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</si>
  <si>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</si>
  <si>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</si>
  <si>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</si>
  <si>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</si>
  <si>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</si>
  <si>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</si>
  <si>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</si>
  <si>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</si>
  <si>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</si>
  <si>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</si>
  <si>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</si>
  <si>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</si>
  <si>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</si>
  <si>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</si>
  <si>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</si>
  <si>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</si>
  <si>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</si>
  <si>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</si>
  <si>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</si>
  <si>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</si>
  <si>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</si>
  <si>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</si>
  <si>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</si>
  <si>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</si>
  <si>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</si>
  <si>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</si>
  <si>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</si>
  <si>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</si>
  <si>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</si>
  <si>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</si>
  <si>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</si>
  <si>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</si>
  <si>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</si>
  <si>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</si>
  <si>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</si>
  <si>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</si>
  <si>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</si>
  <si>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</si>
  <si>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</si>
  <si>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</si>
  <si>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</si>
  <si>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</si>
  <si>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</si>
  <si>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</si>
  <si>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</si>
  <si>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</si>
  <si>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</si>
  <si>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</si>
  <si>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</si>
  <si>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</si>
  <si>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</si>
  <si>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</si>
  <si>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</si>
  <si>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</si>
  <si>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</si>
  <si>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</si>
  <si>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</si>
  <si>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</si>
  <si>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</si>
  <si>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</si>
  <si>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</si>
  <si>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</si>
  <si>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</si>
  <si>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</si>
  <si>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</si>
  <si>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</si>
  <si>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</si>
  <si>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</si>
  <si>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</si>
  <si>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</si>
  <si>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</si>
  <si>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</si>
  <si>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</si>
  <si>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</si>
  <si>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</si>
  <si>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</si>
  <si>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</si>
  <si>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</si>
  <si>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</si>
  <si>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</si>
  <si>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</si>
  <si>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</si>
  <si>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</si>
  <si>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</si>
  <si>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</si>
  <si>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</si>
  <si>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</si>
  <si>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</si>
  <si>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</si>
  <si>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</si>
  <si>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</si>
  <si>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</si>
  <si>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</si>
  <si>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</si>
  <si>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</si>
  <si>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</si>
  <si>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</si>
  <si>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</si>
  <si>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</si>
  <si>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</si>
  <si>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</si>
  <si>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</si>
  <si>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</si>
  <si>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</si>
  <si>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</si>
  <si>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</si>
  <si>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</si>
  <si>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</si>
  <si>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</si>
  <si>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</si>
  <si>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</si>
  <si>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</si>
  <si>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</si>
  <si>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</si>
  <si>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</si>
  <si>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</si>
  <si>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</si>
  <si>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</si>
  <si>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</si>
  <si>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</si>
  <si>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</si>
  <si>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</si>
  <si>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</si>
  <si>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</si>
  <si>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</si>
  <si>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</si>
  <si>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</si>
  <si>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</si>
  <si>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</si>
  <si>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</si>
  <si>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</si>
  <si>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</si>
  <si>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</si>
  <si>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</si>
  <si>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</si>
  <si>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</si>
  <si>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</si>
  <si>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</si>
  <si>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</si>
  <si>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</si>
  <si>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</si>
  <si>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</si>
  <si>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</si>
  <si>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</si>
  <si>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</si>
  <si>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</si>
  <si>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</si>
  <si>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</si>
  <si>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</si>
  <si>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</si>
  <si>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</si>
  <si>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</si>
  <si>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</si>
  <si>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</si>
  <si>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</si>
  <si>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</si>
  <si>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</si>
  <si>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</si>
  <si>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</si>
  <si>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</si>
  <si>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</si>
  <si>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</si>
  <si>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</si>
  <si>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</si>
  <si>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</si>
  <si>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</si>
  <si>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</si>
  <si>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</si>
  <si>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</si>
  <si>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</si>
  <si>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</si>
  <si>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</si>
  <si>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</si>
  <si>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</si>
  <si>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</si>
  <si>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</si>
  <si>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</si>
  <si>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</si>
  <si>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</si>
  <si>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</si>
  <si>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</si>
  <si>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</si>
  <si>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</si>
  <si>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</si>
  <si>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</si>
  <si>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</si>
  <si>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</si>
  <si>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</si>
  <si>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</si>
  <si>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</si>
  <si>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</si>
  <si>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</si>
  <si>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</si>
  <si>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</si>
  <si>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</si>
  <si>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</si>
  <si>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</si>
  <si>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</si>
  <si>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</si>
  <si>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</si>
  <si>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</si>
  <si>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</si>
  <si>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</si>
  <si>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</si>
  <si>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</si>
  <si>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</si>
  <si>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</si>
  <si>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</si>
  <si>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</si>
  <si>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</si>
  <si>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</si>
  <si>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</si>
  <si>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</si>
  <si>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</si>
  <si>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</si>
  <si>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</si>
  <si>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</si>
  <si>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</si>
  <si>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</si>
  <si>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</si>
  <si>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</si>
  <si>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</si>
  <si>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</si>
  <si>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</si>
  <si>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</si>
  <si>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</si>
  <si>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</si>
  <si>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</si>
  <si>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</si>
  <si>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</si>
  <si>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</si>
  <si>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</si>
  <si>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</si>
  <si>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</si>
  <si>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</si>
  <si>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</si>
  <si>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</si>
  <si>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</si>
  <si>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</si>
  <si>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</si>
  <si>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</si>
  <si>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</si>
  <si>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</si>
  <si>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</si>
  <si>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</si>
  <si>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</si>
  <si>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</si>
  <si>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</si>
  <si>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</si>
  <si>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</si>
  <si>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</si>
  <si>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</si>
  <si>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</si>
  <si>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</si>
  <si>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</si>
  <si>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</si>
  <si>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</si>
  <si>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</si>
  <si>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</si>
  <si>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</si>
  <si>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</si>
  <si>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</si>
  <si>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</si>
  <si>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</si>
  <si>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</si>
  <si>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</si>
  <si>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</si>
  <si>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</si>
  <si>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</si>
  <si>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</si>
  <si>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</si>
  <si>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</si>
  <si>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</si>
  <si>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</si>
  <si>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</si>
  <si>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</si>
  <si>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</si>
  <si>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</si>
  <si>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</si>
  <si>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</si>
  <si>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</si>
  <si>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</si>
  <si>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</si>
  <si>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</si>
  <si>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</si>
  <si>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</si>
  <si>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</si>
  <si>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</si>
  <si>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</si>
  <si>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</si>
  <si>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</si>
  <si>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</si>
  <si>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</si>
  <si>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</si>
  <si>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</si>
  <si>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</si>
  <si>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</si>
  <si>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</si>
  <si>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</si>
  <si>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</si>
  <si>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</si>
  <si>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</si>
  <si>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</si>
  <si>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</si>
  <si>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</si>
  <si>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</si>
  <si>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</si>
  <si>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</si>
  <si>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</si>
  <si>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</si>
  <si>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</si>
  <si>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</si>
  <si>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</si>
  <si>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</si>
  <si>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</si>
  <si>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</si>
  <si>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</si>
  <si>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</si>
  <si>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</si>
  <si>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</si>
  <si>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</si>
  <si>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</si>
  <si>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</si>
  <si>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</si>
  <si>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</si>
  <si>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</si>
  <si>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</si>
  <si>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</si>
  <si>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</si>
  <si>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</si>
  <si>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</si>
  <si>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</si>
  <si>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</si>
  <si>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</si>
  <si>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</si>
  <si>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</si>
  <si>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</si>
  <si>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</si>
  <si>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</si>
  <si>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</si>
  <si>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</si>
  <si>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</si>
  <si>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</si>
  <si>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</si>
  <si>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</si>
  <si>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</si>
  <si>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</si>
  <si>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</si>
  <si>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</si>
  <si>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</si>
  <si>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</si>
  <si>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</si>
  <si>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</si>
  <si>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</si>
  <si>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</si>
  <si>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</si>
  <si>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</si>
  <si>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</si>
  <si>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</si>
  <si>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</si>
  <si>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</si>
  <si>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</si>
  <si>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</si>
  <si>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</si>
  <si>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</si>
  <si>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</si>
  <si>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</si>
  <si>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</si>
  <si>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</si>
  <si>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</si>
  <si>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</si>
  <si>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</si>
  <si>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</si>
  <si>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</si>
  <si>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</si>
  <si>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</si>
  <si>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</si>
  <si>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</si>
  <si>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</si>
  <si>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</si>
  <si>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</si>
  <si>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</si>
  <si>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</si>
  <si>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</si>
  <si>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</si>
  <si>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</si>
  <si>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</si>
  <si>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</si>
  <si>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</si>
  <si>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</si>
  <si>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</si>
  <si>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</si>
  <si>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</si>
  <si>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</si>
  <si>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</si>
  <si>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</si>
  <si>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</si>
  <si>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</si>
  <si>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</si>
  <si>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</si>
  <si>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</si>
  <si>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</si>
  <si>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</si>
  <si>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</si>
  <si>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</si>
  <si>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</si>
  <si>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</si>
  <si>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</si>
  <si>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</si>
  <si>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</si>
  <si>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</si>
  <si>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</si>
  <si>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</si>
  <si>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</si>
  <si>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</si>
  <si>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</si>
  <si>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</si>
  <si>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</si>
  <si>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</si>
  <si>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</si>
  <si>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</si>
  <si>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</si>
  <si>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</si>
  <si>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</si>
  <si>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</si>
  <si>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</si>
  <si>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</si>
  <si>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</si>
  <si>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</si>
  <si>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</si>
  <si>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</si>
  <si>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</si>
  <si>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</si>
  <si>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</si>
  <si>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</si>
  <si>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</si>
  <si>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</si>
  <si>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</si>
  <si>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</si>
  <si>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</si>
  <si>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</si>
  <si>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</si>
  <si>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</si>
  <si>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</si>
  <si>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</si>
  <si>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</si>
  <si>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</si>
  <si>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</si>
  <si>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</si>
  <si>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</si>
  <si>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</si>
  <si>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</si>
  <si>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</si>
  <si>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</si>
  <si>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</si>
  <si>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</si>
  <si>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</si>
  <si>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</si>
  <si>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</si>
  <si>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</si>
  <si>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</si>
  <si>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</si>
  <si>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</si>
  <si>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</si>
  <si>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</si>
  <si>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</si>
  <si>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</si>
  <si>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</si>
  <si>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71070</t>
  </si>
  <si>
    <t>HEUSDEN-ZOLDER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</si>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</sst>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255263.34647991409</c:v>
                </c:pt>
                <c:pt idx="1">
                  <c:v>104038.45979736774</c:v>
                </c:pt>
                <c:pt idx="2">
                  <c:v>1814.19</c:v>
                </c:pt>
                <c:pt idx="3">
                  <c:v>1033.1203014240384</c:v>
                </c:pt>
                <c:pt idx="4">
                  <c:v>117845.97134172336</c:v>
                </c:pt>
                <c:pt idx="5">
                  <c:v>311396.01874260587</c:v>
                </c:pt>
                <c:pt idx="6">
                  <c:v>3202.0886715885958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255263.34647991409</c:v>
                </c:pt>
                <c:pt idx="1">
                  <c:v>104038.45979736774</c:v>
                </c:pt>
                <c:pt idx="2">
                  <c:v>1814.19</c:v>
                </c:pt>
                <c:pt idx="3">
                  <c:v>1033.1203014240384</c:v>
                </c:pt>
                <c:pt idx="4">
                  <c:v>117845.97134172336</c:v>
                </c:pt>
                <c:pt idx="5">
                  <c:v>311396.01874260587</c:v>
                </c:pt>
                <c:pt idx="6">
                  <c:v>3202.0886715885958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48416.735582574045</c:v>
                </c:pt>
                <c:pt idx="1">
                  <c:v>18567.153376585131</c:v>
                </c:pt>
                <c:pt idx="2">
                  <c:v>298.01286063402495</c:v>
                </c:pt>
                <c:pt idx="3">
                  <c:v>253.57446786048709</c:v>
                </c:pt>
                <c:pt idx="4">
                  <c:v>22616.18665805097</c:v>
                </c:pt>
                <c:pt idx="5">
                  <c:v>77509.976517672942</c:v>
                </c:pt>
                <c:pt idx="6">
                  <c:v>809.94777108745131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48416.735582574045</c:v>
                </c:pt>
                <c:pt idx="1">
                  <c:v>18567.153376585131</c:v>
                </c:pt>
                <c:pt idx="2">
                  <c:v>298.01286063402495</c:v>
                </c:pt>
                <c:pt idx="3">
                  <c:v>253.57446786048709</c:v>
                </c:pt>
                <c:pt idx="4">
                  <c:v>22616.18665805097</c:v>
                </c:pt>
                <c:pt idx="5">
                  <c:v>77509.976517672942</c:v>
                </c:pt>
                <c:pt idx="6">
                  <c:v>809.94777108745131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71070</v>
      </c>
      <c r="B6" s="390"/>
      <c r="C6" s="391"/>
    </row>
    <row r="7" spans="1:7" s="388" customFormat="1" ht="15.75" customHeight="1">
      <c r="A7" s="392" t="str">
        <f>txtMunicipality</f>
        <v>HEUSDEN-ZOLDER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0.1642677231348563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0.1642677231348563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12900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784.01</v>
      </c>
      <c r="C14" s="330"/>
      <c r="D14" s="330"/>
      <c r="E14" s="330"/>
      <c r="F14" s="330"/>
    </row>
    <row r="15" spans="1:6">
      <c r="A15" s="1298" t="s">
        <v>183</v>
      </c>
      <c r="B15" s="1299">
        <v>1</v>
      </c>
      <c r="C15" s="330"/>
      <c r="D15" s="330"/>
      <c r="E15" s="330"/>
      <c r="F15" s="330"/>
    </row>
    <row r="16" spans="1:6">
      <c r="A16" s="1298" t="s">
        <v>6</v>
      </c>
      <c r="B16" s="1299">
        <v>41</v>
      </c>
      <c r="C16" s="330"/>
      <c r="D16" s="330"/>
      <c r="E16" s="330"/>
      <c r="F16" s="330"/>
    </row>
    <row r="17" spans="1:6">
      <c r="A17" s="1298" t="s">
        <v>7</v>
      </c>
      <c r="B17" s="1299">
        <v>74</v>
      </c>
      <c r="C17" s="330"/>
      <c r="D17" s="330"/>
      <c r="E17" s="330"/>
      <c r="F17" s="330"/>
    </row>
    <row r="18" spans="1:6">
      <c r="A18" s="1298" t="s">
        <v>8</v>
      </c>
      <c r="B18" s="1299">
        <v>98</v>
      </c>
      <c r="C18" s="330"/>
      <c r="D18" s="330"/>
      <c r="E18" s="330"/>
      <c r="F18" s="330"/>
    </row>
    <row r="19" spans="1:6">
      <c r="A19" s="1298" t="s">
        <v>9</v>
      </c>
      <c r="B19" s="1299">
        <v>70</v>
      </c>
      <c r="C19" s="330"/>
      <c r="D19" s="330"/>
      <c r="E19" s="330"/>
      <c r="F19" s="330"/>
    </row>
    <row r="20" spans="1:6">
      <c r="A20" s="1298" t="s">
        <v>10</v>
      </c>
      <c r="B20" s="1299">
        <v>136</v>
      </c>
      <c r="C20" s="330"/>
      <c r="D20" s="330"/>
      <c r="E20" s="330"/>
      <c r="F20" s="330"/>
    </row>
    <row r="21" spans="1:6">
      <c r="A21" s="1298" t="s">
        <v>11</v>
      </c>
      <c r="B21" s="1299">
        <v>0</v>
      </c>
      <c r="C21" s="330"/>
      <c r="D21" s="330"/>
      <c r="E21" s="330"/>
      <c r="F21" s="330"/>
    </row>
    <row r="22" spans="1:6">
      <c r="A22" s="1298" t="s">
        <v>12</v>
      </c>
      <c r="B22" s="1299">
        <v>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41</v>
      </c>
      <c r="C26" s="330"/>
      <c r="D26" s="330"/>
      <c r="E26" s="330"/>
      <c r="F26" s="330"/>
    </row>
    <row r="27" spans="1:6">
      <c r="A27" s="1298" t="s">
        <v>17</v>
      </c>
      <c r="B27" s="1299">
        <v>3</v>
      </c>
      <c r="C27" s="330"/>
      <c r="D27" s="330"/>
      <c r="E27" s="330"/>
      <c r="F27" s="330"/>
    </row>
    <row r="28" spans="1:6" s="43" customFormat="1">
      <c r="A28" s="1300" t="s">
        <v>18</v>
      </c>
      <c r="B28" s="1301">
        <v>9934</v>
      </c>
      <c r="C28" s="336"/>
      <c r="D28" s="336"/>
      <c r="E28" s="336"/>
      <c r="F28" s="336"/>
    </row>
    <row r="29" spans="1:6">
      <c r="A29" s="1300" t="s">
        <v>705</v>
      </c>
      <c r="B29" s="1301">
        <v>178</v>
      </c>
      <c r="C29" s="336"/>
      <c r="D29" s="336"/>
      <c r="E29" s="336"/>
      <c r="F29" s="336"/>
    </row>
    <row r="30" spans="1:6">
      <c r="A30" s="1293" t="s">
        <v>706</v>
      </c>
      <c r="B30" s="1302">
        <v>67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38753</v>
      </c>
    </row>
    <row r="37" spans="1:6">
      <c r="A37" s="1298" t="s">
        <v>24</v>
      </c>
      <c r="B37" s="1298" t="s">
        <v>27</v>
      </c>
      <c r="C37" s="1299">
        <v>0</v>
      </c>
      <c r="D37" s="1299">
        <v>0</v>
      </c>
      <c r="E37" s="1299">
        <v>0</v>
      </c>
      <c r="F37" s="1299">
        <v>0</v>
      </c>
    </row>
    <row r="38" spans="1:6">
      <c r="A38" s="1298" t="s">
        <v>24</v>
      </c>
      <c r="B38" s="1298" t="s">
        <v>28</v>
      </c>
      <c r="C38" s="1299">
        <v>2</v>
      </c>
      <c r="D38" s="1299">
        <v>346371</v>
      </c>
      <c r="E38" s="1299">
        <v>1</v>
      </c>
      <c r="F38" s="1299">
        <v>2480</v>
      </c>
    </row>
    <row r="39" spans="1:6">
      <c r="A39" s="1298" t="s">
        <v>29</v>
      </c>
      <c r="B39" s="1298" t="s">
        <v>30</v>
      </c>
      <c r="C39" s="1299">
        <v>7260</v>
      </c>
      <c r="D39" s="1299">
        <v>109838744.7</v>
      </c>
      <c r="E39" s="1299">
        <v>12801</v>
      </c>
      <c r="F39" s="1299">
        <v>41072406.600000001</v>
      </c>
    </row>
    <row r="40" spans="1:6">
      <c r="A40" s="1298" t="s">
        <v>29</v>
      </c>
      <c r="B40" s="1298" t="s">
        <v>28</v>
      </c>
      <c r="C40" s="1299">
        <v>0</v>
      </c>
      <c r="D40" s="1299">
        <v>0</v>
      </c>
      <c r="E40" s="1299">
        <v>0</v>
      </c>
      <c r="F40" s="1299">
        <v>0</v>
      </c>
    </row>
    <row r="41" spans="1:6">
      <c r="A41" s="1298" t="s">
        <v>31</v>
      </c>
      <c r="B41" s="1298" t="s">
        <v>32</v>
      </c>
      <c r="C41" s="1299">
        <v>119</v>
      </c>
      <c r="D41" s="1299">
        <v>29420985.285999998</v>
      </c>
      <c r="E41" s="1299">
        <v>262</v>
      </c>
      <c r="F41" s="1299">
        <v>5672989.7000000002</v>
      </c>
    </row>
    <row r="42" spans="1:6">
      <c r="A42" s="1298" t="s">
        <v>31</v>
      </c>
      <c r="B42" s="1298" t="s">
        <v>33</v>
      </c>
      <c r="C42" s="1299">
        <v>4</v>
      </c>
      <c r="D42" s="1299">
        <v>1807573.6340000001</v>
      </c>
      <c r="E42" s="1299">
        <v>5</v>
      </c>
      <c r="F42" s="1299">
        <v>6328605</v>
      </c>
    </row>
    <row r="43" spans="1:6">
      <c r="A43" s="1298" t="s">
        <v>31</v>
      </c>
      <c r="B43" s="1298" t="s">
        <v>34</v>
      </c>
      <c r="C43" s="1299">
        <v>0</v>
      </c>
      <c r="D43" s="1299">
        <v>0</v>
      </c>
      <c r="E43" s="1299">
        <v>0</v>
      </c>
      <c r="F43" s="1299">
        <v>0</v>
      </c>
    </row>
    <row r="44" spans="1:6">
      <c r="A44" s="1298" t="s">
        <v>31</v>
      </c>
      <c r="B44" s="1298" t="s">
        <v>35</v>
      </c>
      <c r="C44" s="1299">
        <v>14</v>
      </c>
      <c r="D44" s="1299">
        <v>11517329.172</v>
      </c>
      <c r="E44" s="1299">
        <v>35</v>
      </c>
      <c r="F44" s="1299">
        <v>3409777.6570000001</v>
      </c>
    </row>
    <row r="45" spans="1:6">
      <c r="A45" s="1298" t="s">
        <v>31</v>
      </c>
      <c r="B45" s="1298" t="s">
        <v>36</v>
      </c>
      <c r="C45" s="1299">
        <v>3</v>
      </c>
      <c r="D45" s="1299">
        <v>415423</v>
      </c>
      <c r="E45" s="1299">
        <v>6</v>
      </c>
      <c r="F45" s="1299">
        <v>2479759</v>
      </c>
    </row>
    <row r="46" spans="1:6">
      <c r="A46" s="1298" t="s">
        <v>31</v>
      </c>
      <c r="B46" s="1298" t="s">
        <v>37</v>
      </c>
      <c r="C46" s="1299">
        <v>0</v>
      </c>
      <c r="D46" s="1299">
        <v>0</v>
      </c>
      <c r="E46" s="1299">
        <v>0</v>
      </c>
      <c r="F46" s="1299">
        <v>0</v>
      </c>
    </row>
    <row r="47" spans="1:6">
      <c r="A47" s="1298" t="s">
        <v>31</v>
      </c>
      <c r="B47" s="1298" t="s">
        <v>38</v>
      </c>
      <c r="C47" s="1299">
        <v>4</v>
      </c>
      <c r="D47" s="1299">
        <v>69560</v>
      </c>
      <c r="E47" s="1299">
        <v>6</v>
      </c>
      <c r="F47" s="1299">
        <v>25234</v>
      </c>
    </row>
    <row r="48" spans="1:6">
      <c r="A48" s="1298" t="s">
        <v>31</v>
      </c>
      <c r="B48" s="1298" t="s">
        <v>28</v>
      </c>
      <c r="C48" s="1299">
        <v>4</v>
      </c>
      <c r="D48" s="1299">
        <v>19848839</v>
      </c>
      <c r="E48" s="1299">
        <v>2</v>
      </c>
      <c r="F48" s="1299">
        <v>14408057</v>
      </c>
    </row>
    <row r="49" spans="1:6">
      <c r="A49" s="1298" t="s">
        <v>31</v>
      </c>
      <c r="B49" s="1298" t="s">
        <v>39</v>
      </c>
      <c r="C49" s="1299">
        <v>0</v>
      </c>
      <c r="D49" s="1299">
        <v>0</v>
      </c>
      <c r="E49" s="1299">
        <v>3</v>
      </c>
      <c r="F49" s="1299">
        <v>15228</v>
      </c>
    </row>
    <row r="50" spans="1:6">
      <c r="A50" s="1298" t="s">
        <v>31</v>
      </c>
      <c r="B50" s="1298" t="s">
        <v>40</v>
      </c>
      <c r="C50" s="1299">
        <v>13</v>
      </c>
      <c r="D50" s="1299">
        <v>10062387.679</v>
      </c>
      <c r="E50" s="1299">
        <v>15</v>
      </c>
      <c r="F50" s="1299">
        <v>6046662.4000000004</v>
      </c>
    </row>
    <row r="51" spans="1:6">
      <c r="A51" s="1298" t="s">
        <v>41</v>
      </c>
      <c r="B51" s="1298" t="s">
        <v>42</v>
      </c>
      <c r="C51" s="1299">
        <v>4</v>
      </c>
      <c r="D51" s="1299">
        <v>118769</v>
      </c>
      <c r="E51" s="1299">
        <v>15</v>
      </c>
      <c r="F51" s="1299">
        <v>191287.685</v>
      </c>
    </row>
    <row r="52" spans="1:6">
      <c r="A52" s="1298" t="s">
        <v>41</v>
      </c>
      <c r="B52" s="1298" t="s">
        <v>28</v>
      </c>
      <c r="C52" s="1299">
        <v>0</v>
      </c>
      <c r="D52" s="1299">
        <v>0</v>
      </c>
      <c r="E52" s="1299">
        <v>0</v>
      </c>
      <c r="F52" s="1299">
        <v>0</v>
      </c>
    </row>
    <row r="53" spans="1:6">
      <c r="A53" s="1298" t="s">
        <v>43</v>
      </c>
      <c r="B53" s="1298" t="s">
        <v>44</v>
      </c>
      <c r="C53" s="1299">
        <v>104</v>
      </c>
      <c r="D53" s="1299">
        <v>2887825.4</v>
      </c>
      <c r="E53" s="1299">
        <v>266</v>
      </c>
      <c r="F53" s="1299">
        <v>5643462</v>
      </c>
    </row>
    <row r="54" spans="1:6">
      <c r="A54" s="1298" t="s">
        <v>45</v>
      </c>
      <c r="B54" s="1298" t="s">
        <v>46</v>
      </c>
      <c r="C54" s="1299">
        <v>0</v>
      </c>
      <c r="D54" s="1299">
        <v>0</v>
      </c>
      <c r="E54" s="1299">
        <v>3</v>
      </c>
      <c r="F54" s="1299">
        <v>1814190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125</v>
      </c>
      <c r="D57" s="1299">
        <v>13869716.057</v>
      </c>
      <c r="E57" s="1299">
        <v>270</v>
      </c>
      <c r="F57" s="1299">
        <v>7726524.4819999998</v>
      </c>
    </row>
    <row r="58" spans="1:6">
      <c r="A58" s="1298" t="s">
        <v>48</v>
      </c>
      <c r="B58" s="1298" t="s">
        <v>50</v>
      </c>
      <c r="C58" s="1299">
        <v>76</v>
      </c>
      <c r="D58" s="1299">
        <v>13309412.686000001</v>
      </c>
      <c r="E58" s="1299">
        <v>112</v>
      </c>
      <c r="F58" s="1299">
        <v>8854856.7719999999</v>
      </c>
    </row>
    <row r="59" spans="1:6">
      <c r="A59" s="1298" t="s">
        <v>48</v>
      </c>
      <c r="B59" s="1298" t="s">
        <v>51</v>
      </c>
      <c r="C59" s="1299">
        <v>207</v>
      </c>
      <c r="D59" s="1299">
        <v>11975383.681</v>
      </c>
      <c r="E59" s="1299">
        <v>376</v>
      </c>
      <c r="F59" s="1299">
        <v>14680060.676000001</v>
      </c>
    </row>
    <row r="60" spans="1:6">
      <c r="A60" s="1298" t="s">
        <v>48</v>
      </c>
      <c r="B60" s="1298" t="s">
        <v>52</v>
      </c>
      <c r="C60" s="1299">
        <v>117</v>
      </c>
      <c r="D60" s="1299">
        <v>6158274.7139999997</v>
      </c>
      <c r="E60" s="1299">
        <v>152</v>
      </c>
      <c r="F60" s="1299">
        <v>4425394.95</v>
      </c>
    </row>
    <row r="61" spans="1:6">
      <c r="A61" s="1298" t="s">
        <v>48</v>
      </c>
      <c r="B61" s="1298" t="s">
        <v>53</v>
      </c>
      <c r="C61" s="1299">
        <v>213</v>
      </c>
      <c r="D61" s="1299">
        <v>8423293.6140000001</v>
      </c>
      <c r="E61" s="1299">
        <v>452</v>
      </c>
      <c r="F61" s="1299">
        <v>6119373.7280000001</v>
      </c>
    </row>
    <row r="62" spans="1:6">
      <c r="A62" s="1298" t="s">
        <v>48</v>
      </c>
      <c r="B62" s="1298" t="s">
        <v>54</v>
      </c>
      <c r="C62" s="1299">
        <v>20</v>
      </c>
      <c r="D62" s="1299">
        <v>2529991.5430000001</v>
      </c>
      <c r="E62" s="1299">
        <v>35</v>
      </c>
      <c r="F62" s="1299">
        <v>491490.77100000001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10871</v>
      </c>
    </row>
    <row r="66" spans="1:6">
      <c r="A66" s="1298" t="s">
        <v>55</v>
      </c>
      <c r="B66" s="1298" t="s">
        <v>57</v>
      </c>
      <c r="C66" s="1299">
        <v>0</v>
      </c>
      <c r="D66" s="1299">
        <v>0</v>
      </c>
      <c r="E66" s="1299">
        <v>11</v>
      </c>
      <c r="F66" s="1299">
        <v>217307.26199999999</v>
      </c>
    </row>
    <row r="67" spans="1:6">
      <c r="A67" s="1300" t="s">
        <v>55</v>
      </c>
      <c r="B67" s="1300" t="s">
        <v>58</v>
      </c>
      <c r="C67" s="1299">
        <v>0</v>
      </c>
      <c r="D67" s="1299">
        <v>0</v>
      </c>
      <c r="E67" s="1299">
        <v>0</v>
      </c>
      <c r="F67" s="1299">
        <v>0</v>
      </c>
    </row>
    <row r="68" spans="1:6">
      <c r="A68" s="1293" t="s">
        <v>55</v>
      </c>
      <c r="B68" s="1293" t="s">
        <v>59</v>
      </c>
      <c r="C68" s="1302">
        <v>5</v>
      </c>
      <c r="D68" s="1302">
        <v>137310</v>
      </c>
      <c r="E68" s="1302">
        <v>15</v>
      </c>
      <c r="F68" s="1302">
        <v>203234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84810538</v>
      </c>
      <c r="E73" s="450"/>
      <c r="F73" s="330"/>
    </row>
    <row r="74" spans="1:6">
      <c r="A74" s="1298" t="s">
        <v>63</v>
      </c>
      <c r="B74" s="1298" t="s">
        <v>647</v>
      </c>
      <c r="C74" s="1312" t="s">
        <v>649</v>
      </c>
      <c r="D74" s="1313">
        <v>2943532.5</v>
      </c>
      <c r="E74" s="450"/>
      <c r="F74" s="330"/>
    </row>
    <row r="75" spans="1:6">
      <c r="A75" s="1298" t="s">
        <v>64</v>
      </c>
      <c r="B75" s="1298" t="s">
        <v>646</v>
      </c>
      <c r="C75" s="1312" t="s">
        <v>650</v>
      </c>
      <c r="D75" s="1313">
        <v>57149724</v>
      </c>
      <c r="E75" s="450"/>
      <c r="F75" s="330"/>
    </row>
    <row r="76" spans="1:6">
      <c r="A76" s="1298" t="s">
        <v>64</v>
      </c>
      <c r="B76" s="1298" t="s">
        <v>647</v>
      </c>
      <c r="C76" s="1312" t="s">
        <v>651</v>
      </c>
      <c r="D76" s="1313">
        <v>747619.5</v>
      </c>
      <c r="E76" s="450"/>
      <c r="F76" s="330"/>
    </row>
    <row r="77" spans="1:6">
      <c r="A77" s="1298" t="s">
        <v>65</v>
      </c>
      <c r="B77" s="1298" t="s">
        <v>646</v>
      </c>
      <c r="C77" s="1312" t="s">
        <v>652</v>
      </c>
      <c r="D77" s="1313">
        <v>172047280</v>
      </c>
      <c r="E77" s="450"/>
      <c r="F77" s="330"/>
    </row>
    <row r="78" spans="1:6">
      <c r="A78" s="1293" t="s">
        <v>65</v>
      </c>
      <c r="B78" s="1293" t="s">
        <v>647</v>
      </c>
      <c r="C78" s="1293" t="s">
        <v>653</v>
      </c>
      <c r="D78" s="1314">
        <v>30563195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878999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10878.620122380893</v>
      </c>
      <c r="C90" s="330"/>
      <c r="D90" s="330"/>
      <c r="E90" s="330"/>
      <c r="F90" s="330"/>
    </row>
    <row r="91" spans="1:6">
      <c r="A91" s="1298" t="s">
        <v>67</v>
      </c>
      <c r="B91" s="1299">
        <v>10469.530681305148</v>
      </c>
      <c r="C91" s="330"/>
      <c r="D91" s="330"/>
      <c r="E91" s="330"/>
      <c r="F91" s="330"/>
    </row>
    <row r="92" spans="1:6">
      <c r="A92" s="1293" t="s">
        <v>68</v>
      </c>
      <c r="B92" s="1294">
        <v>14597.283439192135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1923</v>
      </c>
      <c r="C97" s="330"/>
      <c r="D97" s="330"/>
      <c r="E97" s="330"/>
      <c r="F97" s="330"/>
    </row>
    <row r="98" spans="1:6">
      <c r="A98" s="1298" t="s">
        <v>71</v>
      </c>
      <c r="B98" s="1299">
        <v>7</v>
      </c>
      <c r="C98" s="330"/>
      <c r="D98" s="330"/>
      <c r="E98" s="330"/>
      <c r="F98" s="330"/>
    </row>
    <row r="99" spans="1:6">
      <c r="A99" s="1298" t="s">
        <v>72</v>
      </c>
      <c r="B99" s="1299">
        <v>53</v>
      </c>
      <c r="C99" s="330"/>
      <c r="D99" s="330"/>
      <c r="E99" s="330"/>
      <c r="F99" s="330"/>
    </row>
    <row r="100" spans="1:6">
      <c r="A100" s="1298" t="s">
        <v>73</v>
      </c>
      <c r="B100" s="1299">
        <v>335</v>
      </c>
      <c r="C100" s="330"/>
      <c r="D100" s="330"/>
      <c r="E100" s="330"/>
      <c r="F100" s="330"/>
    </row>
    <row r="101" spans="1:6">
      <c r="A101" s="1298" t="s">
        <v>74</v>
      </c>
      <c r="B101" s="1299">
        <v>65</v>
      </c>
      <c r="C101" s="330"/>
      <c r="D101" s="330"/>
      <c r="E101" s="330"/>
      <c r="F101" s="330"/>
    </row>
    <row r="102" spans="1:6">
      <c r="A102" s="1298" t="s">
        <v>75</v>
      </c>
      <c r="B102" s="1299">
        <v>118</v>
      </c>
      <c r="C102" s="330"/>
      <c r="D102" s="330"/>
      <c r="E102" s="330"/>
      <c r="F102" s="330"/>
    </row>
    <row r="103" spans="1:6">
      <c r="A103" s="1298" t="s">
        <v>76</v>
      </c>
      <c r="B103" s="1299">
        <v>185</v>
      </c>
      <c r="C103" s="330"/>
      <c r="D103" s="330"/>
      <c r="E103" s="330"/>
      <c r="F103" s="330"/>
    </row>
    <row r="104" spans="1:6">
      <c r="A104" s="1298" t="s">
        <v>77</v>
      </c>
      <c r="B104" s="1299">
        <v>7729</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2</v>
      </c>
      <c r="C122" s="1299">
        <v>0</v>
      </c>
      <c r="D122" s="330"/>
      <c r="E122" s="330"/>
      <c r="F122" s="330"/>
    </row>
    <row r="123" spans="1:6">
      <c r="A123" s="1298" t="s">
        <v>87</v>
      </c>
      <c r="B123" s="1299">
        <v>62</v>
      </c>
      <c r="C123" s="1299">
        <v>107</v>
      </c>
      <c r="D123" s="330"/>
      <c r="E123" s="330"/>
      <c r="F123" s="330"/>
    </row>
    <row r="124" spans="1:6" s="43" customFormat="1">
      <c r="A124" s="1300" t="s">
        <v>88</v>
      </c>
      <c r="B124" s="1321">
        <v>7</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398</v>
      </c>
      <c r="C129" s="330"/>
      <c r="D129" s="330"/>
      <c r="E129" s="330"/>
      <c r="F129" s="330"/>
    </row>
    <row r="130" spans="1:6">
      <c r="A130" s="1298" t="s">
        <v>294</v>
      </c>
      <c r="B130" s="1299">
        <v>4</v>
      </c>
      <c r="C130" s="330"/>
      <c r="D130" s="330"/>
      <c r="E130" s="330"/>
      <c r="F130" s="330"/>
    </row>
    <row r="131" spans="1:6">
      <c r="A131" s="1298" t="s">
        <v>295</v>
      </c>
      <c r="B131" s="1299">
        <v>9</v>
      </c>
      <c r="C131" s="330"/>
      <c r="D131" s="330"/>
      <c r="E131" s="330"/>
      <c r="F131" s="330"/>
    </row>
    <row r="132" spans="1:6">
      <c r="A132" s="1293" t="s">
        <v>296</v>
      </c>
      <c r="B132" s="1294">
        <v>64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140025.06873749028</v>
      </c>
      <c r="C3" s="43" t="s">
        <v>169</v>
      </c>
      <c r="D3" s="43"/>
      <c r="E3" s="154"/>
      <c r="F3" s="43"/>
      <c r="G3" s="43"/>
      <c r="H3" s="43"/>
      <c r="I3" s="43"/>
      <c r="J3" s="43"/>
      <c r="K3" s="96"/>
    </row>
    <row r="4" spans="1:11">
      <c r="A4" s="358" t="s">
        <v>170</v>
      </c>
      <c r="B4" s="49">
        <f>IF(ISERROR('SEAP template'!B78+'SEAP template'!C78),0,'SEAP template'!B78+'SEAP template'!C78)</f>
        <v>35945.434242878182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0.1642677231348563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1814.19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1814.19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0.1642677231348563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298.01286063402495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41072.406600000002</v>
      </c>
      <c r="C5" s="17">
        <f>IF(ISERROR('Eigen informatie GS &amp; warmtenet'!B59),0,'Eigen informatie GS &amp; warmtenet'!B59)</f>
        <v>0</v>
      </c>
      <c r="D5" s="30">
        <f>(SUM(HH_hh_gas_kWh,HH_rest_gas_kWh)/1000)*0.902</f>
        <v>99074.547719400012</v>
      </c>
      <c r="E5" s="17">
        <f>B46*B57</f>
        <v>16409.081876473148</v>
      </c>
      <c r="F5" s="17">
        <f>B51*B62</f>
        <v>60719.620502383048</v>
      </c>
      <c r="G5" s="18"/>
      <c r="H5" s="17"/>
      <c r="I5" s="17"/>
      <c r="J5" s="17">
        <f>B50*B61+C50*C61</f>
        <v>0</v>
      </c>
      <c r="K5" s="17"/>
      <c r="L5" s="17"/>
      <c r="M5" s="17"/>
      <c r="N5" s="17">
        <f>B48*B59+C48*C59</f>
        <v>25109.291736982013</v>
      </c>
      <c r="O5" s="17">
        <f>B69*B70*B71</f>
        <v>1007.8507754486122</v>
      </c>
      <c r="P5" s="17">
        <f>B77*B78*B79/1000-B77*B78*B79/1000/B80</f>
        <v>1401.0165879221083</v>
      </c>
    </row>
    <row r="6" spans="1:16">
      <c r="A6" s="16" t="s">
        <v>611</v>
      </c>
      <c r="B6" s="783">
        <f>kWh_PV_kleiner_dan_10kW</f>
        <v>10469.530681305148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51541.937281305152</v>
      </c>
      <c r="C8" s="21">
        <f>C5</f>
        <v>0</v>
      </c>
      <c r="D8" s="21">
        <f>D5</f>
        <v>99074.547719400012</v>
      </c>
      <c r="E8" s="21">
        <f>E5</f>
        <v>16409.081876473148</v>
      </c>
      <c r="F8" s="21">
        <f>F5</f>
        <v>60719.620502383048</v>
      </c>
      <c r="G8" s="21"/>
      <c r="H8" s="21"/>
      <c r="I8" s="21"/>
      <c r="J8" s="21">
        <f>J5</f>
        <v>0</v>
      </c>
      <c r="K8" s="21"/>
      <c r="L8" s="21">
        <f>L5</f>
        <v>0</v>
      </c>
      <c r="M8" s="21">
        <f>M5</f>
        <v>0</v>
      </c>
      <c r="N8" s="21">
        <f>N5</f>
        <v>25109.291736982013</v>
      </c>
      <c r="O8" s="21">
        <f>O5</f>
        <v>1007.8507754486122</v>
      </c>
      <c r="P8" s="21">
        <f>P5</f>
        <v>1401.0165879221083</v>
      </c>
    </row>
    <row r="9" spans="1:16">
      <c r="B9" s="19"/>
      <c r="C9" s="19"/>
      <c r="D9" s="258"/>
      <c r="E9" s="19"/>
      <c r="F9" s="19"/>
      <c r="G9" s="19"/>
      <c r="H9" s="19"/>
      <c r="I9" s="19"/>
      <c r="J9" s="19"/>
      <c r="K9" s="19"/>
      <c r="L9" s="19"/>
      <c r="M9" s="19"/>
      <c r="N9" s="19"/>
      <c r="O9" s="19"/>
      <c r="P9" s="19"/>
    </row>
    <row r="10" spans="1:16">
      <c r="A10" s="24" t="s">
        <v>213</v>
      </c>
      <c r="B10" s="25">
        <f ca="1">'EF ele_warmte'!B12</f>
        <v>0.1642677231348563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8466.6766831595633</v>
      </c>
      <c r="C12" s="23">
        <f ca="1">C10*C8</f>
        <v>0</v>
      </c>
      <c r="D12" s="23">
        <f>D8*D10</f>
        <v>20013.058639318802</v>
      </c>
      <c r="E12" s="23">
        <f>E10*E8</f>
        <v>3724.8615859594047</v>
      </c>
      <c r="F12" s="23">
        <f>F10*F8</f>
        <v>16212.138674136275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12900</v>
      </c>
      <c r="C28" s="36"/>
      <c r="D28" s="228"/>
    </row>
    <row r="29" spans="1:7" s="15" customFormat="1">
      <c r="A29" s="230" t="s">
        <v>819</v>
      </c>
      <c r="B29" s="37">
        <f>SUM(HH_hh_gas_aantal,HH_rest_gas_aantal)</f>
        <v>7260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7260</v>
      </c>
      <c r="C32" s="167">
        <f>IF(ISERROR(B32/SUM($B$32,$B$34,$B$35,$B$36,$B$38,$B$39)*100),0,B32/SUM($B$32,$B$34,$B$35,$B$36,$B$38,$B$39)*100)</f>
        <v>56.865355995927004</v>
      </c>
      <c r="D32" s="233"/>
      <c r="G32" s="15"/>
    </row>
    <row r="33" spans="1:7">
      <c r="A33" s="171" t="s">
        <v>71</v>
      </c>
      <c r="B33" s="34" t="s">
        <v>110</v>
      </c>
      <c r="C33" s="167"/>
      <c r="D33" s="233"/>
      <c r="G33" s="15"/>
    </row>
    <row r="34" spans="1:7">
      <c r="A34" s="171" t="s">
        <v>72</v>
      </c>
      <c r="B34" s="33">
        <f>IF((($B$28-$B$32-$B$39-$B$77-$B$38)*C20/100)&lt;0,0,($B$28-$B$32-$B$39-$B$77-$B$38)*C20/100)</f>
        <v>302.00640176600444</v>
      </c>
      <c r="C34" s="167">
        <f>IF(ISERROR(B34/SUM($B$32,$B$34,$B$35,$B$36,$B$38,$B$39)*100),0,B34/SUM($B$32,$B$34,$B$35,$B$36,$B$38,$B$39)*100)</f>
        <v>2.3655236294039668</v>
      </c>
      <c r="D34" s="233"/>
      <c r="G34" s="15"/>
    </row>
    <row r="35" spans="1:7">
      <c r="A35" s="171" t="s">
        <v>73</v>
      </c>
      <c r="B35" s="33">
        <f>IF((($B$28-$B$32-$B$39-$B$77-$B$38)*C21/100)&lt;0,0,($B$28-$B$32-$B$39-$B$77-$B$38)*C21/100)</f>
        <v>1908.9083885209714</v>
      </c>
      <c r="C35" s="167">
        <f>IF(ISERROR(B35/SUM($B$32,$B$34,$B$35,$B$36,$B$38,$B$39)*100),0,B35/SUM($B$32,$B$34,$B$35,$B$36,$B$38,$B$39)*100)</f>
        <v>14.951894638685451</v>
      </c>
      <c r="D35" s="233"/>
      <c r="G35" s="15"/>
    </row>
    <row r="36" spans="1:7">
      <c r="A36" s="171" t="s">
        <v>74</v>
      </c>
      <c r="B36" s="33">
        <f>IF((($B$28-$B$32-$B$39-$B$77-$B$38)*C22/100)&lt;0,0,($B$28-$B$32-$B$39-$B$77-$B$38)*C22/100)</f>
        <v>370.38520971302438</v>
      </c>
      <c r="C36" s="167">
        <f>IF(ISERROR(B36/SUM($B$32,$B$34,$B$35,$B$36,$B$38,$B$39)*100),0,B36/SUM($B$32,$B$34,$B$35,$B$36,$B$38,$B$39)*100)</f>
        <v>2.9011138851180727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2925.7</v>
      </c>
      <c r="C39" s="167">
        <f>IF(ISERROR(B39/SUM($B$32,$B$34,$B$35,$B$36,$B$38,$B$39)*100),0,B39/SUM($B$32,$B$34,$B$35,$B$36,$B$38,$B$39)*100)</f>
        <v>22.916111850865512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7260</v>
      </c>
      <c r="C44" s="34" t="s">
        <v>110</v>
      </c>
      <c r="D44" s="174"/>
    </row>
    <row r="45" spans="1:7">
      <c r="A45" s="171" t="s">
        <v>71</v>
      </c>
      <c r="B45" s="33" t="str">
        <f t="shared" si="0"/>
        <v>-</v>
      </c>
      <c r="C45" s="34" t="s">
        <v>110</v>
      </c>
      <c r="D45" s="174"/>
    </row>
    <row r="46" spans="1:7">
      <c r="A46" s="171" t="s">
        <v>72</v>
      </c>
      <c r="B46" s="33">
        <f t="shared" si="0"/>
        <v>302.00640176600444</v>
      </c>
      <c r="C46" s="34" t="s">
        <v>110</v>
      </c>
      <c r="D46" s="174"/>
    </row>
    <row r="47" spans="1:7">
      <c r="A47" s="171" t="s">
        <v>73</v>
      </c>
      <c r="B47" s="33">
        <f t="shared" si="0"/>
        <v>1908.9083885209714</v>
      </c>
      <c r="C47" s="34" t="s">
        <v>110</v>
      </c>
      <c r="D47" s="174"/>
    </row>
    <row r="48" spans="1:7">
      <c r="A48" s="171" t="s">
        <v>74</v>
      </c>
      <c r="B48" s="33">
        <f t="shared" si="0"/>
        <v>370.38520971302438</v>
      </c>
      <c r="C48" s="33">
        <f>B48*10</f>
        <v>3703.8520971302437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2925.7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508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42297.701378999998</v>
      </c>
      <c r="C5" s="17">
        <f>IF(ISERROR('Eigen informatie GS &amp; warmtenet'!B60),0,'Eigen informatie GS &amp; warmtenet'!B60)</f>
        <v>0</v>
      </c>
      <c r="D5" s="30">
        <f>SUM(D6:D12)</f>
        <v>50751.997210089998</v>
      </c>
      <c r="E5" s="17">
        <f>SUM(E6:E12)</f>
        <v>531.77017143848718</v>
      </c>
      <c r="F5" s="17">
        <f>SUM(F6:F12)</f>
        <v>4667.957225224065</v>
      </c>
      <c r="G5" s="18"/>
      <c r="H5" s="17"/>
      <c r="I5" s="17"/>
      <c r="J5" s="17">
        <f>SUM(J6:J12)</f>
        <v>0.13116590166628522</v>
      </c>
      <c r="K5" s="17"/>
      <c r="L5" s="17"/>
      <c r="M5" s="17"/>
      <c r="N5" s="17">
        <f>SUM(N6:N12)</f>
        <v>5191.3830812787319</v>
      </c>
      <c r="O5" s="17">
        <f>B38*B39*B40</f>
        <v>19.589043063364617</v>
      </c>
      <c r="P5" s="17">
        <f>B46*B47*B48/1000-B46*B47*B48/1000/B49</f>
        <v>577.93052137144514</v>
      </c>
      <c r="R5" s="32"/>
    </row>
    <row r="6" spans="1:18">
      <c r="A6" s="32" t="s">
        <v>53</v>
      </c>
      <c r="B6" s="37">
        <f>B26</f>
        <v>6119.3737280000005</v>
      </c>
      <c r="C6" s="33"/>
      <c r="D6" s="37">
        <f>IF(ISERROR(TER_kantoor_gas_kWh/1000),0,TER_kantoor_gas_kWh/1000)*0.902</f>
        <v>7597.8108398280001</v>
      </c>
      <c r="E6" s="33">
        <f>$C$26*'E Balans VL '!I12/100/3.6*1000000</f>
        <v>49.240638363425724</v>
      </c>
      <c r="F6" s="33">
        <f>$C$26*('E Balans VL '!L12+'E Balans VL '!N12)/100/3.6*1000000</f>
        <v>748.1578119986508</v>
      </c>
      <c r="G6" s="34"/>
      <c r="H6" s="33"/>
      <c r="I6" s="33"/>
      <c r="J6" s="33">
        <f>$C$26*('E Balans VL '!D12+'E Balans VL '!E12)/100/3.6*1000000</f>
        <v>0</v>
      </c>
      <c r="K6" s="33"/>
      <c r="L6" s="33"/>
      <c r="M6" s="33"/>
      <c r="N6" s="33">
        <f>$C$26*'E Balans VL '!Y12/100/3.6*1000000</f>
        <v>3.2888620322599875</v>
      </c>
      <c r="O6" s="33"/>
      <c r="P6" s="33"/>
      <c r="R6" s="32"/>
    </row>
    <row r="7" spans="1:18">
      <c r="A7" s="32" t="s">
        <v>52</v>
      </c>
      <c r="B7" s="37">
        <f t="shared" ref="B7:B12" si="0">B27</f>
        <v>4425.3949499999999</v>
      </c>
      <c r="C7" s="33"/>
      <c r="D7" s="37">
        <f>IF(ISERROR(TER_horeca_gas_kWh/1000),0,TER_horeca_gas_kWh/1000)*0.902</f>
        <v>5554.7637920280004</v>
      </c>
      <c r="E7" s="33">
        <f>$C$27*'E Balans VL '!I9/100/3.6*1000000</f>
        <v>47.517874892838883</v>
      </c>
      <c r="F7" s="33">
        <f>$C$27*('E Balans VL '!L9+'E Balans VL '!N9)/100/3.6*1000000</f>
        <v>532.26770244275713</v>
      </c>
      <c r="G7" s="34"/>
      <c r="H7" s="33"/>
      <c r="I7" s="33"/>
      <c r="J7" s="33">
        <f>$C$27*('E Balans VL '!D9+'E Balans VL '!E9)/100/3.6*1000000</f>
        <v>0</v>
      </c>
      <c r="K7" s="33"/>
      <c r="L7" s="33"/>
      <c r="M7" s="33"/>
      <c r="N7" s="33">
        <f>$C$27*'E Balans VL '!Y9/100/3.6*1000000</f>
        <v>0.6634563953474869</v>
      </c>
      <c r="O7" s="33"/>
      <c r="P7" s="33"/>
      <c r="R7" s="32"/>
    </row>
    <row r="8" spans="1:18">
      <c r="A8" s="6" t="s">
        <v>51</v>
      </c>
      <c r="B8" s="37">
        <f t="shared" si="0"/>
        <v>14680.060676000001</v>
      </c>
      <c r="C8" s="33"/>
      <c r="D8" s="37">
        <f>IF(ISERROR(TER_handel_gas_kWh/1000),0,TER_handel_gas_kWh/1000)*0.902</f>
        <v>10801.796080262</v>
      </c>
      <c r="E8" s="33">
        <f>$C$28*'E Balans VL '!I13/100/3.6*1000000</f>
        <v>393.96788597405902</v>
      </c>
      <c r="F8" s="33">
        <f>$C$28*('E Balans VL '!L13+'E Balans VL '!N13)/100/3.6*1000000</f>
        <v>1400.9302396267758</v>
      </c>
      <c r="G8" s="34"/>
      <c r="H8" s="33"/>
      <c r="I8" s="33"/>
      <c r="J8" s="33">
        <f>$C$28*('E Balans VL '!D13+'E Balans VL '!E13)/100/3.6*1000000</f>
        <v>0</v>
      </c>
      <c r="K8" s="33"/>
      <c r="L8" s="33"/>
      <c r="M8" s="33"/>
      <c r="N8" s="33">
        <f>$C$28*'E Balans VL '!Y13/100/3.6*1000000</f>
        <v>5.8193429699151675</v>
      </c>
      <c r="O8" s="33"/>
      <c r="P8" s="33"/>
      <c r="R8" s="32"/>
    </row>
    <row r="9" spans="1:18">
      <c r="A9" s="32" t="s">
        <v>50</v>
      </c>
      <c r="B9" s="37">
        <f t="shared" si="0"/>
        <v>8854.8567719999992</v>
      </c>
      <c r="C9" s="33"/>
      <c r="D9" s="37">
        <f>IF(ISERROR(TER_gezond_gas_kWh/1000),0,TER_gezond_gas_kWh/1000)*0.902</f>
        <v>12005.090242772001</v>
      </c>
      <c r="E9" s="33">
        <f>$C$29*'E Balans VL '!I10/100/3.6*1000000</f>
        <v>16.59688485729535</v>
      </c>
      <c r="F9" s="33">
        <f>$C$29*('E Balans VL '!L10+'E Balans VL '!N10)/100/3.6*1000000</f>
        <v>727.95002100097281</v>
      </c>
      <c r="G9" s="34"/>
      <c r="H9" s="33"/>
      <c r="I9" s="33"/>
      <c r="J9" s="33">
        <f>$C$29*('E Balans VL '!D10+'E Balans VL '!E10)/100/3.6*1000000</f>
        <v>0</v>
      </c>
      <c r="K9" s="33"/>
      <c r="L9" s="33"/>
      <c r="M9" s="33"/>
      <c r="N9" s="33">
        <f>$C$29*'E Balans VL '!Y10/100/3.6*1000000</f>
        <v>68.897392358604563</v>
      </c>
      <c r="O9" s="33"/>
      <c r="P9" s="33"/>
      <c r="R9" s="32"/>
    </row>
    <row r="10" spans="1:18">
      <c r="A10" s="32" t="s">
        <v>49</v>
      </c>
      <c r="B10" s="37">
        <f t="shared" si="0"/>
        <v>7726.5244819999998</v>
      </c>
      <c r="C10" s="33"/>
      <c r="D10" s="37">
        <f>IF(ISERROR(TER_ander_gas_kWh/1000),0,TER_ander_gas_kWh/1000)*0.902</f>
        <v>12510.483883413999</v>
      </c>
      <c r="E10" s="33">
        <f>$C$30*'E Balans VL '!I14/100/3.6*1000000</f>
        <v>11.91051578066587</v>
      </c>
      <c r="F10" s="33">
        <f>$C$30*('E Balans VL '!L14+'E Balans VL '!N14)/100/3.6*1000000</f>
        <v>1199.5450588548547</v>
      </c>
      <c r="G10" s="34"/>
      <c r="H10" s="33"/>
      <c r="I10" s="33"/>
      <c r="J10" s="33">
        <f>$C$30*('E Balans VL '!D14+'E Balans VL '!E14)/100/3.6*1000000</f>
        <v>0.13116590166628522</v>
      </c>
      <c r="K10" s="33"/>
      <c r="L10" s="33"/>
      <c r="M10" s="33"/>
      <c r="N10" s="33">
        <f>$C$30*'E Balans VL '!Y14/100/3.6*1000000</f>
        <v>5111.6209640403786</v>
      </c>
      <c r="O10" s="33"/>
      <c r="P10" s="33"/>
      <c r="R10" s="32"/>
    </row>
    <row r="11" spans="1:18">
      <c r="A11" s="32" t="s">
        <v>54</v>
      </c>
      <c r="B11" s="37">
        <f t="shared" si="0"/>
        <v>491.490771</v>
      </c>
      <c r="C11" s="33"/>
      <c r="D11" s="37">
        <f>IF(ISERROR(TER_onderwijs_gas_kWh/1000),0,TER_onderwijs_gas_kWh/1000)*0.902</f>
        <v>2282.0523717860001</v>
      </c>
      <c r="E11" s="33">
        <f>$C$31*'E Balans VL '!I11/100/3.6*1000000</f>
        <v>12.536371570202398</v>
      </c>
      <c r="F11" s="33">
        <f>$C$31*('E Balans VL '!L11+'E Balans VL '!N11)/100/3.6*1000000</f>
        <v>59.106391300054213</v>
      </c>
      <c r="G11" s="34"/>
      <c r="H11" s="33"/>
      <c r="I11" s="33"/>
      <c r="J11" s="33">
        <f>$C$31*('E Balans VL '!D11+'E Balans VL '!E11)/100/3.6*1000000</f>
        <v>0</v>
      </c>
      <c r="K11" s="33"/>
      <c r="L11" s="33"/>
      <c r="M11" s="33"/>
      <c r="N11" s="33">
        <f>$C$31*'E Balans VL '!Y11/100/3.6*1000000</f>
        <v>1.093063482225852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42297.701378999998</v>
      </c>
      <c r="C16" s="21">
        <f t="shared" ca="1" si="1"/>
        <v>0</v>
      </c>
      <c r="D16" s="21">
        <f t="shared" ca="1" si="1"/>
        <v>50751.997210089998</v>
      </c>
      <c r="E16" s="21">
        <f t="shared" si="1"/>
        <v>531.77017143848718</v>
      </c>
      <c r="F16" s="21">
        <f t="shared" ca="1" si="1"/>
        <v>4667.957225224065</v>
      </c>
      <c r="G16" s="21">
        <f t="shared" si="1"/>
        <v>0</v>
      </c>
      <c r="H16" s="21">
        <f t="shared" si="1"/>
        <v>0</v>
      </c>
      <c r="I16" s="21">
        <f t="shared" si="1"/>
        <v>0</v>
      </c>
      <c r="J16" s="21">
        <f t="shared" si="1"/>
        <v>0.13116590166628522</v>
      </c>
      <c r="K16" s="21">
        <f t="shared" si="1"/>
        <v>0</v>
      </c>
      <c r="L16" s="21">
        <f t="shared" ca="1" si="1"/>
        <v>0</v>
      </c>
      <c r="M16" s="21">
        <f t="shared" si="1"/>
        <v>0</v>
      </c>
      <c r="N16" s="21">
        <f t="shared" ca="1" si="1"/>
        <v>5191.3830812787319</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0.1642677231348563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6948.1470993664016</v>
      </c>
      <c r="C20" s="23">
        <f t="shared" ref="C20:P20" ca="1" si="2">C16*C18</f>
        <v>0</v>
      </c>
      <c r="D20" s="23">
        <f t="shared" ca="1" si="2"/>
        <v>10251.903436438181</v>
      </c>
      <c r="E20" s="23">
        <f t="shared" si="2"/>
        <v>120.71182891653659</v>
      </c>
      <c r="F20" s="23">
        <f t="shared" ca="1" si="2"/>
        <v>1246.3445791348254</v>
      </c>
      <c r="G20" s="23">
        <f t="shared" si="2"/>
        <v>0</v>
      </c>
      <c r="H20" s="23">
        <f t="shared" si="2"/>
        <v>0</v>
      </c>
      <c r="I20" s="23">
        <f t="shared" si="2"/>
        <v>0</v>
      </c>
      <c r="J20" s="23">
        <f t="shared" si="2"/>
        <v>4.6432729189864963E-2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6119.3737280000005</v>
      </c>
      <c r="C26" s="39">
        <f>IF(ISERROR(B26*3.6/1000000/'E Balans VL '!Z12*100),0,B26*3.6/1000000/'E Balans VL '!Z12*100)</f>
        <v>0.12981691505546483</v>
      </c>
      <c r="D26" s="237" t="s">
        <v>708</v>
      </c>
      <c r="F26" s="6"/>
    </row>
    <row r="27" spans="1:18">
      <c r="A27" s="231" t="s">
        <v>52</v>
      </c>
      <c r="B27" s="33">
        <f>IF(ISERROR(TER_horeca_ele_kWh/1000),0,TER_horeca_ele_kWh/1000)</f>
        <v>4425.3949499999999</v>
      </c>
      <c r="C27" s="39">
        <f>IF(ISERROR(B27*3.6/1000000/'E Balans VL '!Z9*100),0,B27*3.6/1000000/'E Balans VL '!Z9*100)</f>
        <v>0.33327144212518445</v>
      </c>
      <c r="D27" s="237" t="s">
        <v>708</v>
      </c>
      <c r="F27" s="6"/>
    </row>
    <row r="28" spans="1:18">
      <c r="A28" s="171" t="s">
        <v>51</v>
      </c>
      <c r="B28" s="33">
        <f>IF(ISERROR(TER_handel_ele_kWh/1000),0,TER_handel_ele_kWh/1000)</f>
        <v>14680.060676000001</v>
      </c>
      <c r="C28" s="39">
        <f>IF(ISERROR(B28*3.6/1000000/'E Balans VL '!Z13*100),0,B28*3.6/1000000/'E Balans VL '!Z13*100)</f>
        <v>0.42611014591096086</v>
      </c>
      <c r="D28" s="237" t="s">
        <v>708</v>
      </c>
      <c r="F28" s="6"/>
    </row>
    <row r="29" spans="1:18">
      <c r="A29" s="231" t="s">
        <v>50</v>
      </c>
      <c r="B29" s="33">
        <f>IF(ISERROR(TER_gezond_ele_kWh/1000),0,TER_gezond_ele_kWh/1000)</f>
        <v>8854.8567719999992</v>
      </c>
      <c r="C29" s="39">
        <f>IF(ISERROR(B29*3.6/1000000/'E Balans VL '!Z10*100),0,B29*3.6/1000000/'E Balans VL '!Z10*100)</f>
        <v>0.89302286530299391</v>
      </c>
      <c r="D29" s="237" t="s">
        <v>708</v>
      </c>
      <c r="F29" s="6"/>
    </row>
    <row r="30" spans="1:18">
      <c r="A30" s="231" t="s">
        <v>49</v>
      </c>
      <c r="B30" s="33">
        <f>IF(ISERROR(TER_ander_ele_kWh/1000),0,TER_ander_ele_kWh/1000)</f>
        <v>7726.5244819999998</v>
      </c>
      <c r="C30" s="39">
        <f>IF(ISERROR(B30*3.6/1000000/'E Balans VL '!Z14*100),0,B30*3.6/1000000/'E Balans VL '!Z14*100)</f>
        <v>0.56066476029033274</v>
      </c>
      <c r="D30" s="237" t="s">
        <v>708</v>
      </c>
      <c r="F30" s="6"/>
    </row>
    <row r="31" spans="1:18">
      <c r="A31" s="231" t="s">
        <v>54</v>
      </c>
      <c r="B31" s="33">
        <f>IF(ISERROR(TER_onderwijs_ele_kWh/1000),0,TER_onderwijs_ele_kWh/1000)</f>
        <v>491.490771</v>
      </c>
      <c r="C31" s="39">
        <f>IF(ISERROR(B31*3.6/1000000/'E Balans VL '!Z11*100),0,B31*3.6/1000000/'E Balans VL '!Z11*100)</f>
        <v>0.14009488417113983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38386.312757</v>
      </c>
      <c r="C5" s="17">
        <f>IF(ISERROR('Eigen informatie GS &amp; warmtenet'!B61),0,'Eigen informatie GS &amp; warmtenet'!B61)</f>
        <v>0</v>
      </c>
      <c r="D5" s="30">
        <f>SUM(D6:D15)</f>
        <v>65974.17218944199</v>
      </c>
      <c r="E5" s="17">
        <f>SUM(E6:E15)</f>
        <v>2411.9028116844088</v>
      </c>
      <c r="F5" s="17">
        <f>SUM(F6:F15)</f>
        <v>8957.5876538199973</v>
      </c>
      <c r="G5" s="18"/>
      <c r="H5" s="17"/>
      <c r="I5" s="17"/>
      <c r="J5" s="17">
        <f>SUM(J6:J15)</f>
        <v>125.97129329521964</v>
      </c>
      <c r="K5" s="17"/>
      <c r="L5" s="17"/>
      <c r="M5" s="17"/>
      <c r="N5" s="17">
        <f>SUM(N6:N15)</f>
        <v>1990.0246364817444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3409.7776570000001</v>
      </c>
      <c r="C8" s="33"/>
      <c r="D8" s="37">
        <f>IF( ISERROR(IND_metaal_Gas_kWH/1000),0,IND_metaal_Gas_kWH/1000)*0.902</f>
        <v>10388.630913143999</v>
      </c>
      <c r="E8" s="33">
        <f>C30*'E Balans VL '!I18/100/3.6*1000000</f>
        <v>24.599152589627369</v>
      </c>
      <c r="F8" s="33">
        <f>C30*'E Balans VL '!L18/100/3.6*1000000+C30*'E Balans VL '!N18/100/3.6*1000000</f>
        <v>322.50209445639462</v>
      </c>
      <c r="G8" s="34"/>
      <c r="H8" s="33"/>
      <c r="I8" s="33"/>
      <c r="J8" s="40">
        <f>C30*'E Balans VL '!D18/100/3.6*1000000+C30*'E Balans VL '!E18/100/3.6*1000000</f>
        <v>3.4295741823040999</v>
      </c>
      <c r="K8" s="33"/>
      <c r="L8" s="33"/>
      <c r="M8" s="33"/>
      <c r="N8" s="33">
        <f>C30*'E Balans VL '!Y18/100/3.6*1000000</f>
        <v>43.108610965511488</v>
      </c>
      <c r="O8" s="33"/>
      <c r="P8" s="33"/>
      <c r="R8" s="32"/>
    </row>
    <row r="9" spans="1:18">
      <c r="A9" s="6" t="s">
        <v>32</v>
      </c>
      <c r="B9" s="37">
        <f t="shared" si="0"/>
        <v>5672.9897000000001</v>
      </c>
      <c r="C9" s="33"/>
      <c r="D9" s="37">
        <f>IF( ISERROR(IND_andere_gas_kWh/1000),0,IND_andere_gas_kWh/1000)*0.902</f>
        <v>26537.728727972</v>
      </c>
      <c r="E9" s="33">
        <f>C31*'E Balans VL '!I19/100/3.6*1000000</f>
        <v>1572.0613032458702</v>
      </c>
      <c r="F9" s="33">
        <f>C31*'E Balans VL '!L19/100/3.6*1000000+C31*'E Balans VL '!N19/100/3.6*1000000</f>
        <v>4701.7861227852245</v>
      </c>
      <c r="G9" s="34"/>
      <c r="H9" s="33"/>
      <c r="I9" s="33"/>
      <c r="J9" s="40">
        <f>C31*'E Balans VL '!D19/100/3.6*1000000+C31*'E Balans VL '!E19/100/3.6*1000000</f>
        <v>0</v>
      </c>
      <c r="K9" s="33"/>
      <c r="L9" s="33"/>
      <c r="M9" s="33"/>
      <c r="N9" s="33">
        <f>C31*'E Balans VL '!Y19/100/3.6*1000000</f>
        <v>411.78966404412557</v>
      </c>
      <c r="O9" s="33"/>
      <c r="P9" s="33"/>
      <c r="R9" s="32"/>
    </row>
    <row r="10" spans="1:18">
      <c r="A10" s="6" t="s">
        <v>40</v>
      </c>
      <c r="B10" s="37">
        <f t="shared" si="0"/>
        <v>6046.6624000000002</v>
      </c>
      <c r="C10" s="33"/>
      <c r="D10" s="37">
        <f>IF( ISERROR(IND_voed_gas_kWh/1000),0,IND_voed_gas_kWh/1000)*0.902</f>
        <v>9076.2736864580002</v>
      </c>
      <c r="E10" s="33">
        <f>C32*'E Balans VL '!I20/100/3.6*1000000</f>
        <v>10.704640583866736</v>
      </c>
      <c r="F10" s="33">
        <f>C32*'E Balans VL '!L20/100/3.6*1000000+C32*'E Balans VL '!N20/100/3.6*1000000</f>
        <v>326.57336068813129</v>
      </c>
      <c r="G10" s="34"/>
      <c r="H10" s="33"/>
      <c r="I10" s="33"/>
      <c r="J10" s="40">
        <f>C32*'E Balans VL '!D20/100/3.6*1000000+C32*'E Balans VL '!E20/100/3.6*1000000</f>
        <v>0</v>
      </c>
      <c r="K10" s="33"/>
      <c r="L10" s="33"/>
      <c r="M10" s="33"/>
      <c r="N10" s="33">
        <f>C32*'E Balans VL '!Y20/100/3.6*1000000</f>
        <v>351.35726437617944</v>
      </c>
      <c r="O10" s="33"/>
      <c r="P10" s="33"/>
      <c r="R10" s="32"/>
    </row>
    <row r="11" spans="1:18">
      <c r="A11" s="6" t="s">
        <v>39</v>
      </c>
      <c r="B11" s="37">
        <f t="shared" si="0"/>
        <v>15.228</v>
      </c>
      <c r="C11" s="33"/>
      <c r="D11" s="37">
        <f>IF( ISERROR(IND_textiel_gas_kWh/1000),0,IND_textiel_gas_kWh/1000)*0.902</f>
        <v>0</v>
      </c>
      <c r="E11" s="33">
        <f>C33*'E Balans VL '!I21/100/3.6*1000000</f>
        <v>5.3680280589804619E-2</v>
      </c>
      <c r="F11" s="33">
        <f>C33*'E Balans VL '!L21/100/3.6*1000000+C33*'E Balans VL '!N21/100/3.6*1000000</f>
        <v>0.44696457136249695</v>
      </c>
      <c r="G11" s="34"/>
      <c r="H11" s="33"/>
      <c r="I11" s="33"/>
      <c r="J11" s="40">
        <f>C33*'E Balans VL '!D21/100/3.6*1000000+C33*'E Balans VL '!E21/100/3.6*1000000</f>
        <v>0</v>
      </c>
      <c r="K11" s="33"/>
      <c r="L11" s="33"/>
      <c r="M11" s="33"/>
      <c r="N11" s="33">
        <f>C33*'E Balans VL '!Y21/100/3.6*1000000</f>
        <v>0.67094350016850079</v>
      </c>
      <c r="O11" s="33"/>
      <c r="P11" s="33"/>
      <c r="R11" s="32"/>
    </row>
    <row r="12" spans="1:18">
      <c r="A12" s="6" t="s">
        <v>36</v>
      </c>
      <c r="B12" s="37">
        <f t="shared" si="0"/>
        <v>2479.759</v>
      </c>
      <c r="C12" s="33"/>
      <c r="D12" s="37">
        <f>IF( ISERROR(IND_min_gas_kWh/1000),0,IND_min_gas_kWh/1000)*0.902</f>
        <v>374.711546</v>
      </c>
      <c r="E12" s="33">
        <f>C34*'E Balans VL '!I22/100/3.6*1000000</f>
        <v>109.1997409753713</v>
      </c>
      <c r="F12" s="33">
        <f>C34*'E Balans VL '!L22/100/3.6*1000000+C34*'E Balans VL '!N22/100/3.6*1000000</f>
        <v>969.6859154548423</v>
      </c>
      <c r="G12" s="34"/>
      <c r="H12" s="33"/>
      <c r="I12" s="33"/>
      <c r="J12" s="40">
        <f>C34*'E Balans VL '!D22/100/3.6*1000000+C34*'E Balans VL '!E22/100/3.6*1000000</f>
        <v>0.75294295301907022</v>
      </c>
      <c r="K12" s="33"/>
      <c r="L12" s="33"/>
      <c r="M12" s="33"/>
      <c r="N12" s="33">
        <f>C34*'E Balans VL '!Y22/100/3.6*1000000</f>
        <v>613.41722730514573</v>
      </c>
      <c r="O12" s="33"/>
      <c r="P12" s="33"/>
      <c r="R12" s="32"/>
    </row>
    <row r="13" spans="1:18">
      <c r="A13" s="6" t="s">
        <v>38</v>
      </c>
      <c r="B13" s="37">
        <f t="shared" si="0"/>
        <v>25.234000000000002</v>
      </c>
      <c r="C13" s="33"/>
      <c r="D13" s="37">
        <f>IF( ISERROR(IND_papier_gas_kWh/1000),0,IND_papier_gas_kWh/1000)*0.902</f>
        <v>62.743120000000005</v>
      </c>
      <c r="E13" s="33">
        <f>C35*'E Balans VL '!I23/100/3.6*1000000</f>
        <v>3.7127878855363311E-2</v>
      </c>
      <c r="F13" s="33">
        <f>C35*'E Balans VL '!L23/100/3.6*1000000+C35*'E Balans VL '!N23/100/3.6*1000000</f>
        <v>0.2701881729162669</v>
      </c>
      <c r="G13" s="34"/>
      <c r="H13" s="33"/>
      <c r="I13" s="33"/>
      <c r="J13" s="40">
        <f>C35*'E Balans VL '!D23/100/3.6*1000000+C35*'E Balans VL '!E23/100/3.6*1000000</f>
        <v>2.7607411048671699</v>
      </c>
      <c r="K13" s="33"/>
      <c r="L13" s="33"/>
      <c r="M13" s="33"/>
      <c r="N13" s="33">
        <f>C35*'E Balans VL '!Y23/100/3.6*1000000</f>
        <v>0</v>
      </c>
      <c r="O13" s="33"/>
      <c r="P13" s="33"/>
      <c r="R13" s="32"/>
    </row>
    <row r="14" spans="1:18">
      <c r="A14" s="6" t="s">
        <v>33</v>
      </c>
      <c r="B14" s="37">
        <f t="shared" si="0"/>
        <v>6328.6049999999996</v>
      </c>
      <c r="C14" s="33"/>
      <c r="D14" s="37">
        <f>IF( ISERROR(IND_chemie_gas_kWh/1000),0,IND_chemie_gas_kWh/1000)*0.902</f>
        <v>1630.4314178680002</v>
      </c>
      <c r="E14" s="33">
        <f>C36*'E Balans VL '!I24/100/3.6*1000000</f>
        <v>14.31402980838792</v>
      </c>
      <c r="F14" s="33">
        <f>C36*'E Balans VL '!L24/100/3.6*1000000+C36*'E Balans VL '!N24/100/3.6*1000000</f>
        <v>74.721657014009295</v>
      </c>
      <c r="G14" s="34"/>
      <c r="H14" s="33"/>
      <c r="I14" s="33"/>
      <c r="J14" s="40">
        <f>C36*'E Balans VL '!D24/100/3.6*1000000+C36*'E Balans VL '!E24/100/3.6*1000000</f>
        <v>0</v>
      </c>
      <c r="K14" s="33"/>
      <c r="L14" s="33"/>
      <c r="M14" s="33"/>
      <c r="N14" s="33">
        <f>C36*'E Balans VL '!Y24/100/3.6*1000000</f>
        <v>3.4762080020534651</v>
      </c>
      <c r="O14" s="33"/>
      <c r="P14" s="33"/>
      <c r="R14" s="32"/>
    </row>
    <row r="15" spans="1:18">
      <c r="A15" s="6" t="s">
        <v>269</v>
      </c>
      <c r="B15" s="37">
        <f t="shared" si="0"/>
        <v>14408.057000000001</v>
      </c>
      <c r="C15" s="33"/>
      <c r="D15" s="37">
        <f>IF( ISERROR(IND_rest_gas_kWh/1000),0,IND_rest_gas_kWh/1000)*0.902</f>
        <v>17903.652778</v>
      </c>
      <c r="E15" s="33">
        <f>C37*'E Balans VL '!I15/100/3.6*1000000</f>
        <v>680.93313632184004</v>
      </c>
      <c r="F15" s="33">
        <f>C37*'E Balans VL '!L15/100/3.6*1000000+C37*'E Balans VL '!N15/100/3.6*1000000</f>
        <v>2561.6013506771164</v>
      </c>
      <c r="G15" s="34"/>
      <c r="H15" s="33"/>
      <c r="I15" s="33"/>
      <c r="J15" s="40">
        <f>C37*'E Balans VL '!D15/100/3.6*1000000+C37*'E Balans VL '!E15/100/3.6*1000000</f>
        <v>119.02803505502929</v>
      </c>
      <c r="K15" s="33"/>
      <c r="L15" s="33"/>
      <c r="M15" s="33"/>
      <c r="N15" s="33">
        <f>C37*'E Balans VL '!Y15/100/3.6*1000000</f>
        <v>566.20471828856012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38386.312757</v>
      </c>
      <c r="C18" s="21">
        <f>C5+C16</f>
        <v>0</v>
      </c>
      <c r="D18" s="21">
        <f>MAX((D5+D16),0)</f>
        <v>65974.17218944199</v>
      </c>
      <c r="E18" s="21">
        <f>MAX((E5+E16),0)</f>
        <v>2411.9028116844088</v>
      </c>
      <c r="F18" s="21">
        <f>MAX((F5+F16),0)</f>
        <v>8957.5876538199973</v>
      </c>
      <c r="G18" s="21"/>
      <c r="H18" s="21"/>
      <c r="I18" s="21"/>
      <c r="J18" s="21">
        <f>MAX((J5+J16),0)</f>
        <v>125.97129329521964</v>
      </c>
      <c r="K18" s="21"/>
      <c r="L18" s="21">
        <f>MAX((L5+L16),0)</f>
        <v>0</v>
      </c>
      <c r="M18" s="21"/>
      <c r="N18" s="21">
        <f>MAX((N5+N16),0)</f>
        <v>1990.0246364817444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0.1642677231348563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6305.6321961348785</v>
      </c>
      <c r="C22" s="23">
        <f ca="1">C18*C20</f>
        <v>0</v>
      </c>
      <c r="D22" s="23">
        <f>D18*D20</f>
        <v>13326.782782267283</v>
      </c>
      <c r="E22" s="23">
        <f>E18*E20</f>
        <v>547.50193825236079</v>
      </c>
      <c r="F22" s="23">
        <f>F18*F20</f>
        <v>2391.6759035699392</v>
      </c>
      <c r="G22" s="23"/>
      <c r="H22" s="23"/>
      <c r="I22" s="23"/>
      <c r="J22" s="23">
        <f>J18*J20</f>
        <v>44.593837826507752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3409.7776570000001</v>
      </c>
      <c r="C30" s="39">
        <f>IF(ISERROR(B30*3.6/1000000/'E Balans VL '!Z18*100),0,B30*3.6/1000000/'E Balans VL '!Z18*100)</f>
        <v>0.1968411436999952</v>
      </c>
      <c r="D30" s="237" t="s">
        <v>708</v>
      </c>
    </row>
    <row r="31" spans="1:18">
      <c r="A31" s="6" t="s">
        <v>32</v>
      </c>
      <c r="B31" s="37">
        <f>IF( ISERROR(IND_ander_ele_kWh/1000),0,IND_ander_ele_kWh/1000)</f>
        <v>5672.9897000000001</v>
      </c>
      <c r="C31" s="39">
        <f>IF(ISERROR(B31*3.6/1000000/'E Balans VL '!Z19*100),0,B31*3.6/1000000/'E Balans VL '!Z19*100)</f>
        <v>0.28533299362589976</v>
      </c>
      <c r="D31" s="237" t="s">
        <v>708</v>
      </c>
    </row>
    <row r="32" spans="1:18">
      <c r="A32" s="171" t="s">
        <v>40</v>
      </c>
      <c r="B32" s="37">
        <f>IF( ISERROR(IND_voed_ele_kWh/1000),0,IND_voed_ele_kWh/1000)</f>
        <v>6046.6624000000002</v>
      </c>
      <c r="C32" s="39">
        <f>IF(ISERROR(B32*3.6/1000000/'E Balans VL '!Z20*100),0,B32*3.6/1000000/'E Balans VL '!Z20*100)</f>
        <v>0.20138976450141968</v>
      </c>
      <c r="D32" s="237" t="s">
        <v>708</v>
      </c>
    </row>
    <row r="33" spans="1:5">
      <c r="A33" s="171" t="s">
        <v>39</v>
      </c>
      <c r="B33" s="37">
        <f>IF( ISERROR(IND_textiel_ele_kWh/1000),0,IND_textiel_ele_kWh/1000)</f>
        <v>15.228</v>
      </c>
      <c r="C33" s="39">
        <f>IF(ISERROR(B33*3.6/1000000/'E Balans VL '!Z21*100),0,B33*3.6/1000000/'E Balans VL '!Z21*100)</f>
        <v>2.3742390133272618E-3</v>
      </c>
      <c r="D33" s="237" t="s">
        <v>708</v>
      </c>
    </row>
    <row r="34" spans="1:5">
      <c r="A34" s="171" t="s">
        <v>36</v>
      </c>
      <c r="B34" s="37">
        <f>IF( ISERROR(IND_min_ele_kWh/1000),0,IND_min_ele_kWh/1000)</f>
        <v>2479.759</v>
      </c>
      <c r="C34" s="39">
        <f>IF(ISERROR(B34*3.6/1000000/'E Balans VL '!Z22*100),0,B34*3.6/1000000/'E Balans VL '!Z22*100)</f>
        <v>0.46255881072841465</v>
      </c>
      <c r="D34" s="237" t="s">
        <v>708</v>
      </c>
    </row>
    <row r="35" spans="1:5">
      <c r="A35" s="171" t="s">
        <v>38</v>
      </c>
      <c r="B35" s="37">
        <f>IF( ISERROR(IND_papier_ele_kWh/1000),0,IND_papier_ele_kWh/1000)</f>
        <v>25.234000000000002</v>
      </c>
      <c r="C35" s="39">
        <f>IF(ISERROR(B35*3.6/1000000/'E Balans VL '!Z22*100),0,B35*3.6/1000000/'E Balans VL '!Z22*100)</f>
        <v>4.706993312624661E-3</v>
      </c>
      <c r="D35" s="237" t="s">
        <v>708</v>
      </c>
    </row>
    <row r="36" spans="1:5">
      <c r="A36" s="171" t="s">
        <v>33</v>
      </c>
      <c r="B36" s="37">
        <f>IF( ISERROR(IND_chemie_ele_kWh/1000),0,IND_chemie_ele_kWh/1000)</f>
        <v>6328.6049999999996</v>
      </c>
      <c r="C36" s="39">
        <f>IF(ISERROR(B36*3.6/1000000/'E Balans VL '!Z24*100),0,B36*3.6/1000000/'E Balans VL '!Z24*100)</f>
        <v>0.16692475400016632</v>
      </c>
      <c r="D36" s="237" t="s">
        <v>708</v>
      </c>
    </row>
    <row r="37" spans="1:5">
      <c r="A37" s="171" t="s">
        <v>269</v>
      </c>
      <c r="B37" s="37">
        <f>IF( ISERROR(IND_rest_ele_kWh/1000),0,IND_rest_ele_kWh/1000)</f>
        <v>14408.057000000001</v>
      </c>
      <c r="C37" s="39">
        <f>IF(ISERROR(B37*3.6/1000000/'E Balans VL '!Z15*100),0,B37*3.6/1000000/'E Balans VL '!Z15*100)</f>
        <v>0.11242224532210432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191.28768500000001</v>
      </c>
      <c r="C5" s="17">
        <f>'Eigen informatie GS &amp; warmtenet'!B62</f>
        <v>0</v>
      </c>
      <c r="D5" s="30">
        <f>IF(ISERROR(SUM(LB_lb_gas_kWh,LB_rest_gas_kWh)/1000),0,SUM(LB_lb_gas_kWh,LB_rest_gas_kWh)/1000)*0.902</f>
        <v>107.12963800000001</v>
      </c>
      <c r="E5" s="17">
        <f>B17*'E Balans VL '!I25/3.6*1000000/100</f>
        <v>5.9700255699533962</v>
      </c>
      <c r="F5" s="17">
        <f>B17*('E Balans VL '!L25/3.6*1000000+'E Balans VL '!N25/3.6*1000000)/100</f>
        <v>676.03186906811538</v>
      </c>
      <c r="G5" s="18"/>
      <c r="H5" s="17"/>
      <c r="I5" s="17"/>
      <c r="J5" s="17">
        <f>('E Balans VL '!D25+'E Balans VL '!E25)/3.6*1000000*landbouw!B17/100</f>
        <v>52.701083785969516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191.28768500000001</v>
      </c>
      <c r="C8" s="21">
        <f>C5+C6</f>
        <v>0</v>
      </c>
      <c r="D8" s="21">
        <f>MAX((D5+D6),0)</f>
        <v>107.12963800000001</v>
      </c>
      <c r="E8" s="21">
        <f>MAX((E5+E6),0)</f>
        <v>5.9700255699533962</v>
      </c>
      <c r="F8" s="21">
        <f>MAX((F5+F6),0)</f>
        <v>676.03186906811538</v>
      </c>
      <c r="G8" s="21"/>
      <c r="H8" s="21"/>
      <c r="I8" s="21"/>
      <c r="J8" s="21">
        <f>MAX((J5+J6),0)</f>
        <v>52.701083785969516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0.1642677231348563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31.422392478687605</v>
      </c>
      <c r="C12" s="23">
        <f ca="1">C8*C10</f>
        <v>0</v>
      </c>
      <c r="D12" s="23">
        <f>D8*D10</f>
        <v>21.640186876000005</v>
      </c>
      <c r="E12" s="23">
        <f>E8*E10</f>
        <v>1.355195804379421</v>
      </c>
      <c r="F12" s="23">
        <f>F8*F10</f>
        <v>180.50050904118683</v>
      </c>
      <c r="G12" s="23"/>
      <c r="H12" s="23"/>
      <c r="I12" s="23"/>
      <c r="J12" s="23">
        <f>J8*J10</f>
        <v>18.656183660233207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2.8436285655266708E-2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30.578018764540634</v>
      </c>
      <c r="C26" s="247">
        <f>B26*'GWP N2O_CH4'!B5</f>
        <v>642.13839405535327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3.3541175029519574</v>
      </c>
      <c r="C27" s="247">
        <f>B27*'GWP N2O_CH4'!B5</f>
        <v>70.436467561991108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0.40966740901540499</v>
      </c>
      <c r="C28" s="247">
        <f>B28*'GWP N2O_CH4'!B4</f>
        <v>126.99689679477555</v>
      </c>
      <c r="D28" s="50"/>
    </row>
    <row r="29" spans="1:4">
      <c r="A29" s="41" t="s">
        <v>276</v>
      </c>
      <c r="B29" s="247">
        <f>B34*'ha_N2O bodem landbouw'!B4</f>
        <v>5.293524684721306</v>
      </c>
      <c r="C29" s="247">
        <f>B29*'GWP N2O_CH4'!B4</f>
        <v>1640.9926522636049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1.1607746555904117E-3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5.4063948666647392E-4</v>
      </c>
      <c r="C5" s="437" t="s">
        <v>210</v>
      </c>
      <c r="D5" s="422">
        <f>SUM(D6:D11)</f>
        <v>1.9639433511415465E-3</v>
      </c>
      <c r="E5" s="422">
        <f>SUM(E6:E11)</f>
        <v>1.8578932422678841E-3</v>
      </c>
      <c r="F5" s="435" t="s">
        <v>210</v>
      </c>
      <c r="G5" s="422">
        <f>SUM(G6:G11)</f>
        <v>0.86725399935741287</v>
      </c>
      <c r="H5" s="422">
        <f>SUM(H6:H11)</f>
        <v>0.18703546062151191</v>
      </c>
      <c r="I5" s="437" t="s">
        <v>210</v>
      </c>
      <c r="J5" s="437" t="s">
        <v>210</v>
      </c>
      <c r="K5" s="437" t="s">
        <v>210</v>
      </c>
      <c r="L5" s="437" t="s">
        <v>210</v>
      </c>
      <c r="M5" s="422">
        <f>SUM(M6:M11)</f>
        <v>6.2373731414380601E-2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1.4602173386086211E-4</v>
      </c>
      <c r="C6" s="423"/>
      <c r="D6" s="890">
        <f>vkm_GW_PW*SUMIFS(TableVerdeelsleutelVkm[CNG],TableVerdeelsleutelVkm[Voertuigtype],"Lichte voertuigen")*SUMIFS(TableECFTransport[EnergieConsumptieFactor (PJ per km)],TableECFTransport[Index],CONCATENATE($A6,"_CNG_CNG"))</f>
        <v>4.7039476457246421E-4</v>
      </c>
      <c r="E6" s="890">
        <f>vkm_GW_PW*SUMIFS(TableVerdeelsleutelVkm[LPG],TableVerdeelsleutelVkm[Voertuigtype],"Lichte voertuigen")*SUMIFS(TableECFTransport[EnergieConsumptieFactor (PJ per km)],TableECFTransport[Index],CONCATENATE($A6,"_LPG_LPG"))</f>
        <v>4.0227059890189177E-4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0.12995329143983544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4.4066364122140017E-2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1.0408408460690983E-2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2.7944031616786602E-2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3.9957456153643613E-7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1.6107612245000271E-3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9.8396991517135809E-5</v>
      </c>
      <c r="C8" s="423"/>
      <c r="D8" s="425">
        <f>vkm_NGW_PW*SUMIFS(TableVerdeelsleutelVkm[CNG],TableVerdeelsleutelVkm[Voertuigtype],"Lichte voertuigen")*SUMIFS(TableECFTransport[EnergieConsumptieFactor (PJ per km)],TableECFTransport[Index],CONCATENATE($A8,"_CNG_CNG"))</f>
        <v>5.3704741983967835E-4</v>
      </c>
      <c r="E8" s="425">
        <f>vkm_NGW_PW*SUMIFS(TableVerdeelsleutelVkm[LPG],TableVerdeelsleutelVkm[Voertuigtype],"Lichte voertuigen")*SUMIFS(TableECFTransport[EnergieConsumptieFactor (PJ per km)],TableECFTransport[Index],CONCATENATE($A8,"_LPG_LPG"))</f>
        <v>4.3638264725375046E-4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0.13173087860211688</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4.9469501285796212E-2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1.0868622344417144E-2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9.1365712340521314E-3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1.6564472967420212E-7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5.2665626879695607E-4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2.9622076128847603E-4</v>
      </c>
      <c r="C10" s="423"/>
      <c r="D10" s="425">
        <f>vkm_SW_PW*SUMIFS(TableVerdeelsleutelVkm[CNG],TableVerdeelsleutelVkm[Voertuigtype],"Lichte voertuigen")*SUMIFS(TableECFTransport[EnergieConsumptieFactor (PJ per km)],TableECFTransport[Index],CONCATENATE($A10,"_CNG_CNG"))</f>
        <v>9.5650116672940416E-4</v>
      </c>
      <c r="E10" s="425">
        <f>vkm_SW_PW*SUMIFS(TableVerdeelsleutelVkm[LPG],TableVerdeelsleutelVkm[Voertuigtype],"Lichte voertuigen")*SUMIFS(TableECFTransport[EnergieConsumptieFactor (PJ per km)],TableECFTransport[Index],CONCATENATE($A10,"_LPG_LPG"))</f>
        <v>1.0192399961122419E-3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0.29337290751970352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9.3494826595866595E-2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2.3100898632920003E-2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0.27511631894491828</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4.2033984178918113E-6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1.5858384483055488E-2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150.17763518513163</v>
      </c>
      <c r="C14" s="21"/>
      <c r="D14" s="21">
        <f t="shared" ref="D14:M14" si="0">((D5)*10^9/3600)+D12</f>
        <v>545.53981976154068</v>
      </c>
      <c r="E14" s="21">
        <f t="shared" si="0"/>
        <v>516.08145618552339</v>
      </c>
      <c r="F14" s="21"/>
      <c r="G14" s="21">
        <f t="shared" si="0"/>
        <v>240903.88871039244</v>
      </c>
      <c r="H14" s="21">
        <f t="shared" si="0"/>
        <v>51954.294617086642</v>
      </c>
      <c r="I14" s="21"/>
      <c r="J14" s="21"/>
      <c r="K14" s="21"/>
      <c r="L14" s="21"/>
      <c r="M14" s="21">
        <f t="shared" si="0"/>
        <v>17326.036503994612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0.1642677231348563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24.669338197638655</v>
      </c>
      <c r="C18" s="23"/>
      <c r="D18" s="23">
        <f t="shared" ref="D18:M18" si="1">D14*D16</f>
        <v>110.19904359183123</v>
      </c>
      <c r="E18" s="23">
        <f t="shared" si="1"/>
        <v>117.15049055411382</v>
      </c>
      <c r="F18" s="23"/>
      <c r="G18" s="23">
        <f t="shared" si="1"/>
        <v>64321.338285674785</v>
      </c>
      <c r="H18" s="23">
        <f t="shared" si="1"/>
        <v>12936.619359654575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1.0920644104549904E-2</v>
      </c>
      <c r="H50" s="319">
        <f t="shared" si="2"/>
        <v>0</v>
      </c>
      <c r="I50" s="319">
        <f t="shared" si="2"/>
        <v>0</v>
      </c>
      <c r="J50" s="319">
        <f t="shared" si="2"/>
        <v>0</v>
      </c>
      <c r="K50" s="319">
        <f t="shared" si="2"/>
        <v>0</v>
      </c>
      <c r="L50" s="319">
        <f t="shared" si="2"/>
        <v>0</v>
      </c>
      <c r="M50" s="319">
        <f t="shared" si="2"/>
        <v>6.0687511316904119E-4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1.0920644104549904E-2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6.0687511316904119E-4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3033.5122512638623</v>
      </c>
      <c r="H54" s="21">
        <f t="shared" si="3"/>
        <v>0</v>
      </c>
      <c r="I54" s="21">
        <f t="shared" si="3"/>
        <v>0</v>
      </c>
      <c r="J54" s="21">
        <f t="shared" si="3"/>
        <v>0</v>
      </c>
      <c r="K54" s="21">
        <f t="shared" si="3"/>
        <v>0</v>
      </c>
      <c r="L54" s="21">
        <f t="shared" si="3"/>
        <v>0</v>
      </c>
      <c r="M54" s="21">
        <f t="shared" si="3"/>
        <v>168.57642032473368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0.1642677231348563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809.94777108745131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44111.891379000001</v>
      </c>
      <c r="D10" s="686">
        <f ca="1">tertiair!C16</f>
        <v>0</v>
      </c>
      <c r="E10" s="686">
        <f ca="1">tertiair!D16</f>
        <v>50751.997210089998</v>
      </c>
      <c r="F10" s="686">
        <f>tertiair!E16</f>
        <v>531.77017143848718</v>
      </c>
      <c r="G10" s="686">
        <f ca="1">tertiair!F16</f>
        <v>4667.957225224065</v>
      </c>
      <c r="H10" s="686">
        <f>tertiair!G16</f>
        <v>0</v>
      </c>
      <c r="I10" s="686">
        <f>tertiair!H16</f>
        <v>0</v>
      </c>
      <c r="J10" s="686">
        <f>tertiair!I16</f>
        <v>0</v>
      </c>
      <c r="K10" s="686">
        <f>tertiair!J16</f>
        <v>0.13116590166628522</v>
      </c>
      <c r="L10" s="686">
        <f>tertiair!K16</f>
        <v>0</v>
      </c>
      <c r="M10" s="686">
        <f ca="1">tertiair!L16</f>
        <v>0</v>
      </c>
      <c r="N10" s="686">
        <f>tertiair!M16</f>
        <v>0</v>
      </c>
      <c r="O10" s="686">
        <f ca="1">tertiair!N16</f>
        <v>5191.3830812787319</v>
      </c>
      <c r="P10" s="686">
        <f>tertiair!O16</f>
        <v>19.589043063364617</v>
      </c>
      <c r="Q10" s="687">
        <f>tertiair!P16</f>
        <v>577.93052137144514</v>
      </c>
      <c r="R10" s="689">
        <f ca="1">SUM(C10:Q10)</f>
        <v>105852.64979736775</v>
      </c>
      <c r="S10" s="67"/>
    </row>
    <row r="11" spans="1:19" s="448" customFormat="1">
      <c r="A11" s="808" t="s">
        <v>224</v>
      </c>
      <c r="B11" s="813"/>
      <c r="C11" s="686">
        <f>huishoudens!B8</f>
        <v>51541.937281305152</v>
      </c>
      <c r="D11" s="686">
        <f>huishoudens!C8</f>
        <v>0</v>
      </c>
      <c r="E11" s="686">
        <f>huishoudens!D8</f>
        <v>99074.547719400012</v>
      </c>
      <c r="F11" s="686">
        <f>huishoudens!E8</f>
        <v>16409.081876473148</v>
      </c>
      <c r="G11" s="686">
        <f>huishoudens!F8</f>
        <v>60719.620502383048</v>
      </c>
      <c r="H11" s="686">
        <f>huishoudens!G8</f>
        <v>0</v>
      </c>
      <c r="I11" s="686">
        <f>huishoudens!H8</f>
        <v>0</v>
      </c>
      <c r="J11" s="686">
        <f>huishoudens!I8</f>
        <v>0</v>
      </c>
      <c r="K11" s="686">
        <f>huishoudens!J8</f>
        <v>0</v>
      </c>
      <c r="L11" s="686">
        <f>huishoudens!K8</f>
        <v>0</v>
      </c>
      <c r="M11" s="686">
        <f>huishoudens!L8</f>
        <v>0</v>
      </c>
      <c r="N11" s="686">
        <f>huishoudens!M8</f>
        <v>0</v>
      </c>
      <c r="O11" s="686">
        <f>huishoudens!N8</f>
        <v>25109.291736982013</v>
      </c>
      <c r="P11" s="686">
        <f>huishoudens!O8</f>
        <v>1007.8507754486122</v>
      </c>
      <c r="Q11" s="687">
        <f>huishoudens!P8</f>
        <v>1401.0165879221083</v>
      </c>
      <c r="R11" s="689">
        <f>SUM(C11:Q11)</f>
        <v>255263.34647991409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38386.312757</v>
      </c>
      <c r="D13" s="686">
        <f>industrie!C18</f>
        <v>0</v>
      </c>
      <c r="E13" s="686">
        <f>industrie!D18</f>
        <v>65974.17218944199</v>
      </c>
      <c r="F13" s="686">
        <f>industrie!E18</f>
        <v>2411.9028116844088</v>
      </c>
      <c r="G13" s="686">
        <f>industrie!F18</f>
        <v>8957.5876538199973</v>
      </c>
      <c r="H13" s="686">
        <f>industrie!G18</f>
        <v>0</v>
      </c>
      <c r="I13" s="686">
        <f>industrie!H18</f>
        <v>0</v>
      </c>
      <c r="J13" s="686">
        <f>industrie!I18</f>
        <v>0</v>
      </c>
      <c r="K13" s="686">
        <f>industrie!J18</f>
        <v>125.97129329521964</v>
      </c>
      <c r="L13" s="686">
        <f>industrie!K18</f>
        <v>0</v>
      </c>
      <c r="M13" s="686">
        <f>industrie!L18</f>
        <v>0</v>
      </c>
      <c r="N13" s="686">
        <f>industrie!M18</f>
        <v>0</v>
      </c>
      <c r="O13" s="686">
        <f>industrie!N18</f>
        <v>1990.0246364817444</v>
      </c>
      <c r="P13" s="686">
        <f>industrie!O18</f>
        <v>0</v>
      </c>
      <c r="Q13" s="687">
        <f>industrie!P18</f>
        <v>0</v>
      </c>
      <c r="R13" s="689">
        <f>SUM(C13:Q13)</f>
        <v>117845.97134172336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134040.14141730516</v>
      </c>
      <c r="D16" s="722">
        <f t="shared" ref="D16:R16" ca="1" si="0">SUM(D9:D15)</f>
        <v>0</v>
      </c>
      <c r="E16" s="722">
        <f t="shared" ca="1" si="0"/>
        <v>215800.71711893199</v>
      </c>
      <c r="F16" s="722">
        <f t="shared" si="0"/>
        <v>19352.754859596043</v>
      </c>
      <c r="G16" s="722">
        <f t="shared" ca="1" si="0"/>
        <v>74345.165381427112</v>
      </c>
      <c r="H16" s="722">
        <f t="shared" si="0"/>
        <v>0</v>
      </c>
      <c r="I16" s="722">
        <f t="shared" si="0"/>
        <v>0</v>
      </c>
      <c r="J16" s="722">
        <f t="shared" si="0"/>
        <v>0</v>
      </c>
      <c r="K16" s="722">
        <f t="shared" si="0"/>
        <v>126.10245919688592</v>
      </c>
      <c r="L16" s="722">
        <f t="shared" si="0"/>
        <v>0</v>
      </c>
      <c r="M16" s="722">
        <f t="shared" ca="1" si="0"/>
        <v>0</v>
      </c>
      <c r="N16" s="722">
        <f t="shared" si="0"/>
        <v>0</v>
      </c>
      <c r="O16" s="722">
        <f t="shared" ca="1" si="0"/>
        <v>32290.699454742487</v>
      </c>
      <c r="P16" s="722">
        <f t="shared" si="0"/>
        <v>1027.4398185119769</v>
      </c>
      <c r="Q16" s="722">
        <f t="shared" si="0"/>
        <v>1978.9471092935535</v>
      </c>
      <c r="R16" s="722">
        <f t="shared" ca="1" si="0"/>
        <v>478961.96761900518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3033.5122512638623</v>
      </c>
      <c r="I19" s="686">
        <f>transport!H54</f>
        <v>0</v>
      </c>
      <c r="J19" s="686">
        <f>transport!I54</f>
        <v>0</v>
      </c>
      <c r="K19" s="686">
        <f>transport!J54</f>
        <v>0</v>
      </c>
      <c r="L19" s="686">
        <f>transport!K54</f>
        <v>0</v>
      </c>
      <c r="M19" s="686">
        <f>transport!L54</f>
        <v>0</v>
      </c>
      <c r="N19" s="686">
        <f>transport!M54</f>
        <v>168.57642032473368</v>
      </c>
      <c r="O19" s="686">
        <f>transport!N54</f>
        <v>0</v>
      </c>
      <c r="P19" s="686">
        <f>transport!O54</f>
        <v>0</v>
      </c>
      <c r="Q19" s="687">
        <f>transport!P54</f>
        <v>0</v>
      </c>
      <c r="R19" s="689">
        <f>SUM(C19:Q19)</f>
        <v>3202.0886715885958</v>
      </c>
      <c r="S19" s="67"/>
    </row>
    <row r="20" spans="1:19" s="448" customFormat="1">
      <c r="A20" s="808" t="s">
        <v>306</v>
      </c>
      <c r="B20" s="813"/>
      <c r="C20" s="686">
        <f>transport!B14</f>
        <v>150.17763518513163</v>
      </c>
      <c r="D20" s="686">
        <f>transport!C14</f>
        <v>0</v>
      </c>
      <c r="E20" s="686">
        <f>transport!D14</f>
        <v>545.53981976154068</v>
      </c>
      <c r="F20" s="686">
        <f>transport!E14</f>
        <v>516.08145618552339</v>
      </c>
      <c r="G20" s="686">
        <f>transport!F14</f>
        <v>0</v>
      </c>
      <c r="H20" s="686">
        <f>transport!G14</f>
        <v>240903.88871039244</v>
      </c>
      <c r="I20" s="686">
        <f>transport!H14</f>
        <v>51954.294617086642</v>
      </c>
      <c r="J20" s="686">
        <f>transport!I14</f>
        <v>0</v>
      </c>
      <c r="K20" s="686">
        <f>transport!J14</f>
        <v>0</v>
      </c>
      <c r="L20" s="686">
        <f>transport!K14</f>
        <v>0</v>
      </c>
      <c r="M20" s="686">
        <f>transport!L14</f>
        <v>0</v>
      </c>
      <c r="N20" s="686">
        <f>transport!M14</f>
        <v>17326.036503994612</v>
      </c>
      <c r="O20" s="686">
        <f>transport!N14</f>
        <v>0</v>
      </c>
      <c r="P20" s="686">
        <f>transport!O14</f>
        <v>0</v>
      </c>
      <c r="Q20" s="687">
        <f>transport!P14</f>
        <v>0</v>
      </c>
      <c r="R20" s="689">
        <f>SUM(C20:Q20)</f>
        <v>311396.01874260587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150.17763518513163</v>
      </c>
      <c r="D22" s="811">
        <f t="shared" ref="D22:R22" si="1">SUM(D18:D21)</f>
        <v>0</v>
      </c>
      <c r="E22" s="811">
        <f t="shared" si="1"/>
        <v>545.53981976154068</v>
      </c>
      <c r="F22" s="811">
        <f t="shared" si="1"/>
        <v>516.08145618552339</v>
      </c>
      <c r="G22" s="811">
        <f t="shared" si="1"/>
        <v>0</v>
      </c>
      <c r="H22" s="811">
        <f t="shared" si="1"/>
        <v>243937.4009616563</v>
      </c>
      <c r="I22" s="811">
        <f t="shared" si="1"/>
        <v>51954.294617086642</v>
      </c>
      <c r="J22" s="811">
        <f t="shared" si="1"/>
        <v>0</v>
      </c>
      <c r="K22" s="811">
        <f t="shared" si="1"/>
        <v>0</v>
      </c>
      <c r="L22" s="811">
        <f t="shared" si="1"/>
        <v>0</v>
      </c>
      <c r="M22" s="811">
        <f t="shared" si="1"/>
        <v>0</v>
      </c>
      <c r="N22" s="811">
        <f t="shared" si="1"/>
        <v>17494.612924319346</v>
      </c>
      <c r="O22" s="811">
        <f t="shared" si="1"/>
        <v>0</v>
      </c>
      <c r="P22" s="811">
        <f t="shared" si="1"/>
        <v>0</v>
      </c>
      <c r="Q22" s="811">
        <f t="shared" si="1"/>
        <v>0</v>
      </c>
      <c r="R22" s="811">
        <f t="shared" si="1"/>
        <v>314598.10741419444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191.28768500000001</v>
      </c>
      <c r="D24" s="686">
        <f>+landbouw!C8</f>
        <v>0</v>
      </c>
      <c r="E24" s="686">
        <f>+landbouw!D8</f>
        <v>107.12963800000001</v>
      </c>
      <c r="F24" s="686">
        <f>+landbouw!E8</f>
        <v>5.9700255699533962</v>
      </c>
      <c r="G24" s="686">
        <f>+landbouw!F8</f>
        <v>676.03186906811538</v>
      </c>
      <c r="H24" s="686">
        <f>+landbouw!G8</f>
        <v>0</v>
      </c>
      <c r="I24" s="686">
        <f>+landbouw!H8</f>
        <v>0</v>
      </c>
      <c r="J24" s="686">
        <f>+landbouw!I8</f>
        <v>0</v>
      </c>
      <c r="K24" s="686">
        <f>+landbouw!J8</f>
        <v>52.701083785969516</v>
      </c>
      <c r="L24" s="686">
        <f>+landbouw!K8</f>
        <v>0</v>
      </c>
      <c r="M24" s="686">
        <f>+landbouw!L8</f>
        <v>0</v>
      </c>
      <c r="N24" s="686">
        <f>+landbouw!M8</f>
        <v>0</v>
      </c>
      <c r="O24" s="686">
        <f>+landbouw!N8</f>
        <v>0</v>
      </c>
      <c r="P24" s="686">
        <f>+landbouw!O8</f>
        <v>0</v>
      </c>
      <c r="Q24" s="687">
        <f>+landbouw!P8</f>
        <v>0</v>
      </c>
      <c r="R24" s="689">
        <f>SUM(C24:Q24)</f>
        <v>1033.1203014240384</v>
      </c>
      <c r="S24" s="67"/>
    </row>
    <row r="25" spans="1:19" s="448" customFormat="1" ht="15" thickBot="1">
      <c r="A25" s="830" t="s">
        <v>724</v>
      </c>
      <c r="B25" s="949"/>
      <c r="C25" s="950">
        <f>IF(Onbekend_ele_kWh="---",0,Onbekend_ele_kWh)/1000+IF(REST_rest_ele_kWh="---",0,REST_rest_ele_kWh)/1000</f>
        <v>5643.4620000000004</v>
      </c>
      <c r="D25" s="950"/>
      <c r="E25" s="950">
        <f>IF(onbekend_gas_kWh="---",0,onbekend_gas_kWh)/1000+IF(REST_rest_gas_kWh="---",0,REST_rest_gas_kWh)/1000</f>
        <v>2887.8253999999997</v>
      </c>
      <c r="F25" s="950"/>
      <c r="G25" s="950"/>
      <c r="H25" s="950"/>
      <c r="I25" s="950"/>
      <c r="J25" s="950"/>
      <c r="K25" s="950"/>
      <c r="L25" s="950"/>
      <c r="M25" s="950"/>
      <c r="N25" s="950"/>
      <c r="O25" s="950"/>
      <c r="P25" s="950"/>
      <c r="Q25" s="951"/>
      <c r="R25" s="689">
        <f>SUM(C25:Q25)</f>
        <v>8531.2874000000011</v>
      </c>
      <c r="S25" s="67"/>
    </row>
    <row r="26" spans="1:19" s="448" customFormat="1" ht="15.75" thickBot="1">
      <c r="A26" s="694" t="s">
        <v>725</v>
      </c>
      <c r="B26" s="816"/>
      <c r="C26" s="811">
        <f>SUM(C24:C25)</f>
        <v>5834.7496850000007</v>
      </c>
      <c r="D26" s="811">
        <f t="shared" ref="D26:R26" si="2">SUM(D24:D25)</f>
        <v>0</v>
      </c>
      <c r="E26" s="811">
        <f t="shared" si="2"/>
        <v>2994.9550379999996</v>
      </c>
      <c r="F26" s="811">
        <f t="shared" si="2"/>
        <v>5.9700255699533962</v>
      </c>
      <c r="G26" s="811">
        <f t="shared" si="2"/>
        <v>676.03186906811538</v>
      </c>
      <c r="H26" s="811">
        <f t="shared" si="2"/>
        <v>0</v>
      </c>
      <c r="I26" s="811">
        <f t="shared" si="2"/>
        <v>0</v>
      </c>
      <c r="J26" s="811">
        <f t="shared" si="2"/>
        <v>0</v>
      </c>
      <c r="K26" s="811">
        <f t="shared" si="2"/>
        <v>52.701083785969516</v>
      </c>
      <c r="L26" s="811">
        <f t="shared" si="2"/>
        <v>0</v>
      </c>
      <c r="M26" s="811">
        <f t="shared" si="2"/>
        <v>0</v>
      </c>
      <c r="N26" s="811">
        <f t="shared" si="2"/>
        <v>0</v>
      </c>
      <c r="O26" s="811">
        <f t="shared" si="2"/>
        <v>0</v>
      </c>
      <c r="P26" s="811">
        <f t="shared" si="2"/>
        <v>0</v>
      </c>
      <c r="Q26" s="811">
        <f t="shared" si="2"/>
        <v>0</v>
      </c>
      <c r="R26" s="811">
        <f t="shared" si="2"/>
        <v>9564.4077014240393</v>
      </c>
      <c r="S26" s="67"/>
    </row>
    <row r="27" spans="1:19" s="448" customFormat="1" ht="17.25" thickTop="1" thickBot="1">
      <c r="A27" s="695" t="s">
        <v>115</v>
      </c>
      <c r="B27" s="803"/>
      <c r="C27" s="696">
        <f ca="1">C22+C16+C26</f>
        <v>140025.06873749028</v>
      </c>
      <c r="D27" s="696">
        <f t="shared" ref="D27:R27" ca="1" si="3">D22+D16+D26</f>
        <v>0</v>
      </c>
      <c r="E27" s="696">
        <f t="shared" ca="1" si="3"/>
        <v>219341.21197669351</v>
      </c>
      <c r="F27" s="696">
        <f t="shared" si="3"/>
        <v>19874.806341351519</v>
      </c>
      <c r="G27" s="696">
        <f t="shared" ca="1" si="3"/>
        <v>75021.197250495228</v>
      </c>
      <c r="H27" s="696">
        <f t="shared" si="3"/>
        <v>243937.4009616563</v>
      </c>
      <c r="I27" s="696">
        <f t="shared" si="3"/>
        <v>51954.294617086642</v>
      </c>
      <c r="J27" s="696">
        <f t="shared" si="3"/>
        <v>0</v>
      </c>
      <c r="K27" s="696">
        <f t="shared" si="3"/>
        <v>178.80354298285545</v>
      </c>
      <c r="L27" s="696">
        <f t="shared" si="3"/>
        <v>0</v>
      </c>
      <c r="M27" s="696">
        <f t="shared" ca="1" si="3"/>
        <v>0</v>
      </c>
      <c r="N27" s="696">
        <f t="shared" si="3"/>
        <v>17494.612924319346</v>
      </c>
      <c r="O27" s="696">
        <f t="shared" ca="1" si="3"/>
        <v>32290.699454742487</v>
      </c>
      <c r="P27" s="696">
        <f t="shared" si="3"/>
        <v>1027.4398185119769</v>
      </c>
      <c r="Q27" s="696">
        <f t="shared" si="3"/>
        <v>1978.9471092935535</v>
      </c>
      <c r="R27" s="696">
        <f t="shared" ca="1" si="3"/>
        <v>803124.48273462371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7246.1599600004265</v>
      </c>
      <c r="D40" s="686">
        <f ca="1">tertiair!C20</f>
        <v>0</v>
      </c>
      <c r="E40" s="686">
        <f ca="1">tertiair!D20</f>
        <v>10251.903436438181</v>
      </c>
      <c r="F40" s="686">
        <f>tertiair!E20</f>
        <v>120.71182891653659</v>
      </c>
      <c r="G40" s="686">
        <f ca="1">tertiair!F20</f>
        <v>1246.3445791348254</v>
      </c>
      <c r="H40" s="686">
        <f>tertiair!G20</f>
        <v>0</v>
      </c>
      <c r="I40" s="686">
        <f>tertiair!H20</f>
        <v>0</v>
      </c>
      <c r="J40" s="686">
        <f>tertiair!I20</f>
        <v>0</v>
      </c>
      <c r="K40" s="686">
        <f>tertiair!J20</f>
        <v>4.6432729189864963E-2</v>
      </c>
      <c r="L40" s="686">
        <f>tertiair!K20</f>
        <v>0</v>
      </c>
      <c r="M40" s="686">
        <f ca="1">tertiair!L20</f>
        <v>0</v>
      </c>
      <c r="N40" s="686">
        <f>tertiair!M20</f>
        <v>0</v>
      </c>
      <c r="O40" s="686">
        <f ca="1">tertiair!N20</f>
        <v>0</v>
      </c>
      <c r="P40" s="686">
        <f>tertiair!O20</f>
        <v>0</v>
      </c>
      <c r="Q40" s="769">
        <f>tertiair!P20</f>
        <v>0</v>
      </c>
      <c r="R40" s="849">
        <f t="shared" ca="1" si="4"/>
        <v>18865.166237219157</v>
      </c>
    </row>
    <row r="41" spans="1:18">
      <c r="A41" s="821" t="s">
        <v>224</v>
      </c>
      <c r="B41" s="828"/>
      <c r="C41" s="686">
        <f ca="1">huishoudens!B12</f>
        <v>8466.6766831595633</v>
      </c>
      <c r="D41" s="686">
        <f ca="1">huishoudens!C12</f>
        <v>0</v>
      </c>
      <c r="E41" s="686">
        <f>huishoudens!D12</f>
        <v>20013.058639318802</v>
      </c>
      <c r="F41" s="686">
        <f>huishoudens!E12</f>
        <v>3724.8615859594047</v>
      </c>
      <c r="G41" s="686">
        <f>huishoudens!F12</f>
        <v>16212.138674136275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48416.735582574045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6305.6321961348785</v>
      </c>
      <c r="D43" s="686">
        <f ca="1">industrie!C22</f>
        <v>0</v>
      </c>
      <c r="E43" s="686">
        <f>industrie!D22</f>
        <v>13326.782782267283</v>
      </c>
      <c r="F43" s="686">
        <f>industrie!E22</f>
        <v>547.50193825236079</v>
      </c>
      <c r="G43" s="686">
        <f>industrie!F22</f>
        <v>2391.6759035699392</v>
      </c>
      <c r="H43" s="686">
        <f>industrie!G22</f>
        <v>0</v>
      </c>
      <c r="I43" s="686">
        <f>industrie!H22</f>
        <v>0</v>
      </c>
      <c r="J43" s="686">
        <f>industrie!I22</f>
        <v>0</v>
      </c>
      <c r="K43" s="686">
        <f>industrie!J22</f>
        <v>44.593837826507752</v>
      </c>
      <c r="L43" s="686">
        <f>industrie!K22</f>
        <v>0</v>
      </c>
      <c r="M43" s="686">
        <f>industrie!L22</f>
        <v>0</v>
      </c>
      <c r="N43" s="686">
        <f>industrie!M22</f>
        <v>0</v>
      </c>
      <c r="O43" s="686">
        <f>industrie!N22</f>
        <v>0</v>
      </c>
      <c r="P43" s="686">
        <f>industrie!O22</f>
        <v>0</v>
      </c>
      <c r="Q43" s="769">
        <f>industrie!P22</f>
        <v>0</v>
      </c>
      <c r="R43" s="848">
        <f t="shared" ca="1" si="4"/>
        <v>22616.18665805097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22018.468839294866</v>
      </c>
      <c r="D46" s="722">
        <f t="shared" ref="D46:Q46" ca="1" si="5">SUM(D39:D45)</f>
        <v>0</v>
      </c>
      <c r="E46" s="722">
        <f t="shared" ca="1" si="5"/>
        <v>43591.744858024264</v>
      </c>
      <c r="F46" s="722">
        <f t="shared" si="5"/>
        <v>4393.0753531283017</v>
      </c>
      <c r="G46" s="722">
        <f t="shared" ca="1" si="5"/>
        <v>19850.15915684104</v>
      </c>
      <c r="H46" s="722">
        <f t="shared" si="5"/>
        <v>0</v>
      </c>
      <c r="I46" s="722">
        <f t="shared" si="5"/>
        <v>0</v>
      </c>
      <c r="J46" s="722">
        <f t="shared" si="5"/>
        <v>0</v>
      </c>
      <c r="K46" s="722">
        <f t="shared" si="5"/>
        <v>44.640270555697619</v>
      </c>
      <c r="L46" s="722">
        <f t="shared" si="5"/>
        <v>0</v>
      </c>
      <c r="M46" s="722">
        <f t="shared" ca="1" si="5"/>
        <v>0</v>
      </c>
      <c r="N46" s="722">
        <f t="shared" si="5"/>
        <v>0</v>
      </c>
      <c r="O46" s="722">
        <f t="shared" ca="1" si="5"/>
        <v>0</v>
      </c>
      <c r="P46" s="722">
        <f t="shared" si="5"/>
        <v>0</v>
      </c>
      <c r="Q46" s="722">
        <f t="shared" si="5"/>
        <v>0</v>
      </c>
      <c r="R46" s="722">
        <f ca="1">SUM(R39:R45)</f>
        <v>89898.088477844169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809.94777108745131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809.94777108745131</v>
      </c>
    </row>
    <row r="50" spans="1:18">
      <c r="A50" s="824" t="s">
        <v>306</v>
      </c>
      <c r="B50" s="834"/>
      <c r="C50" s="692">
        <f ca="1">transport!B18</f>
        <v>24.669338197638655</v>
      </c>
      <c r="D50" s="692">
        <f>transport!C18</f>
        <v>0</v>
      </c>
      <c r="E50" s="692">
        <f>transport!D18</f>
        <v>110.19904359183123</v>
      </c>
      <c r="F50" s="692">
        <f>transport!E18</f>
        <v>117.15049055411382</v>
      </c>
      <c r="G50" s="692">
        <f>transport!F18</f>
        <v>0</v>
      </c>
      <c r="H50" s="692">
        <f>transport!G18</f>
        <v>64321.338285674785</v>
      </c>
      <c r="I50" s="692">
        <f>transport!H18</f>
        <v>12936.619359654575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77509.976517672942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24.669338197638655</v>
      </c>
      <c r="D52" s="722">
        <f t="shared" ref="D52:Q52" ca="1" si="6">SUM(D48:D51)</f>
        <v>0</v>
      </c>
      <c r="E52" s="722">
        <f t="shared" si="6"/>
        <v>110.19904359183123</v>
      </c>
      <c r="F52" s="722">
        <f t="shared" si="6"/>
        <v>117.15049055411382</v>
      </c>
      <c r="G52" s="722">
        <f t="shared" si="6"/>
        <v>0</v>
      </c>
      <c r="H52" s="722">
        <f t="shared" si="6"/>
        <v>65131.286056762234</v>
      </c>
      <c r="I52" s="722">
        <f t="shared" si="6"/>
        <v>12936.619359654575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78319.92428876039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31.422392478687605</v>
      </c>
      <c r="D54" s="692">
        <f ca="1">+landbouw!C12</f>
        <v>0</v>
      </c>
      <c r="E54" s="692">
        <f>+landbouw!D12</f>
        <v>21.640186876000005</v>
      </c>
      <c r="F54" s="692">
        <f>+landbouw!E12</f>
        <v>1.355195804379421</v>
      </c>
      <c r="G54" s="692">
        <f>+landbouw!F12</f>
        <v>180.50050904118683</v>
      </c>
      <c r="H54" s="692">
        <f>+landbouw!G12</f>
        <v>0</v>
      </c>
      <c r="I54" s="692">
        <f>+landbouw!H12</f>
        <v>0</v>
      </c>
      <c r="J54" s="692">
        <f>+landbouw!I12</f>
        <v>0</v>
      </c>
      <c r="K54" s="692">
        <f>+landbouw!J12</f>
        <v>18.656183660233207</v>
      </c>
      <c r="L54" s="692">
        <f>+landbouw!K12</f>
        <v>0</v>
      </c>
      <c r="M54" s="692">
        <f>+landbouw!L12</f>
        <v>0</v>
      </c>
      <c r="N54" s="692">
        <f>+landbouw!M12</f>
        <v>0</v>
      </c>
      <c r="O54" s="692">
        <f>+landbouw!N12</f>
        <v>0</v>
      </c>
      <c r="P54" s="692">
        <f>+landbouw!O12</f>
        <v>0</v>
      </c>
      <c r="Q54" s="693">
        <f>+landbouw!P12</f>
        <v>0</v>
      </c>
      <c r="R54" s="721">
        <f ca="1">SUM(C54:Q54)</f>
        <v>253.57446786048709</v>
      </c>
    </row>
    <row r="55" spans="1:18" ht="15" thickBot="1">
      <c r="A55" s="824" t="s">
        <v>724</v>
      </c>
      <c r="B55" s="834"/>
      <c r="C55" s="692">
        <f ca="1">C25*'EF ele_warmte'!B12</f>
        <v>927.03865333808244</v>
      </c>
      <c r="D55" s="692"/>
      <c r="E55" s="692">
        <f>E25*EF_CO2_aardgas</f>
        <v>583.34073079999996</v>
      </c>
      <c r="F55" s="692"/>
      <c r="G55" s="692"/>
      <c r="H55" s="692"/>
      <c r="I55" s="692"/>
      <c r="J55" s="692"/>
      <c r="K55" s="692"/>
      <c r="L55" s="692"/>
      <c r="M55" s="692"/>
      <c r="N55" s="692"/>
      <c r="O55" s="692"/>
      <c r="P55" s="692"/>
      <c r="Q55" s="693"/>
      <c r="R55" s="721">
        <f ca="1">SUM(C55:Q55)</f>
        <v>1510.3793841380825</v>
      </c>
    </row>
    <row r="56" spans="1:18" ht="15.75" thickBot="1">
      <c r="A56" s="822" t="s">
        <v>725</v>
      </c>
      <c r="B56" s="835"/>
      <c r="C56" s="722">
        <f ca="1">SUM(C54:C55)</f>
        <v>958.46104581677002</v>
      </c>
      <c r="D56" s="722">
        <f t="shared" ref="D56:Q56" ca="1" si="7">SUM(D54:D55)</f>
        <v>0</v>
      </c>
      <c r="E56" s="722">
        <f t="shared" si="7"/>
        <v>604.98091767599999</v>
      </c>
      <c r="F56" s="722">
        <f t="shared" si="7"/>
        <v>1.355195804379421</v>
      </c>
      <c r="G56" s="722">
        <f t="shared" si="7"/>
        <v>180.50050904118683</v>
      </c>
      <c r="H56" s="722">
        <f t="shared" si="7"/>
        <v>0</v>
      </c>
      <c r="I56" s="722">
        <f t="shared" si="7"/>
        <v>0</v>
      </c>
      <c r="J56" s="722">
        <f t="shared" si="7"/>
        <v>0</v>
      </c>
      <c r="K56" s="722">
        <f t="shared" si="7"/>
        <v>18.656183660233207</v>
      </c>
      <c r="L56" s="722">
        <f t="shared" si="7"/>
        <v>0</v>
      </c>
      <c r="M56" s="722">
        <f t="shared" si="7"/>
        <v>0</v>
      </c>
      <c r="N56" s="722">
        <f t="shared" si="7"/>
        <v>0</v>
      </c>
      <c r="O56" s="722">
        <f t="shared" si="7"/>
        <v>0</v>
      </c>
      <c r="P56" s="722">
        <f t="shared" si="7"/>
        <v>0</v>
      </c>
      <c r="Q56" s="723">
        <f t="shared" si="7"/>
        <v>0</v>
      </c>
      <c r="R56" s="724">
        <f ca="1">SUM(R54:R55)</f>
        <v>1763.9538519985697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23001.599223309277</v>
      </c>
      <c r="D61" s="730">
        <f t="shared" ref="D61:Q61" ca="1" si="8">D46+D52+D56</f>
        <v>0</v>
      </c>
      <c r="E61" s="730">
        <f t="shared" ca="1" si="8"/>
        <v>44306.9248192921</v>
      </c>
      <c r="F61" s="730">
        <f t="shared" si="8"/>
        <v>4511.5810394867949</v>
      </c>
      <c r="G61" s="730">
        <f t="shared" ca="1" si="8"/>
        <v>20030.659665882227</v>
      </c>
      <c r="H61" s="730">
        <f t="shared" si="8"/>
        <v>65131.286056762234</v>
      </c>
      <c r="I61" s="730">
        <f t="shared" si="8"/>
        <v>12936.619359654575</v>
      </c>
      <c r="J61" s="730">
        <f t="shared" si="8"/>
        <v>0</v>
      </c>
      <c r="K61" s="730">
        <f t="shared" si="8"/>
        <v>63.296454215930822</v>
      </c>
      <c r="L61" s="730">
        <f t="shared" si="8"/>
        <v>0</v>
      </c>
      <c r="M61" s="730">
        <f t="shared" ca="1" si="8"/>
        <v>0</v>
      </c>
      <c r="N61" s="730">
        <f t="shared" si="8"/>
        <v>0</v>
      </c>
      <c r="O61" s="730">
        <f t="shared" ca="1" si="8"/>
        <v>0</v>
      </c>
      <c r="P61" s="730">
        <f t="shared" si="8"/>
        <v>0</v>
      </c>
      <c r="Q61" s="730">
        <f t="shared" si="8"/>
        <v>0</v>
      </c>
      <c r="R61" s="730">
        <f ca="1">R46+R52+R56</f>
        <v>169981.96661860312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0.1642677231348563</v>
      </c>
      <c r="D63" s="776">
        <f t="shared" ca="1" si="9"/>
        <v>0</v>
      </c>
      <c r="E63" s="975">
        <f t="shared" ca="1" si="9"/>
        <v>0.20200000000000007</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10878.620122380893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25066.814120497285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35945.434242878182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10878.620122380893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25066.814120497285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35945.434242878182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51541.937281305152</v>
      </c>
      <c r="C4" s="452">
        <f>huishoudens!C8</f>
        <v>0</v>
      </c>
      <c r="D4" s="452">
        <f>huishoudens!D8</f>
        <v>99074.547719400012</v>
      </c>
      <c r="E4" s="452">
        <f>huishoudens!E8</f>
        <v>16409.081876473148</v>
      </c>
      <c r="F4" s="452">
        <f>huishoudens!F8</f>
        <v>60719.620502383048</v>
      </c>
      <c r="G4" s="452">
        <f>huishoudens!G8</f>
        <v>0</v>
      </c>
      <c r="H4" s="452">
        <f>huishoudens!H8</f>
        <v>0</v>
      </c>
      <c r="I4" s="452">
        <f>huishoudens!I8</f>
        <v>0</v>
      </c>
      <c r="J4" s="452">
        <f>huishoudens!J8</f>
        <v>0</v>
      </c>
      <c r="K4" s="452">
        <f>huishoudens!K8</f>
        <v>0</v>
      </c>
      <c r="L4" s="452">
        <f>huishoudens!L8</f>
        <v>0</v>
      </c>
      <c r="M4" s="452">
        <f>huishoudens!M8</f>
        <v>0</v>
      </c>
      <c r="N4" s="452">
        <f>huishoudens!N8</f>
        <v>25109.291736982013</v>
      </c>
      <c r="O4" s="452">
        <f>huishoudens!O8</f>
        <v>1007.8507754486122</v>
      </c>
      <c r="P4" s="453">
        <f>huishoudens!P8</f>
        <v>1401.0165879221083</v>
      </c>
      <c r="Q4" s="454">
        <f>SUM(B4:P4)</f>
        <v>255263.34647991409</v>
      </c>
    </row>
    <row r="5" spans="1:17">
      <c r="A5" s="451" t="s">
        <v>155</v>
      </c>
      <c r="B5" s="452">
        <f ca="1">tertiair!B16</f>
        <v>42297.701378999998</v>
      </c>
      <c r="C5" s="452">
        <f ca="1">tertiair!C16</f>
        <v>0</v>
      </c>
      <c r="D5" s="452">
        <f ca="1">tertiair!D16</f>
        <v>50751.997210089998</v>
      </c>
      <c r="E5" s="452">
        <f>tertiair!E16</f>
        <v>531.77017143848718</v>
      </c>
      <c r="F5" s="452">
        <f ca="1">tertiair!F16</f>
        <v>4667.957225224065</v>
      </c>
      <c r="G5" s="452">
        <f>tertiair!G16</f>
        <v>0</v>
      </c>
      <c r="H5" s="452">
        <f>tertiair!H16</f>
        <v>0</v>
      </c>
      <c r="I5" s="452">
        <f>tertiair!I16</f>
        <v>0</v>
      </c>
      <c r="J5" s="452">
        <f>tertiair!J16</f>
        <v>0.13116590166628522</v>
      </c>
      <c r="K5" s="452">
        <f>tertiair!K16</f>
        <v>0</v>
      </c>
      <c r="L5" s="452">
        <f ca="1">tertiair!L16</f>
        <v>0</v>
      </c>
      <c r="M5" s="452">
        <f>tertiair!M16</f>
        <v>0</v>
      </c>
      <c r="N5" s="452">
        <f ca="1">tertiair!N16</f>
        <v>5191.3830812787319</v>
      </c>
      <c r="O5" s="452">
        <f>tertiair!O16</f>
        <v>19.589043063364617</v>
      </c>
      <c r="P5" s="453">
        <f>tertiair!P16</f>
        <v>577.93052137144514</v>
      </c>
      <c r="Q5" s="451">
        <f t="shared" ref="Q5:Q14" ca="1" si="0">SUM(B5:P5)</f>
        <v>104038.45979736774</v>
      </c>
    </row>
    <row r="6" spans="1:17">
      <c r="A6" s="451" t="s">
        <v>193</v>
      </c>
      <c r="B6" s="452">
        <f>'openbare verlichting'!B8</f>
        <v>1814.19</v>
      </c>
      <c r="C6" s="452"/>
      <c r="D6" s="452"/>
      <c r="E6" s="452"/>
      <c r="F6" s="452"/>
      <c r="G6" s="452"/>
      <c r="H6" s="452"/>
      <c r="I6" s="452"/>
      <c r="J6" s="452"/>
      <c r="K6" s="452"/>
      <c r="L6" s="452"/>
      <c r="M6" s="452"/>
      <c r="N6" s="452"/>
      <c r="O6" s="452"/>
      <c r="P6" s="453"/>
      <c r="Q6" s="451">
        <f t="shared" si="0"/>
        <v>1814.19</v>
      </c>
    </row>
    <row r="7" spans="1:17">
      <c r="A7" s="451" t="s">
        <v>111</v>
      </c>
      <c r="B7" s="452">
        <f>landbouw!B8</f>
        <v>191.28768500000001</v>
      </c>
      <c r="C7" s="452">
        <f>landbouw!C8</f>
        <v>0</v>
      </c>
      <c r="D7" s="452">
        <f>landbouw!D8</f>
        <v>107.12963800000001</v>
      </c>
      <c r="E7" s="452">
        <f>landbouw!E8</f>
        <v>5.9700255699533962</v>
      </c>
      <c r="F7" s="452">
        <f>landbouw!F8</f>
        <v>676.03186906811538</v>
      </c>
      <c r="G7" s="452">
        <f>landbouw!G8</f>
        <v>0</v>
      </c>
      <c r="H7" s="452">
        <f>landbouw!H8</f>
        <v>0</v>
      </c>
      <c r="I7" s="452">
        <f>landbouw!I8</f>
        <v>0</v>
      </c>
      <c r="J7" s="452">
        <f>landbouw!J8</f>
        <v>52.701083785969516</v>
      </c>
      <c r="K7" s="452">
        <f>landbouw!K8</f>
        <v>0</v>
      </c>
      <c r="L7" s="452">
        <f>landbouw!L8</f>
        <v>0</v>
      </c>
      <c r="M7" s="452">
        <f>landbouw!M8</f>
        <v>0</v>
      </c>
      <c r="N7" s="452">
        <f>landbouw!N8</f>
        <v>0</v>
      </c>
      <c r="O7" s="452">
        <f>landbouw!O8</f>
        <v>0</v>
      </c>
      <c r="P7" s="453">
        <f>landbouw!P8</f>
        <v>0</v>
      </c>
      <c r="Q7" s="451">
        <f t="shared" si="0"/>
        <v>1033.1203014240384</v>
      </c>
    </row>
    <row r="8" spans="1:17">
      <c r="A8" s="451" t="s">
        <v>625</v>
      </c>
      <c r="B8" s="452">
        <f>industrie!B18</f>
        <v>38386.312757</v>
      </c>
      <c r="C8" s="452">
        <f>industrie!C18</f>
        <v>0</v>
      </c>
      <c r="D8" s="452">
        <f>industrie!D18</f>
        <v>65974.17218944199</v>
      </c>
      <c r="E8" s="452">
        <f>industrie!E18</f>
        <v>2411.9028116844088</v>
      </c>
      <c r="F8" s="452">
        <f>industrie!F18</f>
        <v>8957.5876538199973</v>
      </c>
      <c r="G8" s="452">
        <f>industrie!G18</f>
        <v>0</v>
      </c>
      <c r="H8" s="452">
        <f>industrie!H18</f>
        <v>0</v>
      </c>
      <c r="I8" s="452">
        <f>industrie!I18</f>
        <v>0</v>
      </c>
      <c r="J8" s="452">
        <f>industrie!J18</f>
        <v>125.97129329521964</v>
      </c>
      <c r="K8" s="452">
        <f>industrie!K18</f>
        <v>0</v>
      </c>
      <c r="L8" s="452">
        <f>industrie!L18</f>
        <v>0</v>
      </c>
      <c r="M8" s="452">
        <f>industrie!M18</f>
        <v>0</v>
      </c>
      <c r="N8" s="452">
        <f>industrie!N18</f>
        <v>1990.0246364817444</v>
      </c>
      <c r="O8" s="452">
        <f>industrie!O18</f>
        <v>0</v>
      </c>
      <c r="P8" s="453">
        <f>industrie!P18</f>
        <v>0</v>
      </c>
      <c r="Q8" s="451">
        <f t="shared" si="0"/>
        <v>117845.97134172336</v>
      </c>
    </row>
    <row r="9" spans="1:17" s="457" customFormat="1">
      <c r="A9" s="455" t="s">
        <v>551</v>
      </c>
      <c r="B9" s="456">
        <f>transport!B14</f>
        <v>150.17763518513163</v>
      </c>
      <c r="C9" s="456">
        <f>transport!C14</f>
        <v>0</v>
      </c>
      <c r="D9" s="456">
        <f>transport!D14</f>
        <v>545.53981976154068</v>
      </c>
      <c r="E9" s="456">
        <f>transport!E14</f>
        <v>516.08145618552339</v>
      </c>
      <c r="F9" s="456">
        <f>transport!F14</f>
        <v>0</v>
      </c>
      <c r="G9" s="456">
        <f>transport!G14</f>
        <v>240903.88871039244</v>
      </c>
      <c r="H9" s="456">
        <f>transport!H14</f>
        <v>51954.294617086642</v>
      </c>
      <c r="I9" s="456">
        <f>transport!I14</f>
        <v>0</v>
      </c>
      <c r="J9" s="456">
        <f>transport!J14</f>
        <v>0</v>
      </c>
      <c r="K9" s="456">
        <f>transport!K14</f>
        <v>0</v>
      </c>
      <c r="L9" s="456">
        <f>transport!L14</f>
        <v>0</v>
      </c>
      <c r="M9" s="456">
        <f>transport!M14</f>
        <v>17326.036503994612</v>
      </c>
      <c r="N9" s="456">
        <f>transport!N14</f>
        <v>0</v>
      </c>
      <c r="O9" s="456">
        <f>transport!O14</f>
        <v>0</v>
      </c>
      <c r="P9" s="456">
        <f>transport!P14</f>
        <v>0</v>
      </c>
      <c r="Q9" s="455">
        <f>SUM(B9:P9)</f>
        <v>311396.01874260587</v>
      </c>
    </row>
    <row r="10" spans="1:17">
      <c r="A10" s="451" t="s">
        <v>541</v>
      </c>
      <c r="B10" s="452">
        <f>transport!B54</f>
        <v>0</v>
      </c>
      <c r="C10" s="452">
        <f>transport!C54</f>
        <v>0</v>
      </c>
      <c r="D10" s="452">
        <f>transport!D54</f>
        <v>0</v>
      </c>
      <c r="E10" s="452">
        <f>transport!E54</f>
        <v>0</v>
      </c>
      <c r="F10" s="452">
        <f>transport!F54</f>
        <v>0</v>
      </c>
      <c r="G10" s="452">
        <f>transport!G54</f>
        <v>3033.5122512638623</v>
      </c>
      <c r="H10" s="452">
        <f>transport!H54</f>
        <v>0</v>
      </c>
      <c r="I10" s="452">
        <f>transport!I54</f>
        <v>0</v>
      </c>
      <c r="J10" s="452">
        <f>transport!J54</f>
        <v>0</v>
      </c>
      <c r="K10" s="452">
        <f>transport!K54</f>
        <v>0</v>
      </c>
      <c r="L10" s="452">
        <f>transport!L54</f>
        <v>0</v>
      </c>
      <c r="M10" s="452">
        <f>transport!M54</f>
        <v>168.57642032473368</v>
      </c>
      <c r="N10" s="452">
        <f>transport!N54</f>
        <v>0</v>
      </c>
      <c r="O10" s="452">
        <f>transport!O54</f>
        <v>0</v>
      </c>
      <c r="P10" s="453">
        <f>transport!P54</f>
        <v>0</v>
      </c>
      <c r="Q10" s="451">
        <f t="shared" si="0"/>
        <v>3202.0886715885958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5643.4620000000004</v>
      </c>
      <c r="C14" s="459"/>
      <c r="D14" s="459">
        <f>'SEAP template'!E25</f>
        <v>2887.8253999999997</v>
      </c>
      <c r="E14" s="459"/>
      <c r="F14" s="459"/>
      <c r="G14" s="459"/>
      <c r="H14" s="459"/>
      <c r="I14" s="459"/>
      <c r="J14" s="459"/>
      <c r="K14" s="459"/>
      <c r="L14" s="459"/>
      <c r="M14" s="459"/>
      <c r="N14" s="459"/>
      <c r="O14" s="459"/>
      <c r="P14" s="460"/>
      <c r="Q14" s="451">
        <f t="shared" si="0"/>
        <v>8531.2874000000011</v>
      </c>
    </row>
    <row r="15" spans="1:17" s="463" customFormat="1">
      <c r="A15" s="461" t="s">
        <v>545</v>
      </c>
      <c r="B15" s="462">
        <f ca="1">SUM(B4:B14)</f>
        <v>140025.06873749028</v>
      </c>
      <c r="C15" s="462">
        <f t="shared" ref="C15:Q15" ca="1" si="1">SUM(C4:C14)</f>
        <v>0</v>
      </c>
      <c r="D15" s="462">
        <f t="shared" ca="1" si="1"/>
        <v>219341.21197669356</v>
      </c>
      <c r="E15" s="462">
        <f t="shared" si="1"/>
        <v>19874.806341351519</v>
      </c>
      <c r="F15" s="462">
        <f t="shared" ca="1" si="1"/>
        <v>75021.197250495228</v>
      </c>
      <c r="G15" s="462">
        <f t="shared" si="1"/>
        <v>243937.4009616563</v>
      </c>
      <c r="H15" s="462">
        <f t="shared" si="1"/>
        <v>51954.294617086642</v>
      </c>
      <c r="I15" s="462">
        <f t="shared" si="1"/>
        <v>0</v>
      </c>
      <c r="J15" s="462">
        <f t="shared" si="1"/>
        <v>178.80354298285545</v>
      </c>
      <c r="K15" s="462">
        <f t="shared" si="1"/>
        <v>0</v>
      </c>
      <c r="L15" s="462">
        <f t="shared" ca="1" si="1"/>
        <v>0</v>
      </c>
      <c r="M15" s="462">
        <f t="shared" si="1"/>
        <v>17494.612924319346</v>
      </c>
      <c r="N15" s="462">
        <f t="shared" ca="1" si="1"/>
        <v>32290.699454742487</v>
      </c>
      <c r="O15" s="462">
        <f t="shared" si="1"/>
        <v>1027.4398185119769</v>
      </c>
      <c r="P15" s="462">
        <f t="shared" si="1"/>
        <v>1978.9471092935535</v>
      </c>
      <c r="Q15" s="462">
        <f t="shared" ca="1" si="1"/>
        <v>803124.48273462371</v>
      </c>
    </row>
    <row r="17" spans="1:17">
      <c r="A17" s="464" t="s">
        <v>546</v>
      </c>
      <c r="B17" s="781">
        <f ca="1">huishoudens!B10</f>
        <v>0.1642677231348563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8466.6766831595633</v>
      </c>
      <c r="C22" s="452">
        <f t="shared" ref="C22:C32" ca="1" si="3">C4*$C$17</f>
        <v>0</v>
      </c>
      <c r="D22" s="452">
        <f t="shared" ref="D22:D32" si="4">D4*$D$17</f>
        <v>20013.058639318802</v>
      </c>
      <c r="E22" s="452">
        <f t="shared" ref="E22:E32" si="5">E4*$E$17</f>
        <v>3724.8615859594047</v>
      </c>
      <c r="F22" s="452">
        <f t="shared" ref="F22:F32" si="6">F4*$F$17</f>
        <v>16212.138674136275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48416.735582574045</v>
      </c>
    </row>
    <row r="23" spans="1:17">
      <c r="A23" s="451" t="s">
        <v>155</v>
      </c>
      <c r="B23" s="452">
        <f t="shared" ca="1" si="2"/>
        <v>6948.1470993664016</v>
      </c>
      <c r="C23" s="452">
        <f t="shared" ca="1" si="3"/>
        <v>0</v>
      </c>
      <c r="D23" s="452">
        <f t="shared" ca="1" si="4"/>
        <v>10251.903436438181</v>
      </c>
      <c r="E23" s="452">
        <f t="shared" si="5"/>
        <v>120.71182891653659</v>
      </c>
      <c r="F23" s="452">
        <f t="shared" ca="1" si="6"/>
        <v>1246.3445791348254</v>
      </c>
      <c r="G23" s="452">
        <f t="shared" si="7"/>
        <v>0</v>
      </c>
      <c r="H23" s="452">
        <f t="shared" si="8"/>
        <v>0</v>
      </c>
      <c r="I23" s="452">
        <f t="shared" si="9"/>
        <v>0</v>
      </c>
      <c r="J23" s="452">
        <f t="shared" si="10"/>
        <v>4.6432729189864963E-2</v>
      </c>
      <c r="K23" s="452">
        <f t="shared" si="11"/>
        <v>0</v>
      </c>
      <c r="L23" s="452">
        <f t="shared" ca="1" si="12"/>
        <v>0</v>
      </c>
      <c r="M23" s="452">
        <f t="shared" si="13"/>
        <v>0</v>
      </c>
      <c r="N23" s="452">
        <f t="shared" ca="1" si="14"/>
        <v>0</v>
      </c>
      <c r="O23" s="452">
        <f t="shared" si="15"/>
        <v>0</v>
      </c>
      <c r="P23" s="453">
        <f t="shared" si="16"/>
        <v>0</v>
      </c>
      <c r="Q23" s="451">
        <f t="shared" ref="Q23:Q31" ca="1" si="17">SUM(B23:P23)</f>
        <v>18567.153376585131</v>
      </c>
    </row>
    <row r="24" spans="1:17">
      <c r="A24" s="451" t="s">
        <v>193</v>
      </c>
      <c r="B24" s="452">
        <f t="shared" ca="1" si="2"/>
        <v>298.01286063402495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298.01286063402495</v>
      </c>
    </row>
    <row r="25" spans="1:17">
      <c r="A25" s="451" t="s">
        <v>111</v>
      </c>
      <c r="B25" s="452">
        <f t="shared" ca="1" si="2"/>
        <v>31.422392478687605</v>
      </c>
      <c r="C25" s="452">
        <f t="shared" ca="1" si="3"/>
        <v>0</v>
      </c>
      <c r="D25" s="452">
        <f t="shared" si="4"/>
        <v>21.640186876000005</v>
      </c>
      <c r="E25" s="452">
        <f t="shared" si="5"/>
        <v>1.355195804379421</v>
      </c>
      <c r="F25" s="452">
        <f t="shared" si="6"/>
        <v>180.50050904118683</v>
      </c>
      <c r="G25" s="452">
        <f t="shared" si="7"/>
        <v>0</v>
      </c>
      <c r="H25" s="452">
        <f t="shared" si="8"/>
        <v>0</v>
      </c>
      <c r="I25" s="452">
        <f t="shared" si="9"/>
        <v>0</v>
      </c>
      <c r="J25" s="452">
        <f t="shared" si="10"/>
        <v>18.656183660233207</v>
      </c>
      <c r="K25" s="452">
        <f t="shared" si="11"/>
        <v>0</v>
      </c>
      <c r="L25" s="452">
        <f t="shared" si="12"/>
        <v>0</v>
      </c>
      <c r="M25" s="452">
        <f t="shared" si="13"/>
        <v>0</v>
      </c>
      <c r="N25" s="452">
        <f t="shared" si="14"/>
        <v>0</v>
      </c>
      <c r="O25" s="452">
        <f t="shared" si="15"/>
        <v>0</v>
      </c>
      <c r="P25" s="453">
        <f t="shared" si="16"/>
        <v>0</v>
      </c>
      <c r="Q25" s="451">
        <f t="shared" ca="1" si="17"/>
        <v>253.57446786048709</v>
      </c>
    </row>
    <row r="26" spans="1:17">
      <c r="A26" s="451" t="s">
        <v>625</v>
      </c>
      <c r="B26" s="452">
        <f t="shared" ca="1" si="2"/>
        <v>6305.6321961348785</v>
      </c>
      <c r="C26" s="452">
        <f t="shared" ca="1" si="3"/>
        <v>0</v>
      </c>
      <c r="D26" s="452">
        <f t="shared" si="4"/>
        <v>13326.782782267283</v>
      </c>
      <c r="E26" s="452">
        <f t="shared" si="5"/>
        <v>547.50193825236079</v>
      </c>
      <c r="F26" s="452">
        <f t="shared" si="6"/>
        <v>2391.6759035699392</v>
      </c>
      <c r="G26" s="452">
        <f t="shared" si="7"/>
        <v>0</v>
      </c>
      <c r="H26" s="452">
        <f t="shared" si="8"/>
        <v>0</v>
      </c>
      <c r="I26" s="452">
        <f t="shared" si="9"/>
        <v>0</v>
      </c>
      <c r="J26" s="452">
        <f t="shared" si="10"/>
        <v>44.593837826507752</v>
      </c>
      <c r="K26" s="452">
        <f t="shared" si="11"/>
        <v>0</v>
      </c>
      <c r="L26" s="452">
        <f t="shared" si="12"/>
        <v>0</v>
      </c>
      <c r="M26" s="452">
        <f t="shared" si="13"/>
        <v>0</v>
      </c>
      <c r="N26" s="452">
        <f t="shared" si="14"/>
        <v>0</v>
      </c>
      <c r="O26" s="452">
        <f t="shared" si="15"/>
        <v>0</v>
      </c>
      <c r="P26" s="453">
        <f t="shared" si="16"/>
        <v>0</v>
      </c>
      <c r="Q26" s="451">
        <f t="shared" ca="1" si="17"/>
        <v>22616.18665805097</v>
      </c>
    </row>
    <row r="27" spans="1:17" s="457" customFormat="1">
      <c r="A27" s="455" t="s">
        <v>551</v>
      </c>
      <c r="B27" s="775">
        <f t="shared" ca="1" si="2"/>
        <v>24.669338197638655</v>
      </c>
      <c r="C27" s="456">
        <f t="shared" ca="1" si="3"/>
        <v>0</v>
      </c>
      <c r="D27" s="456">
        <f t="shared" si="4"/>
        <v>110.19904359183123</v>
      </c>
      <c r="E27" s="456">
        <f t="shared" si="5"/>
        <v>117.15049055411382</v>
      </c>
      <c r="F27" s="456">
        <f t="shared" si="6"/>
        <v>0</v>
      </c>
      <c r="G27" s="456">
        <f t="shared" si="7"/>
        <v>64321.338285674785</v>
      </c>
      <c r="H27" s="456">
        <f t="shared" si="8"/>
        <v>12936.619359654575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77509.976517672942</v>
      </c>
    </row>
    <row r="28" spans="1:17" ht="16.5" customHeight="1">
      <c r="A28" s="451" t="s">
        <v>541</v>
      </c>
      <c r="B28" s="452">
        <f t="shared" ca="1" si="2"/>
        <v>0</v>
      </c>
      <c r="C28" s="452">
        <f t="shared" ca="1" si="3"/>
        <v>0</v>
      </c>
      <c r="D28" s="452">
        <f t="shared" si="4"/>
        <v>0</v>
      </c>
      <c r="E28" s="452">
        <f t="shared" si="5"/>
        <v>0</v>
      </c>
      <c r="F28" s="452">
        <f t="shared" si="6"/>
        <v>0</v>
      </c>
      <c r="G28" s="452">
        <f t="shared" si="7"/>
        <v>809.94777108745131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809.94777108745131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927.03865333808244</v>
      </c>
      <c r="C32" s="452">
        <f t="shared" ca="1" si="3"/>
        <v>0</v>
      </c>
      <c r="D32" s="452">
        <f t="shared" si="4"/>
        <v>583.34073079999996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1510.3793841380825</v>
      </c>
    </row>
    <row r="33" spans="1:17" s="463" customFormat="1">
      <c r="A33" s="461" t="s">
        <v>545</v>
      </c>
      <c r="B33" s="462">
        <f ca="1">SUM(B22:B32)</f>
        <v>23001.599223309277</v>
      </c>
      <c r="C33" s="462">
        <f t="shared" ref="C33:Q33" ca="1" si="19">SUM(C22:C32)</f>
        <v>0</v>
      </c>
      <c r="D33" s="462">
        <f t="shared" ca="1" si="19"/>
        <v>44306.9248192921</v>
      </c>
      <c r="E33" s="462">
        <f t="shared" si="19"/>
        <v>4511.5810394867958</v>
      </c>
      <c r="F33" s="462">
        <f t="shared" ca="1" si="19"/>
        <v>20030.659665882227</v>
      </c>
      <c r="G33" s="462">
        <f t="shared" si="19"/>
        <v>65131.286056762234</v>
      </c>
      <c r="H33" s="462">
        <f t="shared" si="19"/>
        <v>12936.619359654575</v>
      </c>
      <c r="I33" s="462">
        <f t="shared" si="19"/>
        <v>0</v>
      </c>
      <c r="J33" s="462">
        <f t="shared" si="19"/>
        <v>63.296454215930822</v>
      </c>
      <c r="K33" s="462">
        <f t="shared" si="19"/>
        <v>0</v>
      </c>
      <c r="L33" s="462">
        <f t="shared" ca="1" si="19"/>
        <v>0</v>
      </c>
      <c r="M33" s="462">
        <f t="shared" si="19"/>
        <v>0</v>
      </c>
      <c r="N33" s="462">
        <f t="shared" ca="1" si="19"/>
        <v>0</v>
      </c>
      <c r="O33" s="462">
        <f t="shared" si="19"/>
        <v>0</v>
      </c>
      <c r="P33" s="462">
        <f t="shared" si="19"/>
        <v>0</v>
      </c>
      <c r="Q33" s="462">
        <f t="shared" ca="1" si="19"/>
        <v>169981.96661860312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10878.620122380893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25066.814120497285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35945.434242878182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0.1642677231348563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0.1642677231348563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2020-06-20T15:37:28Z</dcterms:modified>
</cp:coreProperties>
</file>