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<sst xmlns="http://schemas.openxmlformats.org/spreadsheetml/2006/main" count="2402" uniqueCount="888">
  <si>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</si>
  <si>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</si>
  <si>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</si>
  <si>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</si>
  <si>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</si>
  <si>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</si>
  <si>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</si>
  <si>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</si>
  <si>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</si>
  <si>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</si>
  <si>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</si>
  <si>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</si>
  <si>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</si>
  <si>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</si>
  <si>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</si>
  <si>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</si>
  <si>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</si>
  <si>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</si>
  <si>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</si>
  <si>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</si>
  <si>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</si>
  <si>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</si>
  <si>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</si>
  <si>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</si>
  <si>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</si>
  <si>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</si>
  <si>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</si>
  <si>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</si>
  <si>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</si>
  <si>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</si>
  <si>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</si>
  <si>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</si>
  <si>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</si>
  <si>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</si>
  <si>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</si>
  <si>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</si>
  <si>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</si>
  <si>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</si>
  <si>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</si>
  <si>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</si>
  <si>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</si>
  <si>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</si>
  <si>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</si>
  <si>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</si>
  <si>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</si>
  <si>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</si>
  <si>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</si>
  <si>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</si>
  <si>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</si>
  <si>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</si>
  <si>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</si>
  <si>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</si>
  <si>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</si>
  <si>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</si>
  <si>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</si>
  <si>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</si>
  <si>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</si>
  <si>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</si>
  <si>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</si>
  <si>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</si>
  <si>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</si>
  <si>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</si>
  <si>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</si>
  <si>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</si>
  <si>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</si>
  <si>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</si>
  <si>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</si>
  <si>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</si>
  <si>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</si>
  <si>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</si>
  <si>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</si>
  <si>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</si>
  <si>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</si>
  <si>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</si>
  <si>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</si>
  <si>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</si>
  <si>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</si>
  <si>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</si>
  <si>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</si>
  <si>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</si>
  <si>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</si>
  <si>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</si>
  <si>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</si>
  <si>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</si>
  <si>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</si>
  <si>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</si>
  <si>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</si>
  <si>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</si>
  <si>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</si>
  <si>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</si>
  <si>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</si>
  <si>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</si>
  <si>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</si>
  <si>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</si>
  <si>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</si>
  <si>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</si>
  <si>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</si>
  <si>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</si>
  <si>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</si>
  <si>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</si>
  <si>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</si>
  <si>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</si>
  <si>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</si>
  <si>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</si>
  <si>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</si>
  <si>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</si>
  <si>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</si>
  <si>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</si>
  <si>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</si>
  <si>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</si>
  <si>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</si>
  <si>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</si>
  <si>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</si>
  <si>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</si>
  <si>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</si>
  <si>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</si>
  <si>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</si>
  <si>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</si>
  <si>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</si>
  <si>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</si>
  <si>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</si>
  <si>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</si>
  <si>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</si>
  <si>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</si>
  <si>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</si>
  <si>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</si>
  <si>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</si>
  <si>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</si>
  <si>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</si>
  <si>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</si>
  <si>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</si>
  <si>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</si>
  <si>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</si>
  <si>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</si>
  <si>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</si>
  <si>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</si>
  <si>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</si>
  <si>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</si>
  <si>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</si>
  <si>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</si>
  <si>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</si>
  <si>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</si>
  <si>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</si>
  <si>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</si>
  <si>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</si>
  <si>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</si>
  <si>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</si>
  <si>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</si>
  <si>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</si>
  <si>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</si>
  <si>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</si>
  <si>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</si>
  <si>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</si>
  <si>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</si>
  <si>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</si>
  <si>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</si>
  <si>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</si>
  <si>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</si>
  <si>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</si>
  <si>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</si>
  <si>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</si>
  <si>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</si>
  <si>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</si>
  <si>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</si>
  <si>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</si>
  <si>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</si>
  <si>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</si>
  <si>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</si>
  <si>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</si>
  <si>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</si>
  <si>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</si>
  <si>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</si>
  <si>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</si>
  <si>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</si>
  <si>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</si>
  <si>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</si>
  <si>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</si>
  <si>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</si>
  <si>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</si>
  <si>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</si>
  <si>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</si>
  <si>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</si>
  <si>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</si>
  <si>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</si>
  <si>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</si>
  <si>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</si>
  <si>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</si>
  <si>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</si>
  <si>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</si>
  <si>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</si>
  <si>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</si>
  <si>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</si>
  <si>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</si>
  <si>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</si>
  <si>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</si>
  <si>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</si>
  <si>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</si>
  <si>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</si>
  <si>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</si>
  <si>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</si>
  <si>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</si>
  <si>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</si>
  <si>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</si>
  <si>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</si>
  <si>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</si>
  <si>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</si>
  <si>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</si>
  <si>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</si>
  <si>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</si>
  <si>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</si>
  <si>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</si>
  <si>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</si>
  <si>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</si>
  <si>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</si>
  <si>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</si>
  <si>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</si>
  <si>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</si>
  <si>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</si>
  <si>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</si>
  <si>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</si>
  <si>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</si>
  <si>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</si>
  <si>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</si>
  <si>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</si>
  <si>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</si>
  <si>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</si>
  <si>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</si>
  <si>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</si>
  <si>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</si>
  <si>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</si>
  <si>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</si>
  <si>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</si>
  <si>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</si>
  <si>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</si>
  <si>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</si>
  <si>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</si>
  <si>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</si>
  <si>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</si>
  <si>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</si>
  <si>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</si>
  <si>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</si>
  <si>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</si>
  <si>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</si>
  <si>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</si>
  <si>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</si>
  <si>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</si>
  <si>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</si>
  <si>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</si>
  <si>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</si>
  <si>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</si>
  <si>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</si>
  <si>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</si>
  <si>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</si>
  <si>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</si>
  <si>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</si>
  <si>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</si>
  <si>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</si>
  <si>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</si>
  <si>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</si>
  <si>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</si>
  <si>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</si>
  <si>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</si>
  <si>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</si>
  <si>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</si>
  <si>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</si>
  <si>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</si>
  <si>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</si>
  <si>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</si>
  <si>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</si>
  <si>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</si>
  <si>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</si>
  <si>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</si>
  <si>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</si>
  <si>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</si>
  <si>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</si>
  <si>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</si>
  <si>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</si>
  <si>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</si>
  <si>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</si>
  <si>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</si>
  <si>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</si>
  <si>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</si>
  <si>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</si>
  <si>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</si>
  <si>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</si>
  <si>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</si>
  <si>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</si>
  <si>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</si>
  <si>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</si>
  <si>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</si>
  <si>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</si>
  <si>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</si>
  <si>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</si>
  <si>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</si>
  <si>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</si>
  <si>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</si>
  <si>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</si>
  <si>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</si>
  <si>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</si>
  <si>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</si>
  <si>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</si>
  <si>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</si>
  <si>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</si>
  <si>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</si>
  <si>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</si>
  <si>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</si>
  <si>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</si>
  <si>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</si>
  <si>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</si>
  <si>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</si>
  <si>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</si>
  <si>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</si>
  <si>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</si>
  <si>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</si>
  <si>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</si>
  <si>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</si>
  <si>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</si>
  <si>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</si>
  <si>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</si>
  <si>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</si>
  <si>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</si>
  <si>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</si>
  <si>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</si>
  <si>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</si>
  <si>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</si>
  <si>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</si>
  <si>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</si>
  <si>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</si>
  <si>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</si>
  <si>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</si>
  <si>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</si>
  <si>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</si>
  <si>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</si>
  <si>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</si>
  <si>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</si>
  <si>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</si>
  <si>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</si>
  <si>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</si>
  <si>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</si>
  <si>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</si>
  <si>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</si>
  <si>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</si>
  <si>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</si>
  <si>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</si>
  <si>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</si>
  <si>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</si>
  <si>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</si>
  <si>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</si>
  <si>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</si>
  <si>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</si>
  <si>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</si>
  <si>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</si>
  <si>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</si>
  <si>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</si>
  <si>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</si>
  <si>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</si>
  <si>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</si>
  <si>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</si>
  <si>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</si>
  <si>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</si>
  <si>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</si>
  <si>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</si>
  <si>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</si>
  <si>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</si>
  <si>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</si>
  <si>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</si>
  <si>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</si>
  <si>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</si>
  <si>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</si>
  <si>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</si>
  <si>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</si>
  <si>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</si>
  <si>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</si>
  <si>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</si>
  <si>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</si>
  <si>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</si>
  <si>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</si>
  <si>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</si>
  <si>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</si>
  <si>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</si>
  <si>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</si>
  <si>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</si>
  <si>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</si>
  <si>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</si>
  <si>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</si>
  <si>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</si>
  <si>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</si>
  <si>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</si>
  <si>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</si>
  <si>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</si>
  <si>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</si>
  <si>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</si>
  <si>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</si>
  <si>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</si>
  <si>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</si>
  <si>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</si>
  <si>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</si>
  <si>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</si>
  <si>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</si>
  <si>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</si>
  <si>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</si>
  <si>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</si>
  <si>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</si>
  <si>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</si>
  <si>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</si>
  <si>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</si>
  <si>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</si>
  <si>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</si>
  <si>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</si>
  <si>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</si>
  <si>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</si>
  <si>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</si>
  <si>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</si>
  <si>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</si>
  <si>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</si>
  <si>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</si>
  <si>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</si>
  <si>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</si>
  <si>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</si>
  <si>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</si>
  <si>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</si>
  <si>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</si>
  <si>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</si>
  <si>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</si>
  <si>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</si>
  <si>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</si>
  <si>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</si>
  <si>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</si>
  <si>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</si>
  <si>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</si>
  <si>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</si>
  <si>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</si>
  <si>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</si>
  <si>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</si>
  <si>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</si>
  <si>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</si>
  <si>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</si>
  <si>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</si>
  <si>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</si>
  <si>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</si>
  <si>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</si>
  <si>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</si>
  <si>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</si>
  <si>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</si>
  <si>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</si>
  <si>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</si>
  <si>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</si>
  <si>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</si>
  <si>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</si>
  <si>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</si>
  <si>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</si>
  <si>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</si>
  <si>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</si>
  <si>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</si>
  <si>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</si>
  <si>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</si>
  <si>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</si>
  <si>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</si>
  <si>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</si>
  <si>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</si>
  <si>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</si>
  <si>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</si>
  <si>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</si>
  <si>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</si>
  <si>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</si>
  <si>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</si>
  <si>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</si>
  <si>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</si>
  <si>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</si>
  <si>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</si>
  <si>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</si>
  <si>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</si>
  <si>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</si>
  <si>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</si>
  <si>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</si>
  <si>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</si>
  <si>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</si>
  <si>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</si>
  <si>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</si>
  <si>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</si>
  <si>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</si>
  <si>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</si>
  <si>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</si>
  <si>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</si>
  <si>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</si>
  <si>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</si>
  <si>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</si>
  <si>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</si>
  <si>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</si>
  <si>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</si>
  <si>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</si>
  <si>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</si>
  <si>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</si>
  <si>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</si>
  <si>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</si>
  <si>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</si>
  <si>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</si>
  <si>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</si>
  <si>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</si>
  <si>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</si>
  <si>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</si>
  <si>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</si>
  <si>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</si>
  <si>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</si>
  <si>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</si>
  <si>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</si>
  <si>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</si>
  <si>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</si>
  <si>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</si>
  <si>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</si>
  <si>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</si>
  <si>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</si>
  <si>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</si>
  <si>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</si>
  <si>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</si>
  <si>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</si>
  <si>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</si>
  <si>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</si>
  <si>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</si>
  <si>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</si>
  <si>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</si>
  <si>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</si>
  <si>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</si>
  <si>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</si>
  <si>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</si>
  <si>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</si>
  <si>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</si>
  <si>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</si>
  <si>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</si>
  <si>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</si>
  <si>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</si>
  <si>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</si>
  <si>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</si>
  <si>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</si>
  <si>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</si>
  <si>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</si>
  <si>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</si>
  <si>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</si>
  <si>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</si>
  <si>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</si>
  <si>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</si>
  <si>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</si>
  <si>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</si>
  <si>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</si>
  <si>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</si>
  <si>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</si>
  <si>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</si>
  <si>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</si>
  <si>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</si>
  <si>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</si>
  <si>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</si>
  <si>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</si>
  <si>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</si>
  <si>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</si>
  <si>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</si>
  <si>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</si>
  <si>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</si>
  <si>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</si>
  <si>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</si>
  <si>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</si>
  <si>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</si>
  <si>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</si>
  <si>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</si>
  <si>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</si>
  <si>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</si>
  <si>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</si>
  <si>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</si>
  <si>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</si>
  <si>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</si>
  <si>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</si>
  <si>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</si>
  <si>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</si>
  <si>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</si>
  <si>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</si>
  <si>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</si>
  <si>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</si>
  <si>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</si>
  <si>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</si>
  <si>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</si>
  <si>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</si>
  <si>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</si>
  <si>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</si>
  <si>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</si>
  <si>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</si>
  <si>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</si>
  <si>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</si>
  <si>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</si>
  <si>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</si>
  <si>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</si>
  <si>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</si>
  <si>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</si>
  <si>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</si>
  <si>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</si>
  <si>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</si>
  <si>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</si>
  <si>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</si>
  <si>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</si>
  <si>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</si>
  <si>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</si>
  <si>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</si>
  <si>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</si>
  <si>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</si>
  <si>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</si>
  <si>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</si>
  <si>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</si>
  <si>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</si>
  <si>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</si>
  <si>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</si>
  <si>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</si>
  <si>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</si>
  <si>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</si>
  <si>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</si>
  <si>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</si>
  <si>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</si>
  <si>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</si>
  <si>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</si>
  <si>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</si>
  <si>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</si>
  <si>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</si>
  <si>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</si>
  <si>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</si>
  <si>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</si>
  <si>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</si>
  <si>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</si>
  <si>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</si>
  <si>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</si>
  <si>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</si>
  <si>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</si>
  <si>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</si>
  <si>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</si>
  <si>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</si>
  <si>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</si>
  <si>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</si>
  <si>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</si>
  <si>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</si>
  <si>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</si>
  <si>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</si>
  <si>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</si>
  <si>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</si>
  <si>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</si>
  <si>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</si>
  <si>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</si>
  <si>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</si>
  <si>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</si>
  <si>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</si>
  <si>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</si>
  <si>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</si>
  <si>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</si>
  <si>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</si>
  <si>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</si>
  <si>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</si>
  <si>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</si>
  <si>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</si>
  <si>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</si>
  <si>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</si>
  <si>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</si>
  <si>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</si>
  <si>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</si>
  <si>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</si>
  <si>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</si>
  <si>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</si>
  <si>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</si>
  <si>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</si>
  <si>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</si>
  <si>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</si>
  <si>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</si>
  <si>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</si>
  <si>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</si>
  <si>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</si>
  <si>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</si>
  <si>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</si>
  <si>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</si>
  <si>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</si>
  <si>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</si>
  <si>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</si>
  <si>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</si>
  <si>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</si>
  <si>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</si>
  <si>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</si>
  <si>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</si>
  <si>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</si>
  <si>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</si>
  <si>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</si>
  <si>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</si>
  <si>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</si>
  <si>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</si>
  <si>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</si>
  <si>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</si>
  <si>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</si>
  <si>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</si>
  <si>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</si>
  <si>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</si>
  <si>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</si>
  <si>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</si>
  <si>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</si>
  <si>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</si>
  <si>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</si>
  <si>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</si>
  <si>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</si>
  <si>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</si>
  <si>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</si>
  <si>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</si>
  <si>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</si>
  <si>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</si>
  <si>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</si>
  <si>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</si>
  <si>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</si>
  <si>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</si>
  <si>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</si>
  <si>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</si>
  <si>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</si>
  <si>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</si>
  <si>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</si>
  <si>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</si>
  <si>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</si>
  <si>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</si>
  <si>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</si>
  <si>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</si>
  <si>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</si>
  <si>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</si>
  <si>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</si>
  <si>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</si>
  <si>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</si>
  <si>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</si>
  <si>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</si>
  <si>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</si>
  <si>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</si>
  <si>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</si>
  <si>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</si>
  <si>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</si>
  <si>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</si>
  <si>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</si>
  <si>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</si>
  <si>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</si>
  <si>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</si>
  <si>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</si>
  <si>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</si>
  <si>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</si>
  <si>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</si>
  <si>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</si>
  <si>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</si>
  <si>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</si>
  <si>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</si>
  <si>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</si>
  <si>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</si>
  <si>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</si>
  <si>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</si>
  <si>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</si>
  <si>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</si>
  <si>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</si>
  <si>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</si>
  <si>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</si>
  <si>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</si>
  <si>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</si>
  <si>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</si>
  <si>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</si>
  <si>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</si>
  <si>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</si>
  <si>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</si>
  <si>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</si>
  <si>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</si>
  <si>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</si>
  <si>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</si>
  <si>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</si>
  <si>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</si>
  <si>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</si>
  <si>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</si>
  <si>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</si>
  <si>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</si>
  <si>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</si>
  <si>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</si>
  <si>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</si>
  <si>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</si>
  <si>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</si>
  <si>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</si>
  <si>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</si>
  <si>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</si>
  <si>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</si>
  <si>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</si>
  <si>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</si>
  <si>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</si>
  <si>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</si>
  <si>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</si>
  <si>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</si>
  <si>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</si>
  <si>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</si>
  <si>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</si>
  <si>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</si>
  <si>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</si>
  <si>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</si>
  <si>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</si>
  <si>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</si>
  <si>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</si>
  <si>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</si>
  <si>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</si>
  <si>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</si>
  <si>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</si>
  <si>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</si>
  <si>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</si>
  <si>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</si>
  <si>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</si>
  <si>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</si>
  <si>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</si>
  <si>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</si>
  <si>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</si>
  <si>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</si>
  <si>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</si>
  <si>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</si>
  <si>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</si>
  <si>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</si>
  <si>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</si>
  <si>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</si>
  <si>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</si>
  <si>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</si>
  <si>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</si>
  <si>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</si>
  <si>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</si>
  <si>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</si>
  <si>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</si>
  <si>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</si>
  <si>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</si>
  <si>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</si>
  <si>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</si>
  <si>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</si>
  <si>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</si>
  <si>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</si>
  <si>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</si>
  <si>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</si>
  <si>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</si>
  <si>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</si>
  <si>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</si>
  <si>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</si>
  <si>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</si>
  <si>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</si>
  <si>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</si>
  <si>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</si>
  <si>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</si>
  <si>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</si>
  <si>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</si>
  <si>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</si>
  <si>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</si>
  <si>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</si>
  <si>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</si>
  <si>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</si>
  <si>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</si>
  <si>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</si>
  <si>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</si>
  <si>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</si>
  <si>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</si>
  <si>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</si>
  <si>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</si>
  <si>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</si>
  <si>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</si>
  <si>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</si>
  <si>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</si>
  <si>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</si>
  <si>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</si>
  <si>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</si>
  <si>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</si>
  <si>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</si>
  <si>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</si>
  <si>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</si>
  <si>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</si>
  <si>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</si>
  <si>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</si>
  <si>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</si>
  <si>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</si>
  <si>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</si>
  <si>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</si>
  <si>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</si>
  <si>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</si>
  <si>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</si>
  <si>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</si>
  <si>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</si>
  <si>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</si>
  <si>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</si>
  <si>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</si>
  <si>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</si>
  <si>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</si>
  <si>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</si>
  <si>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</si>
  <si>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</si>
  <si>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</si>
  <si>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</si>
  <si>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</si>
  <si>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71045</t>
  </si>
  <si>
    <t>NIEUWERKERKEN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</si>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</sst>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65545.192428722934</c:v>
                </c:pt>
                <c:pt idx="1">
                  <c:v>8826.9454012046426</c:v>
                </c:pt>
                <c:pt idx="2">
                  <c:v>518.21</c:v>
                </c:pt>
                <c:pt idx="3">
                  <c:v>23285.098965119825</c:v>
                </c:pt>
                <c:pt idx="4">
                  <c:v>2795.0083889798352</c:v>
                </c:pt>
                <c:pt idx="5">
                  <c:v>25285.104831160988</c:v>
                </c:pt>
                <c:pt idx="6">
                  <c:v>935.9071045274369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65545.192428722934</c:v>
                </c:pt>
                <c:pt idx="1">
                  <c:v>8826.9454012046426</c:v>
                </c:pt>
                <c:pt idx="2">
                  <c:v>518.21</c:v>
                </c:pt>
                <c:pt idx="3">
                  <c:v>23285.098965119825</c:v>
                </c:pt>
                <c:pt idx="4">
                  <c:v>2795.0083889798352</c:v>
                </c:pt>
                <c:pt idx="5">
                  <c:v>25285.104831160988</c:v>
                </c:pt>
                <c:pt idx="6">
                  <c:v>935.9071045274369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13353.48006511086</c:v>
                </c:pt>
                <c:pt idx="1">
                  <c:v>1497.174177404662</c:v>
                </c:pt>
                <c:pt idx="2">
                  <c:v>88.626546749603179</c:v>
                </c:pt>
                <c:pt idx="3">
                  <c:v>5855.9808052661019</c:v>
                </c:pt>
                <c:pt idx="4">
                  <c:v>548.83127859145702</c:v>
                </c:pt>
                <c:pt idx="5">
                  <c:v>6266.1613923840732</c:v>
                </c:pt>
                <c:pt idx="6">
                  <c:v>236.73169327969822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13353.48006511086</c:v>
                </c:pt>
                <c:pt idx="1">
                  <c:v>1497.174177404662</c:v>
                </c:pt>
                <c:pt idx="2">
                  <c:v>88.626546749603179</c:v>
                </c:pt>
                <c:pt idx="3">
                  <c:v>5855.9808052661019</c:v>
                </c:pt>
                <c:pt idx="4">
                  <c:v>548.83127859145702</c:v>
                </c:pt>
                <c:pt idx="5">
                  <c:v>6266.1613923840732</c:v>
                </c:pt>
                <c:pt idx="6">
                  <c:v>236.73169327969822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71045</v>
      </c>
      <c r="B6" s="390"/>
      <c r="C6" s="391"/>
    </row>
    <row r="7" spans="1:7" s="388" customFormat="1" ht="15.75" customHeight="1">
      <c r="A7" s="392" t="str">
        <f>txtMunicipality</f>
        <v>NIEUWERKERKEN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0.1710243853835379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0.1710243853835379</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2861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1323.06</v>
      </c>
      <c r="C14" s="330"/>
      <c r="D14" s="330"/>
      <c r="E14" s="330"/>
      <c r="F14" s="330"/>
    </row>
    <row r="15" spans="1:6">
      <c r="A15" s="1298" t="s">
        <v>183</v>
      </c>
      <c r="B15" s="1299">
        <v>1</v>
      </c>
      <c r="C15" s="330"/>
      <c r="D15" s="330"/>
      <c r="E15" s="330"/>
      <c r="F15" s="330"/>
    </row>
    <row r="16" spans="1:6">
      <c r="A16" s="1298" t="s">
        <v>6</v>
      </c>
      <c r="B16" s="1299">
        <v>53</v>
      </c>
      <c r="C16" s="330"/>
      <c r="D16" s="330"/>
      <c r="E16" s="330"/>
      <c r="F16" s="330"/>
    </row>
    <row r="17" spans="1:6">
      <c r="A17" s="1298" t="s">
        <v>7</v>
      </c>
      <c r="B17" s="1299">
        <v>214</v>
      </c>
      <c r="C17" s="330"/>
      <c r="D17" s="330"/>
      <c r="E17" s="330"/>
      <c r="F17" s="330"/>
    </row>
    <row r="18" spans="1:6">
      <c r="A18" s="1298" t="s">
        <v>8</v>
      </c>
      <c r="B18" s="1299">
        <v>263</v>
      </c>
      <c r="C18" s="330"/>
      <c r="D18" s="330"/>
      <c r="E18" s="330"/>
      <c r="F18" s="330"/>
    </row>
    <row r="19" spans="1:6">
      <c r="A19" s="1298" t="s">
        <v>9</v>
      </c>
      <c r="B19" s="1299">
        <v>258</v>
      </c>
      <c r="C19" s="330"/>
      <c r="D19" s="330"/>
      <c r="E19" s="330"/>
      <c r="F19" s="330"/>
    </row>
    <row r="20" spans="1:6">
      <c r="A20" s="1298" t="s">
        <v>10</v>
      </c>
      <c r="B20" s="1299">
        <v>287</v>
      </c>
      <c r="C20" s="330"/>
      <c r="D20" s="330"/>
      <c r="E20" s="330"/>
      <c r="F20" s="330"/>
    </row>
    <row r="21" spans="1:6">
      <c r="A21" s="1298" t="s">
        <v>11</v>
      </c>
      <c r="B21" s="1299">
        <v>1339</v>
      </c>
      <c r="C21" s="330"/>
      <c r="D21" s="330"/>
      <c r="E21" s="330"/>
      <c r="F21" s="330"/>
    </row>
    <row r="22" spans="1:6">
      <c r="A22" s="1298" t="s">
        <v>12</v>
      </c>
      <c r="B22" s="1299">
        <v>2424</v>
      </c>
      <c r="C22" s="330"/>
      <c r="D22" s="330"/>
      <c r="E22" s="330"/>
      <c r="F22" s="330"/>
    </row>
    <row r="23" spans="1:6">
      <c r="A23" s="1298" t="s">
        <v>13</v>
      </c>
      <c r="B23" s="1299">
        <v>30</v>
      </c>
      <c r="C23" s="330"/>
      <c r="D23" s="330"/>
      <c r="E23" s="330"/>
      <c r="F23" s="330"/>
    </row>
    <row r="24" spans="1:6">
      <c r="A24" s="1298" t="s">
        <v>14</v>
      </c>
      <c r="B24" s="1299">
        <v>2</v>
      </c>
      <c r="C24" s="330"/>
      <c r="D24" s="330"/>
      <c r="E24" s="330"/>
      <c r="F24" s="330"/>
    </row>
    <row r="25" spans="1:6">
      <c r="A25" s="1298" t="s">
        <v>15</v>
      </c>
      <c r="B25" s="1299">
        <v>300</v>
      </c>
      <c r="C25" s="330"/>
      <c r="D25" s="330"/>
      <c r="E25" s="330"/>
      <c r="F25" s="330"/>
    </row>
    <row r="26" spans="1:6">
      <c r="A26" s="1298" t="s">
        <v>16</v>
      </c>
      <c r="B26" s="1299">
        <v>20</v>
      </c>
      <c r="C26" s="330"/>
      <c r="D26" s="330"/>
      <c r="E26" s="330"/>
      <c r="F26" s="330"/>
    </row>
    <row r="27" spans="1:6">
      <c r="A27" s="1298" t="s">
        <v>17</v>
      </c>
      <c r="B27" s="1299">
        <v>0</v>
      </c>
      <c r="C27" s="330"/>
      <c r="D27" s="330"/>
      <c r="E27" s="330"/>
      <c r="F27" s="330"/>
    </row>
    <row r="28" spans="1:6" s="43" customFormat="1">
      <c r="A28" s="1300" t="s">
        <v>18</v>
      </c>
      <c r="B28" s="1301">
        <v>23186</v>
      </c>
      <c r="C28" s="336"/>
      <c r="D28" s="336"/>
      <c r="E28" s="336"/>
      <c r="F28" s="336"/>
    </row>
    <row r="29" spans="1:6">
      <c r="A29" s="1300" t="s">
        <v>705</v>
      </c>
      <c r="B29" s="1301">
        <v>25</v>
      </c>
      <c r="C29" s="336"/>
      <c r="D29" s="336"/>
      <c r="E29" s="336"/>
      <c r="F29" s="336"/>
    </row>
    <row r="30" spans="1:6">
      <c r="A30" s="1293" t="s">
        <v>706</v>
      </c>
      <c r="B30" s="1302">
        <v>6</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1008</v>
      </c>
      <c r="D39" s="1299">
        <v>16365603.75</v>
      </c>
      <c r="E39" s="1299">
        <v>2746</v>
      </c>
      <c r="F39" s="1299">
        <v>9530912.1500000004</v>
      </c>
    </row>
    <row r="40" spans="1:6">
      <c r="A40" s="1298" t="s">
        <v>29</v>
      </c>
      <c r="B40" s="1298" t="s">
        <v>28</v>
      </c>
      <c r="C40" s="1299">
        <v>0</v>
      </c>
      <c r="D40" s="1299">
        <v>0</v>
      </c>
      <c r="E40" s="1299">
        <v>0</v>
      </c>
      <c r="F40" s="1299">
        <v>0</v>
      </c>
    </row>
    <row r="41" spans="1:6">
      <c r="A41" s="1298" t="s">
        <v>31</v>
      </c>
      <c r="B41" s="1298" t="s">
        <v>32</v>
      </c>
      <c r="C41" s="1299">
        <v>17</v>
      </c>
      <c r="D41" s="1299">
        <v>416405</v>
      </c>
      <c r="E41" s="1299">
        <v>50</v>
      </c>
      <c r="F41" s="1299">
        <v>589123.22199999995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385893</v>
      </c>
      <c r="E44" s="1299">
        <v>11</v>
      </c>
      <c r="F44" s="1299">
        <v>220105</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0</v>
      </c>
      <c r="D48" s="1299">
        <v>0</v>
      </c>
      <c r="E48" s="1299">
        <v>1</v>
      </c>
      <c r="F48" s="1299">
        <v>16625</v>
      </c>
    </row>
    <row r="49" spans="1:6">
      <c r="A49" s="1298" t="s">
        <v>31</v>
      </c>
      <c r="B49" s="1298" t="s">
        <v>39</v>
      </c>
      <c r="C49" s="1299">
        <v>0</v>
      </c>
      <c r="D49" s="1299">
        <v>0</v>
      </c>
      <c r="E49" s="1299">
        <v>0</v>
      </c>
      <c r="F49" s="1299">
        <v>0</v>
      </c>
    </row>
    <row r="50" spans="1:6">
      <c r="A50" s="1298" t="s">
        <v>31</v>
      </c>
      <c r="B50" s="1298" t="s">
        <v>40</v>
      </c>
      <c r="C50" s="1299">
        <v>0</v>
      </c>
      <c r="D50" s="1299">
        <v>0</v>
      </c>
      <c r="E50" s="1299">
        <v>4</v>
      </c>
      <c r="F50" s="1299">
        <v>467962</v>
      </c>
    </row>
    <row r="51" spans="1:6">
      <c r="A51" s="1298" t="s">
        <v>41</v>
      </c>
      <c r="B51" s="1298" t="s">
        <v>42</v>
      </c>
      <c r="C51" s="1299">
        <v>7</v>
      </c>
      <c r="D51" s="1299">
        <v>195056</v>
      </c>
      <c r="E51" s="1299">
        <v>85</v>
      </c>
      <c r="F51" s="1299">
        <v>4773803.449</v>
      </c>
    </row>
    <row r="52" spans="1:6">
      <c r="A52" s="1298" t="s">
        <v>41</v>
      </c>
      <c r="B52" s="1298" t="s">
        <v>28</v>
      </c>
      <c r="C52" s="1299">
        <v>0</v>
      </c>
      <c r="D52" s="1299">
        <v>0</v>
      </c>
      <c r="E52" s="1299">
        <v>0</v>
      </c>
      <c r="F52" s="1299">
        <v>0</v>
      </c>
    </row>
    <row r="53" spans="1:6">
      <c r="A53" s="1298" t="s">
        <v>43</v>
      </c>
      <c r="B53" s="1298" t="s">
        <v>44</v>
      </c>
      <c r="C53" s="1299">
        <v>10</v>
      </c>
      <c r="D53" s="1299">
        <v>369172.45</v>
      </c>
      <c r="E53" s="1299">
        <v>35</v>
      </c>
      <c r="F53" s="1299">
        <v>165324.58300000001</v>
      </c>
    </row>
    <row r="54" spans="1:6">
      <c r="A54" s="1298" t="s">
        <v>45</v>
      </c>
      <c r="B54" s="1298" t="s">
        <v>46</v>
      </c>
      <c r="C54" s="1299">
        <v>0</v>
      </c>
      <c r="D54" s="1299">
        <v>0</v>
      </c>
      <c r="E54" s="1299">
        <v>3</v>
      </c>
      <c r="F54" s="1299">
        <v>518210</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13</v>
      </c>
      <c r="D57" s="1299">
        <v>774942</v>
      </c>
      <c r="E57" s="1299">
        <v>49</v>
      </c>
      <c r="F57" s="1299">
        <v>1333072</v>
      </c>
    </row>
    <row r="58" spans="1:6">
      <c r="A58" s="1298" t="s">
        <v>48</v>
      </c>
      <c r="B58" s="1298" t="s">
        <v>50</v>
      </c>
      <c r="C58" s="1299">
        <v>9</v>
      </c>
      <c r="D58" s="1299">
        <v>449167</v>
      </c>
      <c r="E58" s="1299">
        <v>14</v>
      </c>
      <c r="F58" s="1299">
        <v>479432</v>
      </c>
    </row>
    <row r="59" spans="1:6">
      <c r="A59" s="1298" t="s">
        <v>48</v>
      </c>
      <c r="B59" s="1298" t="s">
        <v>51</v>
      </c>
      <c r="C59" s="1299">
        <v>12</v>
      </c>
      <c r="D59" s="1299">
        <v>364095</v>
      </c>
      <c r="E59" s="1299">
        <v>79</v>
      </c>
      <c r="F59" s="1299">
        <v>1720022.666</v>
      </c>
    </row>
    <row r="60" spans="1:6">
      <c r="A60" s="1298" t="s">
        <v>48</v>
      </c>
      <c r="B60" s="1298" t="s">
        <v>52</v>
      </c>
      <c r="C60" s="1299">
        <v>8</v>
      </c>
      <c r="D60" s="1299">
        <v>526291</v>
      </c>
      <c r="E60" s="1299">
        <v>18</v>
      </c>
      <c r="F60" s="1299">
        <v>456732</v>
      </c>
    </row>
    <row r="61" spans="1:6">
      <c r="A61" s="1298" t="s">
        <v>48</v>
      </c>
      <c r="B61" s="1298" t="s">
        <v>53</v>
      </c>
      <c r="C61" s="1299">
        <v>30</v>
      </c>
      <c r="D61" s="1299">
        <v>855168</v>
      </c>
      <c r="E61" s="1299">
        <v>74</v>
      </c>
      <c r="F61" s="1299">
        <v>529993</v>
      </c>
    </row>
    <row r="62" spans="1:6">
      <c r="A62" s="1298" t="s">
        <v>48</v>
      </c>
      <c r="B62" s="1298" t="s">
        <v>54</v>
      </c>
      <c r="C62" s="1299">
        <v>0</v>
      </c>
      <c r="D62" s="1299">
        <v>0</v>
      </c>
      <c r="E62" s="1299">
        <v>9</v>
      </c>
      <c r="F62" s="1299">
        <v>74424</v>
      </c>
    </row>
    <row r="63" spans="1:6">
      <c r="A63" s="1298" t="s">
        <v>48</v>
      </c>
      <c r="B63" s="1298" t="s">
        <v>28</v>
      </c>
      <c r="C63" s="1299">
        <v>2</v>
      </c>
      <c r="D63" s="1299">
        <v>70384</v>
      </c>
      <c r="E63" s="1299">
        <v>0</v>
      </c>
      <c r="F63" s="1299">
        <v>0</v>
      </c>
    </row>
    <row r="64" spans="1:6">
      <c r="A64" s="1298" t="s">
        <v>55</v>
      </c>
      <c r="B64" s="1298" t="s">
        <v>56</v>
      </c>
      <c r="C64" s="1299">
        <v>0</v>
      </c>
      <c r="D64" s="1299">
        <v>0</v>
      </c>
      <c r="E64" s="1299">
        <v>0</v>
      </c>
      <c r="F64" s="1299">
        <v>0</v>
      </c>
    </row>
    <row r="65" spans="1:6">
      <c r="A65" s="1298" t="s">
        <v>55</v>
      </c>
      <c r="B65" s="1298" t="s">
        <v>28</v>
      </c>
      <c r="C65" s="1299">
        <v>1</v>
      </c>
      <c r="D65" s="1299">
        <v>8328</v>
      </c>
      <c r="E65" s="1299">
        <v>1</v>
      </c>
      <c r="F65" s="1299">
        <v>3090</v>
      </c>
    </row>
    <row r="66" spans="1:6">
      <c r="A66" s="1298" t="s">
        <v>55</v>
      </c>
      <c r="B66" s="1298" t="s">
        <v>57</v>
      </c>
      <c r="C66" s="1299">
        <v>0</v>
      </c>
      <c r="D66" s="1299">
        <v>0</v>
      </c>
      <c r="E66" s="1299">
        <v>0</v>
      </c>
      <c r="F66" s="1299">
        <v>0</v>
      </c>
    </row>
    <row r="67" spans="1:6">
      <c r="A67" s="1300" t="s">
        <v>55</v>
      </c>
      <c r="B67" s="1300" t="s">
        <v>58</v>
      </c>
      <c r="C67" s="1299">
        <v>0</v>
      </c>
      <c r="D67" s="1299">
        <v>0</v>
      </c>
      <c r="E67" s="1299">
        <v>0</v>
      </c>
      <c r="F67" s="1299">
        <v>0</v>
      </c>
    </row>
    <row r="68" spans="1:6">
      <c r="A68" s="1293" t="s">
        <v>55</v>
      </c>
      <c r="B68" s="1293" t="s">
        <v>59</v>
      </c>
      <c r="C68" s="1302">
        <v>0</v>
      </c>
      <c r="D68" s="1302">
        <v>0</v>
      </c>
      <c r="E68" s="1302">
        <v>5</v>
      </c>
      <c r="F68" s="1302">
        <v>26806</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10264776</v>
      </c>
      <c r="E73" s="450"/>
      <c r="F73" s="330"/>
    </row>
    <row r="74" spans="1:6">
      <c r="A74" s="1298" t="s">
        <v>63</v>
      </c>
      <c r="B74" s="1298" t="s">
        <v>647</v>
      </c>
      <c r="C74" s="1312" t="s">
        <v>649</v>
      </c>
      <c r="D74" s="1313">
        <v>997051</v>
      </c>
      <c r="E74" s="450"/>
      <c r="F74" s="330"/>
    </row>
    <row r="75" spans="1:6">
      <c r="A75" s="1298" t="s">
        <v>64</v>
      </c>
      <c r="B75" s="1298" t="s">
        <v>646</v>
      </c>
      <c r="C75" s="1312" t="s">
        <v>650</v>
      </c>
      <c r="D75" s="1313">
        <v>16876031</v>
      </c>
      <c r="E75" s="450"/>
      <c r="F75" s="330"/>
    </row>
    <row r="76" spans="1:6">
      <c r="A76" s="1298" t="s">
        <v>64</v>
      </c>
      <c r="B76" s="1298" t="s">
        <v>647</v>
      </c>
      <c r="C76" s="1312" t="s">
        <v>651</v>
      </c>
      <c r="D76" s="1313">
        <v>118894</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256914</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2912.6763918123265</v>
      </c>
      <c r="C91" s="330"/>
      <c r="D91" s="330"/>
      <c r="E91" s="330"/>
      <c r="F91" s="330"/>
    </row>
    <row r="92" spans="1:6">
      <c r="A92" s="1293" t="s">
        <v>68</v>
      </c>
      <c r="B92" s="1294">
        <v>2469.6289777368197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137</v>
      </c>
      <c r="C97" s="330"/>
      <c r="D97" s="330"/>
      <c r="E97" s="330"/>
      <c r="F97" s="330"/>
    </row>
    <row r="98" spans="1:6">
      <c r="A98" s="1298" t="s">
        <v>71</v>
      </c>
      <c r="B98" s="1299">
        <v>1</v>
      </c>
      <c r="C98" s="330"/>
      <c r="D98" s="330"/>
      <c r="E98" s="330"/>
      <c r="F98" s="330"/>
    </row>
    <row r="99" spans="1:6">
      <c r="A99" s="1298" t="s">
        <v>72</v>
      </c>
      <c r="B99" s="1299">
        <v>20</v>
      </c>
      <c r="C99" s="330"/>
      <c r="D99" s="330"/>
      <c r="E99" s="330"/>
      <c r="F99" s="330"/>
    </row>
    <row r="100" spans="1:6">
      <c r="A100" s="1298" t="s">
        <v>73</v>
      </c>
      <c r="B100" s="1299">
        <v>81</v>
      </c>
      <c r="C100" s="330"/>
      <c r="D100" s="330"/>
      <c r="E100" s="330"/>
      <c r="F100" s="330"/>
    </row>
    <row r="101" spans="1:6">
      <c r="A101" s="1298" t="s">
        <v>74</v>
      </c>
      <c r="B101" s="1299">
        <v>22</v>
      </c>
      <c r="C101" s="330"/>
      <c r="D101" s="330"/>
      <c r="E101" s="330"/>
      <c r="F101" s="330"/>
    </row>
    <row r="102" spans="1:6">
      <c r="A102" s="1298" t="s">
        <v>75</v>
      </c>
      <c r="B102" s="1299">
        <v>32</v>
      </c>
      <c r="C102" s="330"/>
      <c r="D102" s="330"/>
      <c r="E102" s="330"/>
      <c r="F102" s="330"/>
    </row>
    <row r="103" spans="1:6">
      <c r="A103" s="1298" t="s">
        <v>76</v>
      </c>
      <c r="B103" s="1299">
        <v>55</v>
      </c>
      <c r="C103" s="330"/>
      <c r="D103" s="330"/>
      <c r="E103" s="330"/>
      <c r="F103" s="330"/>
    </row>
    <row r="104" spans="1:6">
      <c r="A104" s="1298" t="s">
        <v>77</v>
      </c>
      <c r="B104" s="1299">
        <v>2087</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20</v>
      </c>
      <c r="C123" s="1299">
        <v>17</v>
      </c>
      <c r="D123" s="330"/>
      <c r="E123" s="330"/>
      <c r="F123" s="330"/>
    </row>
    <row r="124" spans="1:6" s="43" customFormat="1">
      <c r="A124" s="1300" t="s">
        <v>88</v>
      </c>
      <c r="B124" s="1321">
        <v>0</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75</v>
      </c>
      <c r="C129" s="330"/>
      <c r="D129" s="330"/>
      <c r="E129" s="330"/>
      <c r="F129" s="330"/>
    </row>
    <row r="130" spans="1:6">
      <c r="A130" s="1298" t="s">
        <v>294</v>
      </c>
      <c r="B130" s="1299">
        <v>1</v>
      </c>
      <c r="C130" s="330"/>
      <c r="D130" s="330"/>
      <c r="E130" s="330"/>
      <c r="F130" s="330"/>
    </row>
    <row r="131" spans="1:6">
      <c r="A131" s="1298" t="s">
        <v>295</v>
      </c>
      <c r="B131" s="1299">
        <v>0</v>
      </c>
      <c r="C131" s="330"/>
      <c r="D131" s="330"/>
      <c r="E131" s="330"/>
      <c r="F131" s="330"/>
    </row>
    <row r="132" spans="1:6">
      <c r="A132" s="1293" t="s">
        <v>296</v>
      </c>
      <c r="B132" s="1294">
        <v>20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23801.397857717202</v>
      </c>
      <c r="C3" s="43" t="s">
        <v>169</v>
      </c>
      <c r="D3" s="43"/>
      <c r="E3" s="154"/>
      <c r="F3" s="43"/>
      <c r="G3" s="43"/>
      <c r="H3" s="43"/>
      <c r="I3" s="43"/>
      <c r="J3" s="43"/>
      <c r="K3" s="96"/>
    </row>
    <row r="4" spans="1:11">
      <c r="A4" s="358" t="s">
        <v>170</v>
      </c>
      <c r="B4" s="49">
        <f>IF(ISERROR('SEAP template'!B78+'SEAP template'!C78),0,'SEAP template'!B78+'SEAP template'!C78)</f>
        <v>5382.3053695491462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0.1710243853835379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518.21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518.21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0.1710243853835379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88.626546749603179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9530.9121500000001</v>
      </c>
      <c r="C5" s="17">
        <f>IF(ISERROR('Eigen informatie GS &amp; warmtenet'!B59),0,'Eigen informatie GS &amp; warmtenet'!B59)</f>
        <v>0</v>
      </c>
      <c r="D5" s="30">
        <f>(SUM(HH_hh_gas_kWh,HH_rest_gas_kWh)/1000)*0.902</f>
        <v>14761.7745825</v>
      </c>
      <c r="E5" s="17">
        <f>B46*B57</f>
        <v>4504.8260862177985</v>
      </c>
      <c r="F5" s="17">
        <f>B51*B62</f>
        <v>27044.37826046941</v>
      </c>
      <c r="G5" s="18"/>
      <c r="H5" s="17"/>
      <c r="I5" s="17"/>
      <c r="J5" s="17">
        <f>B50*B61+C50*C61</f>
        <v>0</v>
      </c>
      <c r="K5" s="17"/>
      <c r="L5" s="17"/>
      <c r="M5" s="17"/>
      <c r="N5" s="17">
        <f>B48*B59+C48*C59</f>
        <v>6182.7745127936169</v>
      </c>
      <c r="O5" s="17">
        <f>B69*B70*B71</f>
        <v>186.49207262238099</v>
      </c>
      <c r="P5" s="17">
        <f>B77*B78*B79/1000-B77*B78*B79/1000/B80</f>
        <v>421.35837230740083</v>
      </c>
    </row>
    <row r="6" spans="1:16">
      <c r="A6" s="16" t="s">
        <v>611</v>
      </c>
      <c r="B6" s="783">
        <f>kWh_PV_kleiner_dan_10kW</f>
        <v>2912.6763918123265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12443.588541812327</v>
      </c>
      <c r="C8" s="21">
        <f>C5</f>
        <v>0</v>
      </c>
      <c r="D8" s="21">
        <f>D5</f>
        <v>14761.7745825</v>
      </c>
      <c r="E8" s="21">
        <f>E5</f>
        <v>4504.8260862177985</v>
      </c>
      <c r="F8" s="21">
        <f>F5</f>
        <v>27044.37826046941</v>
      </c>
      <c r="G8" s="21"/>
      <c r="H8" s="21"/>
      <c r="I8" s="21"/>
      <c r="J8" s="21">
        <f>J5</f>
        <v>0</v>
      </c>
      <c r="K8" s="21"/>
      <c r="L8" s="21">
        <f>L5</f>
        <v>0</v>
      </c>
      <c r="M8" s="21">
        <f>M5</f>
        <v>0</v>
      </c>
      <c r="N8" s="21">
        <f>N5</f>
        <v>6182.7745127936169</v>
      </c>
      <c r="O8" s="21">
        <f>O5</f>
        <v>186.49207262238099</v>
      </c>
      <c r="P8" s="21">
        <f>P5</f>
        <v>421.35837230740083</v>
      </c>
    </row>
    <row r="9" spans="1:16">
      <c r="B9" s="19"/>
      <c r="C9" s="19"/>
      <c r="D9" s="258"/>
      <c r="E9" s="19"/>
      <c r="F9" s="19"/>
      <c r="G9" s="19"/>
      <c r="H9" s="19"/>
      <c r="I9" s="19"/>
      <c r="J9" s="19"/>
      <c r="K9" s="19"/>
      <c r="L9" s="19"/>
      <c r="M9" s="19"/>
      <c r="N9" s="19"/>
      <c r="O9" s="19"/>
      <c r="P9" s="19"/>
    </row>
    <row r="10" spans="1:16">
      <c r="A10" s="24" t="s">
        <v>213</v>
      </c>
      <c r="B10" s="25">
        <f ca="1">'EF ele_warmte'!B12</f>
        <v>0.1710243853835379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2128.1570823290876</v>
      </c>
      <c r="C12" s="23">
        <f ca="1">C10*C8</f>
        <v>0</v>
      </c>
      <c r="D12" s="23">
        <f>D8*D10</f>
        <v>2981.878465665</v>
      </c>
      <c r="E12" s="23">
        <f>E10*E8</f>
        <v>1022.5955215714403</v>
      </c>
      <c r="F12" s="23">
        <f>F10*F8</f>
        <v>7220.8489955453324</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137</v>
      </c>
      <c r="C18" s="166" t="s">
        <v>110</v>
      </c>
      <c r="D18" s="228"/>
      <c r="E18" s="15"/>
    </row>
    <row r="19" spans="1:7">
      <c r="A19" s="171" t="s">
        <v>71</v>
      </c>
      <c r="B19" s="37">
        <f>aantalw2001_ander</f>
        <v>1</v>
      </c>
      <c r="C19" s="166" t="s">
        <v>110</v>
      </c>
      <c r="D19" s="229"/>
      <c r="E19" s="15"/>
    </row>
    <row r="20" spans="1:7">
      <c r="A20" s="171" t="s">
        <v>72</v>
      </c>
      <c r="B20" s="37">
        <f>aantalw2001_propaan</f>
        <v>20</v>
      </c>
      <c r="C20" s="167">
        <f>IF(ISERROR(B20/SUM($B$20,$B$21,$B$22)*100),0,B20/SUM($B$20,$B$21,$B$22)*100)</f>
        <v>16.260162601626014</v>
      </c>
      <c r="D20" s="229"/>
      <c r="E20" s="15"/>
    </row>
    <row r="21" spans="1:7">
      <c r="A21" s="171" t="s">
        <v>73</v>
      </c>
      <c r="B21" s="37">
        <f>aantalw2001_elektriciteit</f>
        <v>81</v>
      </c>
      <c r="C21" s="167">
        <f>IF(ISERROR(B21/SUM($B$20,$B$21,$B$22)*100),0,B21/SUM($B$20,$B$21,$B$22)*100)</f>
        <v>65.853658536585371</v>
      </c>
      <c r="D21" s="229"/>
      <c r="E21" s="15"/>
    </row>
    <row r="22" spans="1:7">
      <c r="A22" s="171" t="s">
        <v>74</v>
      </c>
      <c r="B22" s="37">
        <f>aantalw2001_hout</f>
        <v>22</v>
      </c>
      <c r="C22" s="167">
        <f>IF(ISERROR(B22/SUM($B$20,$B$21,$B$22)*100),0,B22/SUM($B$20,$B$21,$B$22)*100)</f>
        <v>17.886178861788618</v>
      </c>
      <c r="D22" s="229"/>
      <c r="E22" s="15"/>
    </row>
    <row r="23" spans="1:7">
      <c r="A23" s="171" t="s">
        <v>75</v>
      </c>
      <c r="B23" s="37">
        <f>aantalw2001_niet_gespec</f>
        <v>32</v>
      </c>
      <c r="C23" s="166" t="s">
        <v>110</v>
      </c>
      <c r="D23" s="228"/>
      <c r="E23" s="15"/>
    </row>
    <row r="24" spans="1:7">
      <c r="A24" s="171" t="s">
        <v>76</v>
      </c>
      <c r="B24" s="37">
        <f>aantalw2001_steenkool</f>
        <v>55</v>
      </c>
      <c r="C24" s="166" t="s">
        <v>110</v>
      </c>
      <c r="D24" s="229"/>
      <c r="E24" s="15"/>
    </row>
    <row r="25" spans="1:7">
      <c r="A25" s="171" t="s">
        <v>77</v>
      </c>
      <c r="B25" s="37">
        <f>aantalw2001_stookolie</f>
        <v>2087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2861</v>
      </c>
      <c r="C28" s="36"/>
      <c r="D28" s="228"/>
    </row>
    <row r="29" spans="1:7" s="15" customFormat="1">
      <c r="A29" s="230" t="s">
        <v>819</v>
      </c>
      <c r="B29" s="37">
        <f>SUM(HH_hh_gas_aantal,HH_rest_gas_aantal)</f>
        <v>1008</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1008</v>
      </c>
      <c r="C32" s="167">
        <f>IF(ISERROR(B32/SUM($B$32,$B$34,$B$35,$B$36,$B$38,$B$39)*100),0,B32/SUM($B$32,$B$34,$B$35,$B$36,$B$38,$B$39)*100)</f>
        <v>35.732009925558309</v>
      </c>
      <c r="D32" s="233"/>
      <c r="G32" s="15"/>
    </row>
    <row r="33" spans="1:7">
      <c r="A33" s="171" t="s">
        <v>71</v>
      </c>
      <c r="B33" s="34" t="s">
        <v>110</v>
      </c>
      <c r="C33" s="167"/>
      <c r="D33" s="233"/>
      <c r="G33" s="15"/>
    </row>
    <row r="34" spans="1:7">
      <c r="A34" s="171" t="s">
        <v>72</v>
      </c>
      <c r="B34" s="33">
        <f>IF((($B$28-$B$32-$B$39-$B$77-$B$38)*C20/100)&lt;0,0,($B$28-$B$32-$B$39-$B$77-$B$38)*C20/100)</f>
        <v>82.910569105691067</v>
      </c>
      <c r="C34" s="167">
        <f>IF(ISERROR(B34/SUM($B$32,$B$34,$B$35,$B$36,$B$38,$B$39)*100),0,B34/SUM($B$32,$B$34,$B$35,$B$36,$B$38,$B$39)*100)</f>
        <v>2.9390488871212717</v>
      </c>
      <c r="D34" s="233"/>
      <c r="G34" s="15"/>
    </row>
    <row r="35" spans="1:7">
      <c r="A35" s="171" t="s">
        <v>73</v>
      </c>
      <c r="B35" s="33">
        <f>IF((($B$28-$B$32-$B$39-$B$77-$B$38)*C21/100)&lt;0,0,($B$28-$B$32-$B$39-$B$77-$B$38)*C21/100)</f>
        <v>335.78780487804886</v>
      </c>
      <c r="C35" s="167">
        <f>IF(ISERROR(B35/SUM($B$32,$B$34,$B$35,$B$36,$B$38,$B$39)*100),0,B35/SUM($B$32,$B$34,$B$35,$B$36,$B$38,$B$39)*100)</f>
        <v>11.90314799284115</v>
      </c>
      <c r="D35" s="233"/>
      <c r="G35" s="15"/>
    </row>
    <row r="36" spans="1:7">
      <c r="A36" s="171" t="s">
        <v>74</v>
      </c>
      <c r="B36" s="33">
        <f>IF((($B$28-$B$32-$B$39-$B$77-$B$38)*C22/100)&lt;0,0,($B$28-$B$32-$B$39-$B$77-$B$38)*C22/100)</f>
        <v>91.201626016260178</v>
      </c>
      <c r="C36" s="167">
        <f>IF(ISERROR(B36/SUM($B$32,$B$34,$B$35,$B$36,$B$38,$B$39)*100),0,B36/SUM($B$32,$B$34,$B$35,$B$36,$B$38,$B$39)*100)</f>
        <v>3.2329537758333986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1303.0999999999999</v>
      </c>
      <c r="C39" s="167">
        <f>IF(ISERROR(B39/SUM($B$32,$B$34,$B$35,$B$36,$B$38,$B$39)*100),0,B39/SUM($B$32,$B$34,$B$35,$B$36,$B$38,$B$39)*100)</f>
        <v>46.192839418645868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1008</v>
      </c>
      <c r="C44" s="34" t="s">
        <v>110</v>
      </c>
      <c r="D44" s="174"/>
    </row>
    <row r="45" spans="1:7">
      <c r="A45" s="171" t="s">
        <v>71</v>
      </c>
      <c r="B45" s="33" t="str">
        <f t="shared" si="0"/>
        <v>-</v>
      </c>
      <c r="C45" s="34" t="s">
        <v>110</v>
      </c>
      <c r="D45" s="174"/>
    </row>
    <row r="46" spans="1:7">
      <c r="A46" s="171" t="s">
        <v>72</v>
      </c>
      <c r="B46" s="33">
        <f t="shared" si="0"/>
        <v>82.910569105691067</v>
      </c>
      <c r="C46" s="34" t="s">
        <v>110</v>
      </c>
      <c r="D46" s="174"/>
    </row>
    <row r="47" spans="1:7">
      <c r="A47" s="171" t="s">
        <v>73</v>
      </c>
      <c r="B47" s="33">
        <f t="shared" si="0"/>
        <v>335.78780487804886</v>
      </c>
      <c r="C47" s="34" t="s">
        <v>110</v>
      </c>
      <c r="D47" s="174"/>
    </row>
    <row r="48" spans="1:7">
      <c r="A48" s="171" t="s">
        <v>74</v>
      </c>
      <c r="B48" s="33">
        <f t="shared" si="0"/>
        <v>91.201626016260178</v>
      </c>
      <c r="C48" s="33">
        <f>B48*10</f>
        <v>912.01626016260184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1303.0999999999999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40</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4593.6756660000001</v>
      </c>
      <c r="C5" s="17">
        <f>IF(ISERROR('Eigen informatie GS &amp; warmtenet'!B60),0,'Eigen informatie GS &amp; warmtenet'!B60)</f>
        <v>0</v>
      </c>
      <c r="D5" s="30">
        <f>SUM(D6:D12)</f>
        <v>2742.122394</v>
      </c>
      <c r="E5" s="17">
        <f>SUM(E6:E12)</f>
        <v>60.180882435039678</v>
      </c>
      <c r="F5" s="17">
        <f>SUM(F6:F12)</f>
        <v>539.19784624587885</v>
      </c>
      <c r="G5" s="18"/>
      <c r="H5" s="17"/>
      <c r="I5" s="17"/>
      <c r="J5" s="17">
        <f>SUM(J6:J12)</f>
        <v>2.2630303090791157E-2</v>
      </c>
      <c r="K5" s="17"/>
      <c r="L5" s="17"/>
      <c r="M5" s="17"/>
      <c r="N5" s="17">
        <f>SUM(N6:N12)</f>
        <v>886.8487214547913</v>
      </c>
      <c r="O5" s="17">
        <f>B38*B39*B40</f>
        <v>4.8972607658411542</v>
      </c>
      <c r="P5" s="17">
        <f>B46*B47*B48/1000-B46*B47*B48/1000/B49</f>
        <v>0</v>
      </c>
      <c r="R5" s="32"/>
    </row>
    <row r="6" spans="1:18">
      <c r="A6" s="32" t="s">
        <v>53</v>
      </c>
      <c r="B6" s="37">
        <f>B26</f>
        <v>529.99300000000005</v>
      </c>
      <c r="C6" s="33"/>
      <c r="D6" s="37">
        <f>IF(ISERROR(TER_kantoor_gas_kWh/1000),0,TER_kantoor_gas_kWh/1000)*0.902</f>
        <v>771.361536</v>
      </c>
      <c r="E6" s="33">
        <f>$C$26*'E Balans VL '!I12/100/3.6*1000000</f>
        <v>4.2646837418567758</v>
      </c>
      <c r="F6" s="33">
        <f>$C$26*('E Balans VL '!L12+'E Balans VL '!N12)/100/3.6*1000000</f>
        <v>64.797219597861584</v>
      </c>
      <c r="G6" s="34"/>
      <c r="H6" s="33"/>
      <c r="I6" s="33"/>
      <c r="J6" s="33">
        <f>$C$26*('E Balans VL '!D12+'E Balans VL '!E12)/100/3.6*1000000</f>
        <v>0</v>
      </c>
      <c r="K6" s="33"/>
      <c r="L6" s="33"/>
      <c r="M6" s="33"/>
      <c r="N6" s="33">
        <f>$C$26*'E Balans VL '!Y12/100/3.6*1000000</f>
        <v>0.28484513816959794</v>
      </c>
      <c r="O6" s="33"/>
      <c r="P6" s="33"/>
      <c r="R6" s="32"/>
    </row>
    <row r="7" spans="1:18">
      <c r="A7" s="32" t="s">
        <v>52</v>
      </c>
      <c r="B7" s="37">
        <f t="shared" ref="B7:B12" si="0">B27</f>
        <v>456.73200000000003</v>
      </c>
      <c r="C7" s="33"/>
      <c r="D7" s="37">
        <f>IF(ISERROR(TER_horeca_gas_kWh/1000),0,TER_horeca_gas_kWh/1000)*0.902</f>
        <v>474.71448200000009</v>
      </c>
      <c r="E7" s="33">
        <f>$C$27*'E Balans VL '!I9/100/3.6*1000000</f>
        <v>4.9041801422844973</v>
      </c>
      <c r="F7" s="33">
        <f>$C$27*('E Balans VL '!L9+'E Balans VL '!N9)/100/3.6*1000000</f>
        <v>54.933784446083259</v>
      </c>
      <c r="G7" s="34"/>
      <c r="H7" s="33"/>
      <c r="I7" s="33"/>
      <c r="J7" s="33">
        <f>$C$27*('E Balans VL '!D9+'E Balans VL '!E9)/100/3.6*1000000</f>
        <v>0</v>
      </c>
      <c r="K7" s="33"/>
      <c r="L7" s="33"/>
      <c r="M7" s="33"/>
      <c r="N7" s="33">
        <f>$C$27*'E Balans VL '!Y9/100/3.6*1000000</f>
        <v>6.8473383682929462E-2</v>
      </c>
      <c r="O7" s="33"/>
      <c r="P7" s="33"/>
      <c r="R7" s="32"/>
    </row>
    <row r="8" spans="1:18">
      <c r="A8" s="6" t="s">
        <v>51</v>
      </c>
      <c r="B8" s="37">
        <f t="shared" si="0"/>
        <v>1720.0226660000001</v>
      </c>
      <c r="C8" s="33"/>
      <c r="D8" s="37">
        <f>IF(ISERROR(TER_handel_gas_kWh/1000),0,TER_handel_gas_kWh/1000)*0.902</f>
        <v>328.41369000000003</v>
      </c>
      <c r="E8" s="33">
        <f>$C$28*'E Balans VL '!I13/100/3.6*1000000</f>
        <v>46.160142557130463</v>
      </c>
      <c r="F8" s="33">
        <f>$C$28*('E Balans VL '!L13+'E Balans VL '!N13)/100/3.6*1000000</f>
        <v>164.14317480187947</v>
      </c>
      <c r="G8" s="34"/>
      <c r="H8" s="33"/>
      <c r="I8" s="33"/>
      <c r="J8" s="33">
        <f>$C$28*('E Balans VL '!D13+'E Balans VL '!E13)/100/3.6*1000000</f>
        <v>0</v>
      </c>
      <c r="K8" s="33"/>
      <c r="L8" s="33"/>
      <c r="M8" s="33"/>
      <c r="N8" s="33">
        <f>$C$28*'E Balans VL '!Y13/100/3.6*1000000</f>
        <v>0.68183654212314782</v>
      </c>
      <c r="O8" s="33"/>
      <c r="P8" s="33"/>
      <c r="R8" s="32"/>
    </row>
    <row r="9" spans="1:18">
      <c r="A9" s="32" t="s">
        <v>50</v>
      </c>
      <c r="B9" s="37">
        <f t="shared" si="0"/>
        <v>479.43200000000002</v>
      </c>
      <c r="C9" s="33"/>
      <c r="D9" s="37">
        <f>IF(ISERROR(TER_gezond_gas_kWh/1000),0,TER_gezond_gas_kWh/1000)*0.902</f>
        <v>405.14863399999996</v>
      </c>
      <c r="E9" s="33">
        <f>$C$29*'E Balans VL '!I10/100/3.6*1000000</f>
        <v>0.89861167783808205</v>
      </c>
      <c r="F9" s="33">
        <f>$C$29*('E Balans VL '!L10+'E Balans VL '!N10)/100/3.6*1000000</f>
        <v>39.413684879931822</v>
      </c>
      <c r="G9" s="34"/>
      <c r="H9" s="33"/>
      <c r="I9" s="33"/>
      <c r="J9" s="33">
        <f>$C$29*('E Balans VL '!D10+'E Balans VL '!E10)/100/3.6*1000000</f>
        <v>0</v>
      </c>
      <c r="K9" s="33"/>
      <c r="L9" s="33"/>
      <c r="M9" s="33"/>
      <c r="N9" s="33">
        <f>$C$29*'E Balans VL '!Y10/100/3.6*1000000</f>
        <v>3.7303386676699248</v>
      </c>
      <c r="O9" s="33"/>
      <c r="P9" s="33"/>
      <c r="R9" s="32"/>
    </row>
    <row r="10" spans="1:18">
      <c r="A10" s="32" t="s">
        <v>49</v>
      </c>
      <c r="B10" s="37">
        <f t="shared" si="0"/>
        <v>1333.0719999999999</v>
      </c>
      <c r="C10" s="33"/>
      <c r="D10" s="37">
        <f>IF(ISERROR(TER_ander_gas_kWh/1000),0,TER_ander_gas_kWh/1000)*0.902</f>
        <v>698.99768400000005</v>
      </c>
      <c r="E10" s="33">
        <f>$C$30*'E Balans VL '!I14/100/3.6*1000000</f>
        <v>2.0549439958098628</v>
      </c>
      <c r="F10" s="33">
        <f>$C$30*('E Balans VL '!L14+'E Balans VL '!N14)/100/3.6*1000000</f>
        <v>206.95979601475858</v>
      </c>
      <c r="G10" s="34"/>
      <c r="H10" s="33"/>
      <c r="I10" s="33"/>
      <c r="J10" s="33">
        <f>$C$30*('E Balans VL '!D14+'E Balans VL '!E14)/100/3.6*1000000</f>
        <v>2.2630303090791157E-2</v>
      </c>
      <c r="K10" s="33"/>
      <c r="L10" s="33"/>
      <c r="M10" s="33"/>
      <c r="N10" s="33">
        <f>$C$30*'E Balans VL '!Y14/100/3.6*1000000</f>
        <v>881.91771056310688</v>
      </c>
      <c r="O10" s="33"/>
      <c r="P10" s="33"/>
      <c r="R10" s="32"/>
    </row>
    <row r="11" spans="1:18">
      <c r="A11" s="32" t="s">
        <v>54</v>
      </c>
      <c r="B11" s="37">
        <f t="shared" si="0"/>
        <v>74.424000000000007</v>
      </c>
      <c r="C11" s="33"/>
      <c r="D11" s="37">
        <f>IF(ISERROR(TER_onderwijs_gas_kWh/1000),0,TER_onderwijs_gas_kWh/1000)*0.902</f>
        <v>0</v>
      </c>
      <c r="E11" s="33">
        <f>$C$31*'E Balans VL '!I11/100/3.6*1000000</f>
        <v>1.8983203201199961</v>
      </c>
      <c r="F11" s="33">
        <f>$C$31*('E Balans VL '!L11+'E Balans VL '!N11)/100/3.6*1000000</f>
        <v>8.9501865053641811</v>
      </c>
      <c r="G11" s="34"/>
      <c r="H11" s="33"/>
      <c r="I11" s="33"/>
      <c r="J11" s="33">
        <f>$C$31*('E Balans VL '!D11+'E Balans VL '!E11)/100/3.6*1000000</f>
        <v>0</v>
      </c>
      <c r="K11" s="33"/>
      <c r="L11" s="33"/>
      <c r="M11" s="33"/>
      <c r="N11" s="33">
        <f>$C$31*'E Balans VL '!Y11/100/3.6*1000000</f>
        <v>0.1655171600387525</v>
      </c>
      <c r="O11" s="33"/>
      <c r="P11" s="33"/>
      <c r="R11" s="32"/>
    </row>
    <row r="12" spans="1:18">
      <c r="A12" s="32" t="s">
        <v>259</v>
      </c>
      <c r="B12" s="37">
        <f t="shared" si="0"/>
        <v>0</v>
      </c>
      <c r="C12" s="33"/>
      <c r="D12" s="37">
        <f>IF(ISERROR(TER_rest_gas_kWh/1000),0,TER_rest_gas_kWh/1000)*0.902</f>
        <v>63.486367999999999</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4593.6756660000001</v>
      </c>
      <c r="C16" s="21">
        <f t="shared" ca="1" si="1"/>
        <v>0</v>
      </c>
      <c r="D16" s="21">
        <f t="shared" ca="1" si="1"/>
        <v>2742.122394</v>
      </c>
      <c r="E16" s="21">
        <f t="shared" si="1"/>
        <v>60.180882435039678</v>
      </c>
      <c r="F16" s="21">
        <f t="shared" ca="1" si="1"/>
        <v>539.19784624587885</v>
      </c>
      <c r="G16" s="21">
        <f t="shared" si="1"/>
        <v>0</v>
      </c>
      <c r="H16" s="21">
        <f t="shared" si="1"/>
        <v>0</v>
      </c>
      <c r="I16" s="21">
        <f t="shared" si="1"/>
        <v>0</v>
      </c>
      <c r="J16" s="21">
        <f t="shared" si="1"/>
        <v>2.2630303090791157E-2</v>
      </c>
      <c r="K16" s="21">
        <f t="shared" si="1"/>
        <v>0</v>
      </c>
      <c r="L16" s="21">
        <f t="shared" ca="1" si="1"/>
        <v>0</v>
      </c>
      <c r="M16" s="21">
        <f t="shared" si="1"/>
        <v>0</v>
      </c>
      <c r="N16" s="21">
        <f t="shared" ca="1" si="1"/>
        <v>886.8487214547913</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0.1710243853835379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785.63055742896415</v>
      </c>
      <c r="C20" s="23">
        <f t="shared" ref="C20:P20" ca="1" si="2">C16*C18</f>
        <v>0</v>
      </c>
      <c r="D20" s="23">
        <f t="shared" ca="1" si="2"/>
        <v>553.90872358800004</v>
      </c>
      <c r="E20" s="23">
        <f t="shared" si="2"/>
        <v>13.661060312754007</v>
      </c>
      <c r="F20" s="23">
        <f t="shared" ca="1" si="2"/>
        <v>143.96582494764965</v>
      </c>
      <c r="G20" s="23">
        <f t="shared" si="2"/>
        <v>0</v>
      </c>
      <c r="H20" s="23">
        <f t="shared" si="2"/>
        <v>0</v>
      </c>
      <c r="I20" s="23">
        <f t="shared" si="2"/>
        <v>0</v>
      </c>
      <c r="J20" s="23">
        <f t="shared" si="2"/>
        <v>8.0111272941400698E-3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529.99300000000005</v>
      </c>
      <c r="C26" s="39">
        <f>IF(ISERROR(B26*3.6/1000000/'E Balans VL '!Z12*100),0,B26*3.6/1000000/'E Balans VL '!Z12*100)</f>
        <v>1.1243316607086459E-2</v>
      </c>
      <c r="D26" s="237" t="s">
        <v>708</v>
      </c>
      <c r="F26" s="6"/>
    </row>
    <row r="27" spans="1:18">
      <c r="A27" s="231" t="s">
        <v>52</v>
      </c>
      <c r="B27" s="33">
        <f>IF(ISERROR(TER_horeca_ele_kWh/1000),0,TER_horeca_ele_kWh/1000)</f>
        <v>456.73200000000003</v>
      </c>
      <c r="C27" s="39">
        <f>IF(ISERROR(B27*3.6/1000000/'E Balans VL '!Z9*100),0,B27*3.6/1000000/'E Balans VL '!Z9*100)</f>
        <v>3.4395965563417064E-2</v>
      </c>
      <c r="D27" s="237" t="s">
        <v>708</v>
      </c>
      <c r="F27" s="6"/>
    </row>
    <row r="28" spans="1:18">
      <c r="A28" s="171" t="s">
        <v>51</v>
      </c>
      <c r="B28" s="33">
        <f>IF(ISERROR(TER_handel_ele_kWh/1000),0,TER_handel_ele_kWh/1000)</f>
        <v>1720.0226660000001</v>
      </c>
      <c r="C28" s="39">
        <f>IF(ISERROR(B28*3.6/1000000/'E Balans VL '!Z13*100),0,B28*3.6/1000000/'E Balans VL '!Z13*100)</f>
        <v>4.992616347816925E-2</v>
      </c>
      <c r="D28" s="237" t="s">
        <v>708</v>
      </c>
      <c r="F28" s="6"/>
    </row>
    <row r="29" spans="1:18">
      <c r="A29" s="231" t="s">
        <v>50</v>
      </c>
      <c r="B29" s="33">
        <f>IF(ISERROR(TER_gezond_ele_kWh/1000),0,TER_gezond_ele_kWh/1000)</f>
        <v>479.43200000000002</v>
      </c>
      <c r="C29" s="39">
        <f>IF(ISERROR(B29*3.6/1000000/'E Balans VL '!Z10*100),0,B29*3.6/1000000/'E Balans VL '!Z10*100)</f>
        <v>4.8351288945946702E-2</v>
      </c>
      <c r="D29" s="237" t="s">
        <v>708</v>
      </c>
      <c r="F29" s="6"/>
    </row>
    <row r="30" spans="1:18">
      <c r="A30" s="231" t="s">
        <v>49</v>
      </c>
      <c r="B30" s="33">
        <f>IF(ISERROR(TER_ander_ele_kWh/1000),0,TER_ander_ele_kWh/1000)</f>
        <v>1333.0719999999999</v>
      </c>
      <c r="C30" s="39">
        <f>IF(ISERROR(B30*3.6/1000000/'E Balans VL '!Z14*100),0,B30*3.6/1000000/'E Balans VL '!Z14*100)</f>
        <v>9.6732560036655604E-2</v>
      </c>
      <c r="D30" s="237" t="s">
        <v>708</v>
      </c>
      <c r="F30" s="6"/>
    </row>
    <row r="31" spans="1:18">
      <c r="A31" s="231" t="s">
        <v>54</v>
      </c>
      <c r="B31" s="33">
        <f>IF(ISERROR(TER_onderwijs_ele_kWh/1000),0,TER_onderwijs_ele_kWh/1000)</f>
        <v>74.424000000000007</v>
      </c>
      <c r="C31" s="39">
        <f>IF(ISERROR(B31*3.6/1000000/'E Balans VL '!Z11*100),0,B31*3.6/1000000/'E Balans VL '!Z11*100)</f>
        <v>2.1213870686399756E-2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1293.8152219999999</v>
      </c>
      <c r="C5" s="17">
        <f>IF(ISERROR('Eigen informatie GS &amp; warmtenet'!B61),0,'Eigen informatie GS &amp; warmtenet'!B61)</f>
        <v>0</v>
      </c>
      <c r="D5" s="30">
        <f>SUM(D6:D15)</f>
        <v>723.67279600000006</v>
      </c>
      <c r="E5" s="17">
        <f>SUM(E6:E15)</f>
        <v>166.45598386958744</v>
      </c>
      <c r="F5" s="17">
        <f>SUM(F6:F15)</f>
        <v>537.31432011045843</v>
      </c>
      <c r="G5" s="18"/>
      <c r="H5" s="17"/>
      <c r="I5" s="17"/>
      <c r="J5" s="17">
        <f>SUM(J6:J15)</f>
        <v>0.35872556257802413</v>
      </c>
      <c r="K5" s="17"/>
      <c r="L5" s="17"/>
      <c r="M5" s="17"/>
      <c r="N5" s="17">
        <f>SUM(N6:N15)</f>
        <v>73.391341437211622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220.10499999999999</v>
      </c>
      <c r="C8" s="33"/>
      <c r="D8" s="37">
        <f>IF( ISERROR(IND_metaal_Gas_kWH/1000),0,IND_metaal_Gas_kWH/1000)*0.902</f>
        <v>348.07548600000001</v>
      </c>
      <c r="E8" s="33">
        <f>C30*'E Balans VL '!I18/100/3.6*1000000</f>
        <v>1.5879030908729803</v>
      </c>
      <c r="F8" s="33">
        <f>C30*'E Balans VL '!L18/100/3.6*1000000+C30*'E Balans VL '!N18/100/3.6*1000000</f>
        <v>20.817874548095411</v>
      </c>
      <c r="G8" s="34"/>
      <c r="H8" s="33"/>
      <c r="I8" s="33"/>
      <c r="J8" s="40">
        <f>C30*'E Balans VL '!D18/100/3.6*1000000+C30*'E Balans VL '!E18/100/3.6*1000000</f>
        <v>0.22138288807376152</v>
      </c>
      <c r="K8" s="33"/>
      <c r="L8" s="33"/>
      <c r="M8" s="33"/>
      <c r="N8" s="33">
        <f>C30*'E Balans VL '!Y18/100/3.6*1000000</f>
        <v>2.7827095403376045</v>
      </c>
      <c r="O8" s="33"/>
      <c r="P8" s="33"/>
      <c r="R8" s="32"/>
    </row>
    <row r="9" spans="1:18">
      <c r="A9" s="6" t="s">
        <v>32</v>
      </c>
      <c r="B9" s="37">
        <f t="shared" si="0"/>
        <v>589.12322199999994</v>
      </c>
      <c r="C9" s="33"/>
      <c r="D9" s="37">
        <f>IF( ISERROR(IND_andere_gas_kWh/1000),0,IND_andere_gas_kWh/1000)*0.902</f>
        <v>375.59730999999999</v>
      </c>
      <c r="E9" s="33">
        <f>C31*'E Balans VL '!I19/100/3.6*1000000</f>
        <v>163.25392238059695</v>
      </c>
      <c r="F9" s="33">
        <f>C31*'E Balans VL '!L19/100/3.6*1000000+C31*'E Balans VL '!N19/100/3.6*1000000</f>
        <v>488.2665994986944</v>
      </c>
      <c r="G9" s="34"/>
      <c r="H9" s="33"/>
      <c r="I9" s="33"/>
      <c r="J9" s="40">
        <f>C31*'E Balans VL '!D19/100/3.6*1000000+C31*'E Balans VL '!E19/100/3.6*1000000</f>
        <v>0</v>
      </c>
      <c r="K9" s="33"/>
      <c r="L9" s="33"/>
      <c r="M9" s="33"/>
      <c r="N9" s="33">
        <f>C31*'E Balans VL '!Y19/100/3.6*1000000</f>
        <v>42.763140160112187</v>
      </c>
      <c r="O9" s="33"/>
      <c r="P9" s="33"/>
      <c r="R9" s="32"/>
    </row>
    <row r="10" spans="1:18">
      <c r="A10" s="6" t="s">
        <v>40</v>
      </c>
      <c r="B10" s="37">
        <f t="shared" si="0"/>
        <v>467.96199999999999</v>
      </c>
      <c r="C10" s="33"/>
      <c r="D10" s="37">
        <f>IF( ISERROR(IND_voed_gas_kWh/1000),0,IND_voed_gas_kWh/1000)*0.902</f>
        <v>0</v>
      </c>
      <c r="E10" s="33">
        <f>C32*'E Balans VL '!I20/100/3.6*1000000</f>
        <v>0.82845124889185884</v>
      </c>
      <c r="F10" s="33">
        <f>C32*'E Balans VL '!L20/100/3.6*1000000+C32*'E Balans VL '!N20/100/3.6*1000000</f>
        <v>25.274095510002226</v>
      </c>
      <c r="G10" s="34"/>
      <c r="H10" s="33"/>
      <c r="I10" s="33"/>
      <c r="J10" s="40">
        <f>C32*'E Balans VL '!D20/100/3.6*1000000+C32*'E Balans VL '!E20/100/3.6*1000000</f>
        <v>0</v>
      </c>
      <c r="K10" s="33"/>
      <c r="L10" s="33"/>
      <c r="M10" s="33"/>
      <c r="N10" s="33">
        <f>C32*'E Balans VL '!Y20/100/3.6*1000000</f>
        <v>27.192166070327598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16.625</v>
      </c>
      <c r="C15" s="33"/>
      <c r="D15" s="37">
        <f>IF( ISERROR(IND_rest_gas_kWh/1000),0,IND_rest_gas_kWh/1000)*0.902</f>
        <v>0</v>
      </c>
      <c r="E15" s="33">
        <f>C37*'E Balans VL '!I15/100/3.6*1000000</f>
        <v>0.78570714922564444</v>
      </c>
      <c r="F15" s="33">
        <f>C37*'E Balans VL '!L15/100/3.6*1000000+C37*'E Balans VL '!N15/100/3.6*1000000</f>
        <v>2.9557505536664008</v>
      </c>
      <c r="G15" s="34"/>
      <c r="H15" s="33"/>
      <c r="I15" s="33"/>
      <c r="J15" s="40">
        <f>C37*'E Balans VL '!D15/100/3.6*1000000+C37*'E Balans VL '!E15/100/3.6*1000000</f>
        <v>0.13734267450426257</v>
      </c>
      <c r="K15" s="33"/>
      <c r="L15" s="33"/>
      <c r="M15" s="33"/>
      <c r="N15" s="33">
        <f>C37*'E Balans VL '!Y15/100/3.6*1000000</f>
        <v>0.65332566643422585</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1293.8152219999999</v>
      </c>
      <c r="C18" s="21">
        <f>C5+C16</f>
        <v>0</v>
      </c>
      <c r="D18" s="21">
        <f>MAX((D5+D16),0)</f>
        <v>723.67279600000006</v>
      </c>
      <c r="E18" s="21">
        <f>MAX((E5+E16),0)</f>
        <v>166.45598386958744</v>
      </c>
      <c r="F18" s="21">
        <f>MAX((F5+F16),0)</f>
        <v>537.31432011045843</v>
      </c>
      <c r="G18" s="21"/>
      <c r="H18" s="21"/>
      <c r="I18" s="21"/>
      <c r="J18" s="21">
        <f>MAX((J5+J16),0)</f>
        <v>0.35872556257802413</v>
      </c>
      <c r="K18" s="21"/>
      <c r="L18" s="21">
        <f>MAX((L5+L16),0)</f>
        <v>0</v>
      </c>
      <c r="M18" s="21"/>
      <c r="N18" s="21">
        <f>MAX((N5+N16),0)</f>
        <v>73.391341437211622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0.1710243853835379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221.27395314241562</v>
      </c>
      <c r="C22" s="23">
        <f ca="1">C18*C20</f>
        <v>0</v>
      </c>
      <c r="D22" s="23">
        <f>D18*D20</f>
        <v>146.18190479200001</v>
      </c>
      <c r="E22" s="23">
        <f>E18*E20</f>
        <v>37.785508338396347</v>
      </c>
      <c r="F22" s="23">
        <f>F18*F20</f>
        <v>143.46292346949241</v>
      </c>
      <c r="G22" s="23"/>
      <c r="H22" s="23"/>
      <c r="I22" s="23"/>
      <c r="J22" s="23">
        <f>J18*J20</f>
        <v>0.12698884915262054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220.10499999999999</v>
      </c>
      <c r="C30" s="39">
        <f>IF(ISERROR(B30*3.6/1000000/'E Balans VL '!Z18*100),0,B30*3.6/1000000/'E Balans VL '!Z18*100)</f>
        <v>1.2706318209676576E-2</v>
      </c>
      <c r="D30" s="237" t="s">
        <v>708</v>
      </c>
    </row>
    <row r="31" spans="1:18">
      <c r="A31" s="6" t="s">
        <v>32</v>
      </c>
      <c r="B31" s="37">
        <f>IF( ISERROR(IND_ander_ele_kWh/1000),0,IND_ander_ele_kWh/1000)</f>
        <v>589.12322199999994</v>
      </c>
      <c r="C31" s="39">
        <f>IF(ISERROR(B31*3.6/1000000/'E Balans VL '!Z19*100),0,B31*3.6/1000000/'E Balans VL '!Z19*100)</f>
        <v>2.9630988497616258E-2</v>
      </c>
      <c r="D31" s="237" t="s">
        <v>708</v>
      </c>
    </row>
    <row r="32" spans="1:18">
      <c r="A32" s="171" t="s">
        <v>40</v>
      </c>
      <c r="B32" s="37">
        <f>IF( ISERROR(IND_voed_ele_kWh/1000),0,IND_voed_ele_kWh/1000)</f>
        <v>467.96199999999999</v>
      </c>
      <c r="C32" s="39">
        <f>IF(ISERROR(B32*3.6/1000000/'E Balans VL '!Z20*100),0,B32*3.6/1000000/'E Balans VL '!Z20*100)</f>
        <v>1.5585913474450524E-2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16.625</v>
      </c>
      <c r="C37" s="39">
        <f>IF(ISERROR(B37*3.6/1000000/'E Balans VL '!Z15*100),0,B37*3.6/1000000/'E Balans VL '!Z15*100)</f>
        <v>1.2972046324358547E-4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4773.803449</v>
      </c>
      <c r="C5" s="17">
        <f>'Eigen informatie GS &amp; warmtenet'!B62</f>
        <v>0</v>
      </c>
      <c r="D5" s="30">
        <f>IF(ISERROR(SUM(LB_lb_gas_kWh,LB_rest_gas_kWh)/1000),0,SUM(LB_lb_gas_kWh,LB_rest_gas_kWh)/1000)*0.902</f>
        <v>175.94051200000001</v>
      </c>
      <c r="E5" s="17">
        <f>B17*'E Balans VL '!I25/3.6*1000000/100</f>
        <v>148.98883143711899</v>
      </c>
      <c r="F5" s="17">
        <f>B17*('E Balans VL '!L25/3.6*1000000+'E Balans VL '!N25/3.6*1000000)/100</f>
        <v>16871.150216446425</v>
      </c>
      <c r="G5" s="18"/>
      <c r="H5" s="17"/>
      <c r="I5" s="17"/>
      <c r="J5" s="17">
        <f>('E Balans VL '!D25+'E Balans VL '!E25)/3.6*1000000*landbouw!B17/100</f>
        <v>1315.2159562362795</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4773.803449</v>
      </c>
      <c r="C8" s="21">
        <f>C5+C6</f>
        <v>0</v>
      </c>
      <c r="D8" s="21">
        <f>MAX((D5+D6),0)</f>
        <v>175.94051200000001</v>
      </c>
      <c r="E8" s="21">
        <f>MAX((E5+E6),0)</f>
        <v>148.98883143711899</v>
      </c>
      <c r="F8" s="21">
        <f>MAX((F5+F6),0)</f>
        <v>16871.150216446425</v>
      </c>
      <c r="G8" s="21"/>
      <c r="H8" s="21"/>
      <c r="I8" s="21"/>
      <c r="J8" s="21">
        <f>MAX((J5+J6),0)</f>
        <v>1315.2159562362795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0.1710243853835379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816.43680080703837</v>
      </c>
      <c r="C12" s="23">
        <f ca="1">C8*C10</f>
        <v>0</v>
      </c>
      <c r="D12" s="23">
        <f>D8*D10</f>
        <v>35.539983424000006</v>
      </c>
      <c r="E12" s="23">
        <f>E8*E10</f>
        <v>33.820464736226015</v>
      </c>
      <c r="F12" s="23">
        <f>F8*F10</f>
        <v>4504.5971077911954</v>
      </c>
      <c r="G12" s="23"/>
      <c r="H12" s="23"/>
      <c r="I12" s="23"/>
      <c r="J12" s="23">
        <f>J8*J10</f>
        <v>465.5864485076429</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0.70966010455854189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69.739278222065991</v>
      </c>
      <c r="C26" s="247">
        <f>B26*'GWP N2O_CH4'!B5</f>
        <v>1464.5248426633857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23.684252931193846</v>
      </c>
      <c r="C27" s="247">
        <f>B27*'GWP N2O_CH4'!B5</f>
        <v>497.36931155507079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1.1117867703839195</v>
      </c>
      <c r="C28" s="247">
        <f>B28*'GWP N2O_CH4'!B4</f>
        <v>344.65389881901507</v>
      </c>
      <c r="D28" s="50"/>
    </row>
    <row r="29" spans="1:4">
      <c r="A29" s="41" t="s">
        <v>276</v>
      </c>
      <c r="B29" s="247">
        <f>B34*'ha_N2O bodem landbouw'!B4</f>
        <v>8.9331140793706343</v>
      </c>
      <c r="C29" s="247">
        <f>B29*'GWP N2O_CH4'!B4</f>
        <v>2769.2653646048966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1.9588710805033735E-3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4.6729425257543155E-5</v>
      </c>
      <c r="C5" s="437" t="s">
        <v>210</v>
      </c>
      <c r="D5" s="422">
        <f>SUM(D6:D11)</f>
        <v>2.1552019524277084E-4</v>
      </c>
      <c r="E5" s="422">
        <f>SUM(E6:E11)</f>
        <v>1.7754919194599907E-4</v>
      </c>
      <c r="F5" s="435" t="s">
        <v>210</v>
      </c>
      <c r="G5" s="422">
        <f>SUM(G6:G11)</f>
        <v>6.5546324029556235E-2</v>
      </c>
      <c r="H5" s="422">
        <f>SUM(H6:H11)</f>
        <v>1.9941694294965333E-2</v>
      </c>
      <c r="I5" s="437" t="s">
        <v>210</v>
      </c>
      <c r="J5" s="437" t="s">
        <v>210</v>
      </c>
      <c r="K5" s="437" t="s">
        <v>210</v>
      </c>
      <c r="L5" s="437" t="s">
        <v>210</v>
      </c>
      <c r="M5" s="422">
        <f>SUM(M6:M11)</f>
        <v>5.0985602552116645E-3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1.7673280049389201E-5</v>
      </c>
      <c r="C6" s="423"/>
      <c r="D6" s="890">
        <f>vkm_GW_PW*SUMIFS(TableVerdeelsleutelVkm[CNG],TableVerdeelsleutelVkm[Voertuigtype],"Lichte voertuigen")*SUMIFS(TableECFTransport[EnergieConsumptieFactor (PJ per km)],TableECFTransport[Index],CONCATENATE($A6,"_CNG_CNG"))</f>
        <v>5.6932746846967065E-5</v>
      </c>
      <c r="E6" s="890">
        <f>vkm_GW_PW*SUMIFS(TableVerdeelsleutelVkm[LPG],TableVerdeelsleutelVkm[Voertuigtype],"Lichte voertuigen")*SUMIFS(TableECFTransport[EnergieConsumptieFactor (PJ per km)],TableECFTransport[Index],CONCATENATE($A6,"_LPG_LPG"))</f>
        <v>4.8687553298079123E-5</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1.572848679597609E-2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5.3334334095157358E-3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1.2597488930620596E-3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9.4653701522061338E-3</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1.3534629434343436E-7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5.4560671222382518E-4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2.9056145208153953E-5</v>
      </c>
      <c r="C8" s="423"/>
      <c r="D8" s="425">
        <f>vkm_NGW_PW*SUMIFS(TableVerdeelsleutelVkm[CNG],TableVerdeelsleutelVkm[Voertuigtype],"Lichte voertuigen")*SUMIFS(TableECFTransport[EnergieConsumptieFactor (PJ per km)],TableECFTransport[Index],CONCATENATE($A8,"_CNG_CNG"))</f>
        <v>1.5858744839580377E-4</v>
      </c>
      <c r="E8" s="425">
        <f>vkm_NGW_PW*SUMIFS(TableVerdeelsleutelVkm[LPG],TableVerdeelsleutelVkm[Voertuigtype],"Lichte voertuigen")*SUMIFS(TableECFTransport[EnergieConsumptieFactor (PJ per km)],TableECFTransport[Index],CONCATENATE($A8,"_LPG_LPG"))</f>
        <v>1.2886163864791995E-4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3.8899477291378708E-2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1.460809919665818E-2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3.2094504535433344E-3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1.4529897899953038E-3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2.6342497072220009E-8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8.3754196382444931E-5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12.980395904873099</v>
      </c>
      <c r="C14" s="21"/>
      <c r="D14" s="21">
        <f t="shared" ref="D14:M14" si="0">((D5)*10^9/3600)+D12</f>
        <v>59.866720900769678</v>
      </c>
      <c r="E14" s="21">
        <f t="shared" si="0"/>
        <v>49.319219984999741</v>
      </c>
      <c r="F14" s="21"/>
      <c r="G14" s="21">
        <f t="shared" si="0"/>
        <v>18207.31223043229</v>
      </c>
      <c r="H14" s="21">
        <f t="shared" si="0"/>
        <v>5539.3595263792595</v>
      </c>
      <c r="I14" s="21"/>
      <c r="J14" s="21"/>
      <c r="K14" s="21"/>
      <c r="L14" s="21"/>
      <c r="M14" s="21">
        <f t="shared" si="0"/>
        <v>1416.2667375587957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0.1710243853835379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2.2199642316659141</v>
      </c>
      <c r="C18" s="23"/>
      <c r="D18" s="23">
        <f t="shared" ref="D18:M18" si="1">D14*D16</f>
        <v>12.093077621955477</v>
      </c>
      <c r="E18" s="23">
        <f t="shared" si="1"/>
        <v>11.195462936594941</v>
      </c>
      <c r="F18" s="23"/>
      <c r="G18" s="23">
        <f t="shared" si="1"/>
        <v>4861.3523655254212</v>
      </c>
      <c r="H18" s="23">
        <f t="shared" si="1"/>
        <v>1379.3005220684356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3.1918879992768297E-3</v>
      </c>
      <c r="H50" s="319">
        <f t="shared" si="2"/>
        <v>0</v>
      </c>
      <c r="I50" s="319">
        <f t="shared" si="2"/>
        <v>0</v>
      </c>
      <c r="J50" s="319">
        <f t="shared" si="2"/>
        <v>0</v>
      </c>
      <c r="K50" s="319">
        <f t="shared" si="2"/>
        <v>0</v>
      </c>
      <c r="L50" s="319">
        <f t="shared" si="2"/>
        <v>0</v>
      </c>
      <c r="M50" s="319">
        <f t="shared" si="2"/>
        <v>1.7737757702194319E-4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3.1918879992768297E-3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1.7737757702194319E-4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886.63555535467492</v>
      </c>
      <c r="H54" s="21">
        <f t="shared" si="3"/>
        <v>0</v>
      </c>
      <c r="I54" s="21">
        <f t="shared" si="3"/>
        <v>0</v>
      </c>
      <c r="J54" s="21">
        <f t="shared" si="3"/>
        <v>0</v>
      </c>
      <c r="K54" s="21">
        <f t="shared" si="3"/>
        <v>0</v>
      </c>
      <c r="L54" s="21">
        <f t="shared" si="3"/>
        <v>0</v>
      </c>
      <c r="M54" s="21">
        <f t="shared" si="3"/>
        <v>49.271549172761993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0.1710243853835379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236.73169327969822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5111.8856660000001</v>
      </c>
      <c r="D10" s="686">
        <f ca="1">tertiair!C16</f>
        <v>0</v>
      </c>
      <c r="E10" s="686">
        <f ca="1">tertiair!D16</f>
        <v>2742.122394</v>
      </c>
      <c r="F10" s="686">
        <f>tertiair!E16</f>
        <v>60.180882435039678</v>
      </c>
      <c r="G10" s="686">
        <f ca="1">tertiair!F16</f>
        <v>539.19784624587885</v>
      </c>
      <c r="H10" s="686">
        <f>tertiair!G16</f>
        <v>0</v>
      </c>
      <c r="I10" s="686">
        <f>tertiair!H16</f>
        <v>0</v>
      </c>
      <c r="J10" s="686">
        <f>tertiair!I16</f>
        <v>0</v>
      </c>
      <c r="K10" s="686">
        <f>tertiair!J16</f>
        <v>2.2630303090791157E-2</v>
      </c>
      <c r="L10" s="686">
        <f>tertiair!K16</f>
        <v>0</v>
      </c>
      <c r="M10" s="686">
        <f ca="1">tertiair!L16</f>
        <v>0</v>
      </c>
      <c r="N10" s="686">
        <f>tertiair!M16</f>
        <v>0</v>
      </c>
      <c r="O10" s="686">
        <f ca="1">tertiair!N16</f>
        <v>886.8487214547913</v>
      </c>
      <c r="P10" s="686">
        <f>tertiair!O16</f>
        <v>4.8972607658411542</v>
      </c>
      <c r="Q10" s="687">
        <f>tertiair!P16</f>
        <v>0</v>
      </c>
      <c r="R10" s="689">
        <f ca="1">SUM(C10:Q10)</f>
        <v>9345.1554012046417</v>
      </c>
      <c r="S10" s="67"/>
    </row>
    <row r="11" spans="1:19" s="448" customFormat="1">
      <c r="A11" s="808" t="s">
        <v>224</v>
      </c>
      <c r="B11" s="813"/>
      <c r="C11" s="686">
        <f>huishoudens!B8</f>
        <v>12443.588541812327</v>
      </c>
      <c r="D11" s="686">
        <f>huishoudens!C8</f>
        <v>0</v>
      </c>
      <c r="E11" s="686">
        <f>huishoudens!D8</f>
        <v>14761.7745825</v>
      </c>
      <c r="F11" s="686">
        <f>huishoudens!E8</f>
        <v>4504.8260862177985</v>
      </c>
      <c r="G11" s="686">
        <f>huishoudens!F8</f>
        <v>27044.37826046941</v>
      </c>
      <c r="H11" s="686">
        <f>huishoudens!G8</f>
        <v>0</v>
      </c>
      <c r="I11" s="686">
        <f>huishoudens!H8</f>
        <v>0</v>
      </c>
      <c r="J11" s="686">
        <f>huishoudens!I8</f>
        <v>0</v>
      </c>
      <c r="K11" s="686">
        <f>huishoudens!J8</f>
        <v>0</v>
      </c>
      <c r="L11" s="686">
        <f>huishoudens!K8</f>
        <v>0</v>
      </c>
      <c r="M11" s="686">
        <f>huishoudens!L8</f>
        <v>0</v>
      </c>
      <c r="N11" s="686">
        <f>huishoudens!M8</f>
        <v>0</v>
      </c>
      <c r="O11" s="686">
        <f>huishoudens!N8</f>
        <v>6182.7745127936169</v>
      </c>
      <c r="P11" s="686">
        <f>huishoudens!O8</f>
        <v>186.49207262238099</v>
      </c>
      <c r="Q11" s="687">
        <f>huishoudens!P8</f>
        <v>421.35837230740083</v>
      </c>
      <c r="R11" s="689">
        <f>SUM(C11:Q11)</f>
        <v>65545.192428722934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1293.8152219999999</v>
      </c>
      <c r="D13" s="686">
        <f>industrie!C18</f>
        <v>0</v>
      </c>
      <c r="E13" s="686">
        <f>industrie!D18</f>
        <v>723.67279600000006</v>
      </c>
      <c r="F13" s="686">
        <f>industrie!E18</f>
        <v>166.45598386958744</v>
      </c>
      <c r="G13" s="686">
        <f>industrie!F18</f>
        <v>537.31432011045843</v>
      </c>
      <c r="H13" s="686">
        <f>industrie!G18</f>
        <v>0</v>
      </c>
      <c r="I13" s="686">
        <f>industrie!H18</f>
        <v>0</v>
      </c>
      <c r="J13" s="686">
        <f>industrie!I18</f>
        <v>0</v>
      </c>
      <c r="K13" s="686">
        <f>industrie!J18</f>
        <v>0.35872556257802413</v>
      </c>
      <c r="L13" s="686">
        <f>industrie!K18</f>
        <v>0</v>
      </c>
      <c r="M13" s="686">
        <f>industrie!L18</f>
        <v>0</v>
      </c>
      <c r="N13" s="686">
        <f>industrie!M18</f>
        <v>0</v>
      </c>
      <c r="O13" s="686">
        <f>industrie!N18</f>
        <v>73.391341437211622</v>
      </c>
      <c r="P13" s="686">
        <f>industrie!O18</f>
        <v>0</v>
      </c>
      <c r="Q13" s="687">
        <f>industrie!P18</f>
        <v>0</v>
      </c>
      <c r="R13" s="689">
        <f>SUM(C13:Q13)</f>
        <v>2795.0083889798352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18849.289429812328</v>
      </c>
      <c r="D16" s="722">
        <f t="shared" ref="D16:R16" ca="1" si="0">SUM(D9:D15)</f>
        <v>0</v>
      </c>
      <c r="E16" s="722">
        <f t="shared" ca="1" si="0"/>
        <v>18227.569772499999</v>
      </c>
      <c r="F16" s="722">
        <f t="shared" si="0"/>
        <v>4731.4629525224263</v>
      </c>
      <c r="G16" s="722">
        <f t="shared" ca="1" si="0"/>
        <v>28120.890426825747</v>
      </c>
      <c r="H16" s="722">
        <f t="shared" si="0"/>
        <v>0</v>
      </c>
      <c r="I16" s="722">
        <f t="shared" si="0"/>
        <v>0</v>
      </c>
      <c r="J16" s="722">
        <f t="shared" si="0"/>
        <v>0</v>
      </c>
      <c r="K16" s="722">
        <f t="shared" si="0"/>
        <v>0.3813558656688153</v>
      </c>
      <c r="L16" s="722">
        <f t="shared" si="0"/>
        <v>0</v>
      </c>
      <c r="M16" s="722">
        <f t="shared" ca="1" si="0"/>
        <v>0</v>
      </c>
      <c r="N16" s="722">
        <f t="shared" si="0"/>
        <v>0</v>
      </c>
      <c r="O16" s="722">
        <f t="shared" ca="1" si="0"/>
        <v>7143.01457568562</v>
      </c>
      <c r="P16" s="722">
        <f t="shared" si="0"/>
        <v>191.38933338822216</v>
      </c>
      <c r="Q16" s="722">
        <f t="shared" si="0"/>
        <v>421.35837230740083</v>
      </c>
      <c r="R16" s="722">
        <f t="shared" ca="1" si="0"/>
        <v>77685.356218907415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886.63555535467492</v>
      </c>
      <c r="I19" s="686">
        <f>transport!H54</f>
        <v>0</v>
      </c>
      <c r="J19" s="686">
        <f>transport!I54</f>
        <v>0</v>
      </c>
      <c r="K19" s="686">
        <f>transport!J54</f>
        <v>0</v>
      </c>
      <c r="L19" s="686">
        <f>transport!K54</f>
        <v>0</v>
      </c>
      <c r="M19" s="686">
        <f>transport!L54</f>
        <v>0</v>
      </c>
      <c r="N19" s="686">
        <f>transport!M54</f>
        <v>49.271549172761993</v>
      </c>
      <c r="O19" s="686">
        <f>transport!N54</f>
        <v>0</v>
      </c>
      <c r="P19" s="686">
        <f>transport!O54</f>
        <v>0</v>
      </c>
      <c r="Q19" s="687">
        <f>transport!P54</f>
        <v>0</v>
      </c>
      <c r="R19" s="689">
        <f>SUM(C19:Q19)</f>
        <v>935.9071045274369</v>
      </c>
      <c r="S19" s="67"/>
    </row>
    <row r="20" spans="1:19" s="448" customFormat="1">
      <c r="A20" s="808" t="s">
        <v>306</v>
      </c>
      <c r="B20" s="813"/>
      <c r="C20" s="686">
        <f>transport!B14</f>
        <v>12.980395904873099</v>
      </c>
      <c r="D20" s="686">
        <f>transport!C14</f>
        <v>0</v>
      </c>
      <c r="E20" s="686">
        <f>transport!D14</f>
        <v>59.866720900769678</v>
      </c>
      <c r="F20" s="686">
        <f>transport!E14</f>
        <v>49.319219984999741</v>
      </c>
      <c r="G20" s="686">
        <f>transport!F14</f>
        <v>0</v>
      </c>
      <c r="H20" s="686">
        <f>transport!G14</f>
        <v>18207.31223043229</v>
      </c>
      <c r="I20" s="686">
        <f>transport!H14</f>
        <v>5539.3595263792595</v>
      </c>
      <c r="J20" s="686">
        <f>transport!I14</f>
        <v>0</v>
      </c>
      <c r="K20" s="686">
        <f>transport!J14</f>
        <v>0</v>
      </c>
      <c r="L20" s="686">
        <f>transport!K14</f>
        <v>0</v>
      </c>
      <c r="M20" s="686">
        <f>transport!L14</f>
        <v>0</v>
      </c>
      <c r="N20" s="686">
        <f>transport!M14</f>
        <v>1416.2667375587957</v>
      </c>
      <c r="O20" s="686">
        <f>transport!N14</f>
        <v>0</v>
      </c>
      <c r="P20" s="686">
        <f>transport!O14</f>
        <v>0</v>
      </c>
      <c r="Q20" s="687">
        <f>transport!P14</f>
        <v>0</v>
      </c>
      <c r="R20" s="689">
        <f>SUM(C20:Q20)</f>
        <v>25285.104831160988</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12.980395904873099</v>
      </c>
      <c r="D22" s="811">
        <f t="shared" ref="D22:R22" si="1">SUM(D18:D21)</f>
        <v>0</v>
      </c>
      <c r="E22" s="811">
        <f t="shared" si="1"/>
        <v>59.866720900769678</v>
      </c>
      <c r="F22" s="811">
        <f t="shared" si="1"/>
        <v>49.319219984999741</v>
      </c>
      <c r="G22" s="811">
        <f t="shared" si="1"/>
        <v>0</v>
      </c>
      <c r="H22" s="811">
        <f t="shared" si="1"/>
        <v>19093.947785786964</v>
      </c>
      <c r="I22" s="811">
        <f t="shared" si="1"/>
        <v>5539.3595263792595</v>
      </c>
      <c r="J22" s="811">
        <f t="shared" si="1"/>
        <v>0</v>
      </c>
      <c r="K22" s="811">
        <f t="shared" si="1"/>
        <v>0</v>
      </c>
      <c r="L22" s="811">
        <f t="shared" si="1"/>
        <v>0</v>
      </c>
      <c r="M22" s="811">
        <f t="shared" si="1"/>
        <v>0</v>
      </c>
      <c r="N22" s="811">
        <f t="shared" si="1"/>
        <v>1465.5382867315577</v>
      </c>
      <c r="O22" s="811">
        <f t="shared" si="1"/>
        <v>0</v>
      </c>
      <c r="P22" s="811">
        <f t="shared" si="1"/>
        <v>0</v>
      </c>
      <c r="Q22" s="811">
        <f t="shared" si="1"/>
        <v>0</v>
      </c>
      <c r="R22" s="811">
        <f t="shared" si="1"/>
        <v>26221.011935688424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4773.803449</v>
      </c>
      <c r="D24" s="686">
        <f>+landbouw!C8</f>
        <v>0</v>
      </c>
      <c r="E24" s="686">
        <f>+landbouw!D8</f>
        <v>175.94051200000001</v>
      </c>
      <c r="F24" s="686">
        <f>+landbouw!E8</f>
        <v>148.98883143711899</v>
      </c>
      <c r="G24" s="686">
        <f>+landbouw!F8</f>
        <v>16871.150216446425</v>
      </c>
      <c r="H24" s="686">
        <f>+landbouw!G8</f>
        <v>0</v>
      </c>
      <c r="I24" s="686">
        <f>+landbouw!H8</f>
        <v>0</v>
      </c>
      <c r="J24" s="686">
        <f>+landbouw!I8</f>
        <v>0</v>
      </c>
      <c r="K24" s="686">
        <f>+landbouw!J8</f>
        <v>1315.2159562362795</v>
      </c>
      <c r="L24" s="686">
        <f>+landbouw!K8</f>
        <v>0</v>
      </c>
      <c r="M24" s="686">
        <f>+landbouw!L8</f>
        <v>0</v>
      </c>
      <c r="N24" s="686">
        <f>+landbouw!M8</f>
        <v>0</v>
      </c>
      <c r="O24" s="686">
        <f>+landbouw!N8</f>
        <v>0</v>
      </c>
      <c r="P24" s="686">
        <f>+landbouw!O8</f>
        <v>0</v>
      </c>
      <c r="Q24" s="687">
        <f>+landbouw!P8</f>
        <v>0</v>
      </c>
      <c r="R24" s="689">
        <f>SUM(C24:Q24)</f>
        <v>23285.098965119825</v>
      </c>
      <c r="S24" s="67"/>
    </row>
    <row r="25" spans="1:19" s="448" customFormat="1" ht="15" thickBot="1">
      <c r="A25" s="830" t="s">
        <v>724</v>
      </c>
      <c r="B25" s="949"/>
      <c r="C25" s="950">
        <f>IF(Onbekend_ele_kWh="---",0,Onbekend_ele_kWh)/1000+IF(REST_rest_ele_kWh="---",0,REST_rest_ele_kWh)/1000</f>
        <v>165.32458300000002</v>
      </c>
      <c r="D25" s="950"/>
      <c r="E25" s="950">
        <f>IF(onbekend_gas_kWh="---",0,onbekend_gas_kWh)/1000+IF(REST_rest_gas_kWh="---",0,REST_rest_gas_kWh)/1000</f>
        <v>369.17245000000003</v>
      </c>
      <c r="F25" s="950"/>
      <c r="G25" s="950"/>
      <c r="H25" s="950"/>
      <c r="I25" s="950"/>
      <c r="J25" s="950"/>
      <c r="K25" s="950"/>
      <c r="L25" s="950"/>
      <c r="M25" s="950"/>
      <c r="N25" s="950"/>
      <c r="O25" s="950"/>
      <c r="P25" s="950"/>
      <c r="Q25" s="951"/>
      <c r="R25" s="689">
        <f>SUM(C25:Q25)</f>
        <v>534.4970330000001</v>
      </c>
      <c r="S25" s="67"/>
    </row>
    <row r="26" spans="1:19" s="448" customFormat="1" ht="15.75" thickBot="1">
      <c r="A26" s="694" t="s">
        <v>725</v>
      </c>
      <c r="B26" s="816"/>
      <c r="C26" s="811">
        <f>SUM(C24:C25)</f>
        <v>4939.1280319999996</v>
      </c>
      <c r="D26" s="811">
        <f t="shared" ref="D26:R26" si="2">SUM(D24:D25)</f>
        <v>0</v>
      </c>
      <c r="E26" s="811">
        <f t="shared" si="2"/>
        <v>545.11296200000004</v>
      </c>
      <c r="F26" s="811">
        <f t="shared" si="2"/>
        <v>148.98883143711899</v>
      </c>
      <c r="G26" s="811">
        <f t="shared" si="2"/>
        <v>16871.150216446425</v>
      </c>
      <c r="H26" s="811">
        <f t="shared" si="2"/>
        <v>0</v>
      </c>
      <c r="I26" s="811">
        <f t="shared" si="2"/>
        <v>0</v>
      </c>
      <c r="J26" s="811">
        <f t="shared" si="2"/>
        <v>0</v>
      </c>
      <c r="K26" s="811">
        <f t="shared" si="2"/>
        <v>1315.2159562362795</v>
      </c>
      <c r="L26" s="811">
        <f t="shared" si="2"/>
        <v>0</v>
      </c>
      <c r="M26" s="811">
        <f t="shared" si="2"/>
        <v>0</v>
      </c>
      <c r="N26" s="811">
        <f t="shared" si="2"/>
        <v>0</v>
      </c>
      <c r="O26" s="811">
        <f t="shared" si="2"/>
        <v>0</v>
      </c>
      <c r="P26" s="811">
        <f t="shared" si="2"/>
        <v>0</v>
      </c>
      <c r="Q26" s="811">
        <f t="shared" si="2"/>
        <v>0</v>
      </c>
      <c r="R26" s="811">
        <f t="shared" si="2"/>
        <v>23819.595998119825</v>
      </c>
      <c r="S26" s="67"/>
    </row>
    <row r="27" spans="1:19" s="448" customFormat="1" ht="17.25" thickTop="1" thickBot="1">
      <c r="A27" s="695" t="s">
        <v>115</v>
      </c>
      <c r="B27" s="803"/>
      <c r="C27" s="696">
        <f ca="1">C22+C16+C26</f>
        <v>23801.397857717202</v>
      </c>
      <c r="D27" s="696">
        <f t="shared" ref="D27:R27" ca="1" si="3">D22+D16+D26</f>
        <v>0</v>
      </c>
      <c r="E27" s="696">
        <f t="shared" ca="1" si="3"/>
        <v>18832.549455400767</v>
      </c>
      <c r="F27" s="696">
        <f t="shared" si="3"/>
        <v>4929.7710039445456</v>
      </c>
      <c r="G27" s="696">
        <f t="shared" ca="1" si="3"/>
        <v>44992.040643272172</v>
      </c>
      <c r="H27" s="696">
        <f t="shared" si="3"/>
        <v>19093.947785786964</v>
      </c>
      <c r="I27" s="696">
        <f t="shared" si="3"/>
        <v>5539.3595263792595</v>
      </c>
      <c r="J27" s="696">
        <f t="shared" si="3"/>
        <v>0</v>
      </c>
      <c r="K27" s="696">
        <f t="shared" si="3"/>
        <v>1315.5973121019483</v>
      </c>
      <c r="L27" s="696">
        <f t="shared" si="3"/>
        <v>0</v>
      </c>
      <c r="M27" s="696">
        <f t="shared" ca="1" si="3"/>
        <v>0</v>
      </c>
      <c r="N27" s="696">
        <f t="shared" si="3"/>
        <v>1465.5382867315577</v>
      </c>
      <c r="O27" s="696">
        <f t="shared" ca="1" si="3"/>
        <v>7143.01457568562</v>
      </c>
      <c r="P27" s="696">
        <f t="shared" si="3"/>
        <v>191.38933338822216</v>
      </c>
      <c r="Q27" s="696">
        <f t="shared" si="3"/>
        <v>421.35837230740083</v>
      </c>
      <c r="R27" s="696">
        <f t="shared" ca="1" si="3"/>
        <v>127725.96415271566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874.25710417856737</v>
      </c>
      <c r="D40" s="686">
        <f ca="1">tertiair!C20</f>
        <v>0</v>
      </c>
      <c r="E40" s="686">
        <f ca="1">tertiair!D20</f>
        <v>553.90872358800004</v>
      </c>
      <c r="F40" s="686">
        <f>tertiair!E20</f>
        <v>13.661060312754007</v>
      </c>
      <c r="G40" s="686">
        <f ca="1">tertiair!F20</f>
        <v>143.96582494764965</v>
      </c>
      <c r="H40" s="686">
        <f>tertiair!G20</f>
        <v>0</v>
      </c>
      <c r="I40" s="686">
        <f>tertiair!H20</f>
        <v>0</v>
      </c>
      <c r="J40" s="686">
        <f>tertiair!I20</f>
        <v>0</v>
      </c>
      <c r="K40" s="686">
        <f>tertiair!J20</f>
        <v>8.0111272941400698E-3</v>
      </c>
      <c r="L40" s="686">
        <f>tertiair!K20</f>
        <v>0</v>
      </c>
      <c r="M40" s="686">
        <f ca="1">tertiair!L20</f>
        <v>0</v>
      </c>
      <c r="N40" s="686">
        <f>tertiair!M20</f>
        <v>0</v>
      </c>
      <c r="O40" s="686">
        <f ca="1">tertiair!N20</f>
        <v>0</v>
      </c>
      <c r="P40" s="686">
        <f>tertiair!O20</f>
        <v>0</v>
      </c>
      <c r="Q40" s="769">
        <f>tertiair!P20</f>
        <v>0</v>
      </c>
      <c r="R40" s="849">
        <f t="shared" ca="1" si="4"/>
        <v>1585.8007241542653</v>
      </c>
    </row>
    <row r="41" spans="1:18">
      <c r="A41" s="821" t="s">
        <v>224</v>
      </c>
      <c r="B41" s="828"/>
      <c r="C41" s="686">
        <f ca="1">huishoudens!B12</f>
        <v>2128.1570823290876</v>
      </c>
      <c r="D41" s="686">
        <f ca="1">huishoudens!C12</f>
        <v>0</v>
      </c>
      <c r="E41" s="686">
        <f>huishoudens!D12</f>
        <v>2981.878465665</v>
      </c>
      <c r="F41" s="686">
        <f>huishoudens!E12</f>
        <v>1022.5955215714403</v>
      </c>
      <c r="G41" s="686">
        <f>huishoudens!F12</f>
        <v>7220.8489955453324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13353.48006511086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221.27395314241562</v>
      </c>
      <c r="D43" s="686">
        <f ca="1">industrie!C22</f>
        <v>0</v>
      </c>
      <c r="E43" s="686">
        <f>industrie!D22</f>
        <v>146.18190479200001</v>
      </c>
      <c r="F43" s="686">
        <f>industrie!E22</f>
        <v>37.785508338396347</v>
      </c>
      <c r="G43" s="686">
        <f>industrie!F22</f>
        <v>143.46292346949241</v>
      </c>
      <c r="H43" s="686">
        <f>industrie!G22</f>
        <v>0</v>
      </c>
      <c r="I43" s="686">
        <f>industrie!H22</f>
        <v>0</v>
      </c>
      <c r="J43" s="686">
        <f>industrie!I22</f>
        <v>0</v>
      </c>
      <c r="K43" s="686">
        <f>industrie!J22</f>
        <v>0.12698884915262054</v>
      </c>
      <c r="L43" s="686">
        <f>industrie!K22</f>
        <v>0</v>
      </c>
      <c r="M43" s="686">
        <f>industrie!L22</f>
        <v>0</v>
      </c>
      <c r="N43" s="686">
        <f>industrie!M22</f>
        <v>0</v>
      </c>
      <c r="O43" s="686">
        <f>industrie!N22</f>
        <v>0</v>
      </c>
      <c r="P43" s="686">
        <f>industrie!O22</f>
        <v>0</v>
      </c>
      <c r="Q43" s="769">
        <f>industrie!P22</f>
        <v>0</v>
      </c>
      <c r="R43" s="848">
        <f t="shared" ca="1" si="4"/>
        <v>548.83127859145702</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3223.6881396500703</v>
      </c>
      <c r="D46" s="722">
        <f t="shared" ref="D46:Q46" ca="1" si="5">SUM(D39:D45)</f>
        <v>0</v>
      </c>
      <c r="E46" s="722">
        <f t="shared" ca="1" si="5"/>
        <v>3681.969094045</v>
      </c>
      <c r="F46" s="722">
        <f t="shared" si="5"/>
        <v>1074.0420902225906</v>
      </c>
      <c r="G46" s="722">
        <f t="shared" ca="1" si="5"/>
        <v>7508.2777439624742</v>
      </c>
      <c r="H46" s="722">
        <f t="shared" si="5"/>
        <v>0</v>
      </c>
      <c r="I46" s="722">
        <f t="shared" si="5"/>
        <v>0</v>
      </c>
      <c r="J46" s="722">
        <f t="shared" si="5"/>
        <v>0</v>
      </c>
      <c r="K46" s="722">
        <f t="shared" si="5"/>
        <v>0.13499997644676062</v>
      </c>
      <c r="L46" s="722">
        <f t="shared" si="5"/>
        <v>0</v>
      </c>
      <c r="M46" s="722">
        <f t="shared" ca="1" si="5"/>
        <v>0</v>
      </c>
      <c r="N46" s="722">
        <f t="shared" si="5"/>
        <v>0</v>
      </c>
      <c r="O46" s="722">
        <f t="shared" ca="1" si="5"/>
        <v>0</v>
      </c>
      <c r="P46" s="722">
        <f t="shared" si="5"/>
        <v>0</v>
      </c>
      <c r="Q46" s="722">
        <f t="shared" si="5"/>
        <v>0</v>
      </c>
      <c r="R46" s="722">
        <f ca="1">SUM(R39:R45)</f>
        <v>15488.112067856582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236.73169327969822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236.73169327969822</v>
      </c>
    </row>
    <row r="50" spans="1:18">
      <c r="A50" s="824" t="s">
        <v>306</v>
      </c>
      <c r="B50" s="834"/>
      <c r="C50" s="692">
        <f ca="1">transport!B18</f>
        <v>2.2199642316659141</v>
      </c>
      <c r="D50" s="692">
        <f>transport!C18</f>
        <v>0</v>
      </c>
      <c r="E50" s="692">
        <f>transport!D18</f>
        <v>12.093077621955477</v>
      </c>
      <c r="F50" s="692">
        <f>transport!E18</f>
        <v>11.195462936594941</v>
      </c>
      <c r="G50" s="692">
        <f>transport!F18</f>
        <v>0</v>
      </c>
      <c r="H50" s="692">
        <f>transport!G18</f>
        <v>4861.3523655254212</v>
      </c>
      <c r="I50" s="692">
        <f>transport!H18</f>
        <v>1379.3005220684356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6266.1613923840732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2.2199642316659141</v>
      </c>
      <c r="D52" s="722">
        <f t="shared" ref="D52:Q52" ca="1" si="6">SUM(D48:D51)</f>
        <v>0</v>
      </c>
      <c r="E52" s="722">
        <f t="shared" si="6"/>
        <v>12.093077621955477</v>
      </c>
      <c r="F52" s="722">
        <f t="shared" si="6"/>
        <v>11.195462936594941</v>
      </c>
      <c r="G52" s="722">
        <f t="shared" si="6"/>
        <v>0</v>
      </c>
      <c r="H52" s="722">
        <f t="shared" si="6"/>
        <v>5098.0840588051196</v>
      </c>
      <c r="I52" s="722">
        <f t="shared" si="6"/>
        <v>1379.3005220684356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6502.8930856637717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816.43680080703837</v>
      </c>
      <c r="D54" s="692">
        <f ca="1">+landbouw!C12</f>
        <v>0</v>
      </c>
      <c r="E54" s="692">
        <f>+landbouw!D12</f>
        <v>35.539983424000006</v>
      </c>
      <c r="F54" s="692">
        <f>+landbouw!E12</f>
        <v>33.820464736226015</v>
      </c>
      <c r="G54" s="692">
        <f>+landbouw!F12</f>
        <v>4504.5971077911954</v>
      </c>
      <c r="H54" s="692">
        <f>+landbouw!G12</f>
        <v>0</v>
      </c>
      <c r="I54" s="692">
        <f>+landbouw!H12</f>
        <v>0</v>
      </c>
      <c r="J54" s="692">
        <f>+landbouw!I12</f>
        <v>0</v>
      </c>
      <c r="K54" s="692">
        <f>+landbouw!J12</f>
        <v>465.5864485076429</v>
      </c>
      <c r="L54" s="692">
        <f>+landbouw!K12</f>
        <v>0</v>
      </c>
      <c r="M54" s="692">
        <f>+landbouw!L12</f>
        <v>0</v>
      </c>
      <c r="N54" s="692">
        <f>+landbouw!M12</f>
        <v>0</v>
      </c>
      <c r="O54" s="692">
        <f>+landbouw!N12</f>
        <v>0</v>
      </c>
      <c r="P54" s="692">
        <f>+landbouw!O12</f>
        <v>0</v>
      </c>
      <c r="Q54" s="693">
        <f>+landbouw!P12</f>
        <v>0</v>
      </c>
      <c r="R54" s="721">
        <f ca="1">SUM(C54:Q54)</f>
        <v>5855.9808052661019</v>
      </c>
    </row>
    <row r="55" spans="1:18" ht="15" thickBot="1">
      <c r="A55" s="824" t="s">
        <v>724</v>
      </c>
      <c r="B55" s="834"/>
      <c r="C55" s="692">
        <f ca="1">C25*'EF ele_warmte'!B12</f>
        <v>28.274535196364702</v>
      </c>
      <c r="D55" s="692"/>
      <c r="E55" s="692">
        <f>E25*EF_CO2_aardgas</f>
        <v>74.572834900000004</v>
      </c>
      <c r="F55" s="692"/>
      <c r="G55" s="692"/>
      <c r="H55" s="692"/>
      <c r="I55" s="692"/>
      <c r="J55" s="692"/>
      <c r="K55" s="692"/>
      <c r="L55" s="692"/>
      <c r="M55" s="692"/>
      <c r="N55" s="692"/>
      <c r="O55" s="692"/>
      <c r="P55" s="692"/>
      <c r="Q55" s="693"/>
      <c r="R55" s="721">
        <f ca="1">SUM(C55:Q55)</f>
        <v>102.8473700963647</v>
      </c>
    </row>
    <row r="56" spans="1:18" ht="15.75" thickBot="1">
      <c r="A56" s="822" t="s">
        <v>725</v>
      </c>
      <c r="B56" s="835"/>
      <c r="C56" s="722">
        <f ca="1">SUM(C54:C55)</f>
        <v>844.71133600340306</v>
      </c>
      <c r="D56" s="722">
        <f t="shared" ref="D56:Q56" ca="1" si="7">SUM(D54:D55)</f>
        <v>0</v>
      </c>
      <c r="E56" s="722">
        <f t="shared" si="7"/>
        <v>110.11281832400002</v>
      </c>
      <c r="F56" s="722">
        <f t="shared" si="7"/>
        <v>33.820464736226015</v>
      </c>
      <c r="G56" s="722">
        <f t="shared" si="7"/>
        <v>4504.5971077911954</v>
      </c>
      <c r="H56" s="722">
        <f t="shared" si="7"/>
        <v>0</v>
      </c>
      <c r="I56" s="722">
        <f t="shared" si="7"/>
        <v>0</v>
      </c>
      <c r="J56" s="722">
        <f t="shared" si="7"/>
        <v>0</v>
      </c>
      <c r="K56" s="722">
        <f t="shared" si="7"/>
        <v>465.5864485076429</v>
      </c>
      <c r="L56" s="722">
        <f t="shared" si="7"/>
        <v>0</v>
      </c>
      <c r="M56" s="722">
        <f t="shared" si="7"/>
        <v>0</v>
      </c>
      <c r="N56" s="722">
        <f t="shared" si="7"/>
        <v>0</v>
      </c>
      <c r="O56" s="722">
        <f t="shared" si="7"/>
        <v>0</v>
      </c>
      <c r="P56" s="722">
        <f t="shared" si="7"/>
        <v>0</v>
      </c>
      <c r="Q56" s="723">
        <f t="shared" si="7"/>
        <v>0</v>
      </c>
      <c r="R56" s="724">
        <f ca="1">SUM(R54:R55)</f>
        <v>5958.8281753624669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4070.6194398851394</v>
      </c>
      <c r="D61" s="730">
        <f t="shared" ref="D61:Q61" ca="1" si="8">D46+D52+D56</f>
        <v>0</v>
      </c>
      <c r="E61" s="730">
        <f t="shared" ca="1" si="8"/>
        <v>3804.1749899909555</v>
      </c>
      <c r="F61" s="730">
        <f t="shared" si="8"/>
        <v>1119.0580178954117</v>
      </c>
      <c r="G61" s="730">
        <f t="shared" ca="1" si="8"/>
        <v>12012.87485175367</v>
      </c>
      <c r="H61" s="730">
        <f t="shared" si="8"/>
        <v>5098.0840588051196</v>
      </c>
      <c r="I61" s="730">
        <f t="shared" si="8"/>
        <v>1379.3005220684356</v>
      </c>
      <c r="J61" s="730">
        <f t="shared" si="8"/>
        <v>0</v>
      </c>
      <c r="K61" s="730">
        <f t="shared" si="8"/>
        <v>465.72144848408965</v>
      </c>
      <c r="L61" s="730">
        <f t="shared" si="8"/>
        <v>0</v>
      </c>
      <c r="M61" s="730">
        <f t="shared" ca="1" si="8"/>
        <v>0</v>
      </c>
      <c r="N61" s="730">
        <f t="shared" si="8"/>
        <v>0</v>
      </c>
      <c r="O61" s="730">
        <f t="shared" ca="1" si="8"/>
        <v>0</v>
      </c>
      <c r="P61" s="730">
        <f t="shared" si="8"/>
        <v>0</v>
      </c>
      <c r="Q61" s="730">
        <f t="shared" si="8"/>
        <v>0</v>
      </c>
      <c r="R61" s="730">
        <f ca="1">R46+R52+R56</f>
        <v>27949.833328882822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0.17102438538353787</v>
      </c>
      <c r="D63" s="776">
        <f t="shared" ca="1" si="9"/>
        <v>0</v>
      </c>
      <c r="E63" s="975">
        <f t="shared" ca="1" si="9"/>
        <v>0.20200000000000004</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5382.3053695491462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5382.3053695491462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5382.3053695491462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5382.3053695491462</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12443.588541812327</v>
      </c>
      <c r="C4" s="452">
        <f>huishoudens!C8</f>
        <v>0</v>
      </c>
      <c r="D4" s="452">
        <f>huishoudens!D8</f>
        <v>14761.7745825</v>
      </c>
      <c r="E4" s="452">
        <f>huishoudens!E8</f>
        <v>4504.8260862177985</v>
      </c>
      <c r="F4" s="452">
        <f>huishoudens!F8</f>
        <v>27044.37826046941</v>
      </c>
      <c r="G4" s="452">
        <f>huishoudens!G8</f>
        <v>0</v>
      </c>
      <c r="H4" s="452">
        <f>huishoudens!H8</f>
        <v>0</v>
      </c>
      <c r="I4" s="452">
        <f>huishoudens!I8</f>
        <v>0</v>
      </c>
      <c r="J4" s="452">
        <f>huishoudens!J8</f>
        <v>0</v>
      </c>
      <c r="K4" s="452">
        <f>huishoudens!K8</f>
        <v>0</v>
      </c>
      <c r="L4" s="452">
        <f>huishoudens!L8</f>
        <v>0</v>
      </c>
      <c r="M4" s="452">
        <f>huishoudens!M8</f>
        <v>0</v>
      </c>
      <c r="N4" s="452">
        <f>huishoudens!N8</f>
        <v>6182.7745127936169</v>
      </c>
      <c r="O4" s="452">
        <f>huishoudens!O8</f>
        <v>186.49207262238099</v>
      </c>
      <c r="P4" s="453">
        <f>huishoudens!P8</f>
        <v>421.35837230740083</v>
      </c>
      <c r="Q4" s="454">
        <f>SUM(B4:P4)</f>
        <v>65545.192428722934</v>
      </c>
    </row>
    <row r="5" spans="1:17">
      <c r="A5" s="451" t="s">
        <v>155</v>
      </c>
      <c r="B5" s="452">
        <f ca="1">tertiair!B16</f>
        <v>4593.6756660000001</v>
      </c>
      <c r="C5" s="452">
        <f ca="1">tertiair!C16</f>
        <v>0</v>
      </c>
      <c r="D5" s="452">
        <f ca="1">tertiair!D16</f>
        <v>2742.122394</v>
      </c>
      <c r="E5" s="452">
        <f>tertiair!E16</f>
        <v>60.180882435039678</v>
      </c>
      <c r="F5" s="452">
        <f ca="1">tertiair!F16</f>
        <v>539.19784624587885</v>
      </c>
      <c r="G5" s="452">
        <f>tertiair!G16</f>
        <v>0</v>
      </c>
      <c r="H5" s="452">
        <f>tertiair!H16</f>
        <v>0</v>
      </c>
      <c r="I5" s="452">
        <f>tertiair!I16</f>
        <v>0</v>
      </c>
      <c r="J5" s="452">
        <f>tertiair!J16</f>
        <v>2.2630303090791157E-2</v>
      </c>
      <c r="K5" s="452">
        <f>tertiair!K16</f>
        <v>0</v>
      </c>
      <c r="L5" s="452">
        <f ca="1">tertiair!L16</f>
        <v>0</v>
      </c>
      <c r="M5" s="452">
        <f>tertiair!M16</f>
        <v>0</v>
      </c>
      <c r="N5" s="452">
        <f ca="1">tertiair!N16</f>
        <v>886.8487214547913</v>
      </c>
      <c r="O5" s="452">
        <f>tertiair!O16</f>
        <v>4.8972607658411542</v>
      </c>
      <c r="P5" s="453">
        <f>tertiair!P16</f>
        <v>0</v>
      </c>
      <c r="Q5" s="451">
        <f t="shared" ref="Q5:Q14" ca="1" si="0">SUM(B5:P5)</f>
        <v>8826.9454012046426</v>
      </c>
    </row>
    <row r="6" spans="1:17">
      <c r="A6" s="451" t="s">
        <v>193</v>
      </c>
      <c r="B6" s="452">
        <f>'openbare verlichting'!B8</f>
        <v>518.21</v>
      </c>
      <c r="C6" s="452"/>
      <c r="D6" s="452"/>
      <c r="E6" s="452"/>
      <c r="F6" s="452"/>
      <c r="G6" s="452"/>
      <c r="H6" s="452"/>
      <c r="I6" s="452"/>
      <c r="J6" s="452"/>
      <c r="K6" s="452"/>
      <c r="L6" s="452"/>
      <c r="M6" s="452"/>
      <c r="N6" s="452"/>
      <c r="O6" s="452"/>
      <c r="P6" s="453"/>
      <c r="Q6" s="451">
        <f t="shared" si="0"/>
        <v>518.21</v>
      </c>
    </row>
    <row r="7" spans="1:17">
      <c r="A7" s="451" t="s">
        <v>111</v>
      </c>
      <c r="B7" s="452">
        <f>landbouw!B8</f>
        <v>4773.803449</v>
      </c>
      <c r="C7" s="452">
        <f>landbouw!C8</f>
        <v>0</v>
      </c>
      <c r="D7" s="452">
        <f>landbouw!D8</f>
        <v>175.94051200000001</v>
      </c>
      <c r="E7" s="452">
        <f>landbouw!E8</f>
        <v>148.98883143711899</v>
      </c>
      <c r="F7" s="452">
        <f>landbouw!F8</f>
        <v>16871.150216446425</v>
      </c>
      <c r="G7" s="452">
        <f>landbouw!G8</f>
        <v>0</v>
      </c>
      <c r="H7" s="452">
        <f>landbouw!H8</f>
        <v>0</v>
      </c>
      <c r="I7" s="452">
        <f>landbouw!I8</f>
        <v>0</v>
      </c>
      <c r="J7" s="452">
        <f>landbouw!J8</f>
        <v>1315.2159562362795</v>
      </c>
      <c r="K7" s="452">
        <f>landbouw!K8</f>
        <v>0</v>
      </c>
      <c r="L7" s="452">
        <f>landbouw!L8</f>
        <v>0</v>
      </c>
      <c r="M7" s="452">
        <f>landbouw!M8</f>
        <v>0</v>
      </c>
      <c r="N7" s="452">
        <f>landbouw!N8</f>
        <v>0</v>
      </c>
      <c r="O7" s="452">
        <f>landbouw!O8</f>
        <v>0</v>
      </c>
      <c r="P7" s="453">
        <f>landbouw!P8</f>
        <v>0</v>
      </c>
      <c r="Q7" s="451">
        <f t="shared" si="0"/>
        <v>23285.098965119825</v>
      </c>
    </row>
    <row r="8" spans="1:17">
      <c r="A8" s="451" t="s">
        <v>625</v>
      </c>
      <c r="B8" s="452">
        <f>industrie!B18</f>
        <v>1293.8152219999999</v>
      </c>
      <c r="C8" s="452">
        <f>industrie!C18</f>
        <v>0</v>
      </c>
      <c r="D8" s="452">
        <f>industrie!D18</f>
        <v>723.67279600000006</v>
      </c>
      <c r="E8" s="452">
        <f>industrie!E18</f>
        <v>166.45598386958744</v>
      </c>
      <c r="F8" s="452">
        <f>industrie!F18</f>
        <v>537.31432011045843</v>
      </c>
      <c r="G8" s="452">
        <f>industrie!G18</f>
        <v>0</v>
      </c>
      <c r="H8" s="452">
        <f>industrie!H18</f>
        <v>0</v>
      </c>
      <c r="I8" s="452">
        <f>industrie!I18</f>
        <v>0</v>
      </c>
      <c r="J8" s="452">
        <f>industrie!J18</f>
        <v>0.35872556257802413</v>
      </c>
      <c r="K8" s="452">
        <f>industrie!K18</f>
        <v>0</v>
      </c>
      <c r="L8" s="452">
        <f>industrie!L18</f>
        <v>0</v>
      </c>
      <c r="M8" s="452">
        <f>industrie!M18</f>
        <v>0</v>
      </c>
      <c r="N8" s="452">
        <f>industrie!N18</f>
        <v>73.391341437211622</v>
      </c>
      <c r="O8" s="452">
        <f>industrie!O18</f>
        <v>0</v>
      </c>
      <c r="P8" s="453">
        <f>industrie!P18</f>
        <v>0</v>
      </c>
      <c r="Q8" s="451">
        <f t="shared" si="0"/>
        <v>2795.0083889798352</v>
      </c>
    </row>
    <row r="9" spans="1:17" s="457" customFormat="1">
      <c r="A9" s="455" t="s">
        <v>551</v>
      </c>
      <c r="B9" s="456">
        <f>transport!B14</f>
        <v>12.980395904873099</v>
      </c>
      <c r="C9" s="456">
        <f>transport!C14</f>
        <v>0</v>
      </c>
      <c r="D9" s="456">
        <f>transport!D14</f>
        <v>59.866720900769678</v>
      </c>
      <c r="E9" s="456">
        <f>transport!E14</f>
        <v>49.319219984999741</v>
      </c>
      <c r="F9" s="456">
        <f>transport!F14</f>
        <v>0</v>
      </c>
      <c r="G9" s="456">
        <f>transport!G14</f>
        <v>18207.31223043229</v>
      </c>
      <c r="H9" s="456">
        <f>transport!H14</f>
        <v>5539.3595263792595</v>
      </c>
      <c r="I9" s="456">
        <f>transport!I14</f>
        <v>0</v>
      </c>
      <c r="J9" s="456">
        <f>transport!J14</f>
        <v>0</v>
      </c>
      <c r="K9" s="456">
        <f>transport!K14</f>
        <v>0</v>
      </c>
      <c r="L9" s="456">
        <f>transport!L14</f>
        <v>0</v>
      </c>
      <c r="M9" s="456">
        <f>transport!M14</f>
        <v>1416.2667375587957</v>
      </c>
      <c r="N9" s="456">
        <f>transport!N14</f>
        <v>0</v>
      </c>
      <c r="O9" s="456">
        <f>transport!O14</f>
        <v>0</v>
      </c>
      <c r="P9" s="456">
        <f>transport!P14</f>
        <v>0</v>
      </c>
      <c r="Q9" s="455">
        <f>SUM(B9:P9)</f>
        <v>25285.104831160988</v>
      </c>
    </row>
    <row r="10" spans="1:17">
      <c r="A10" s="451" t="s">
        <v>541</v>
      </c>
      <c r="B10" s="452">
        <f>transport!B54</f>
        <v>0</v>
      </c>
      <c r="C10" s="452">
        <f>transport!C54</f>
        <v>0</v>
      </c>
      <c r="D10" s="452">
        <f>transport!D54</f>
        <v>0</v>
      </c>
      <c r="E10" s="452">
        <f>transport!E54</f>
        <v>0</v>
      </c>
      <c r="F10" s="452">
        <f>transport!F54</f>
        <v>0</v>
      </c>
      <c r="G10" s="452">
        <f>transport!G54</f>
        <v>886.63555535467492</v>
      </c>
      <c r="H10" s="452">
        <f>transport!H54</f>
        <v>0</v>
      </c>
      <c r="I10" s="452">
        <f>transport!I54</f>
        <v>0</v>
      </c>
      <c r="J10" s="452">
        <f>transport!J54</f>
        <v>0</v>
      </c>
      <c r="K10" s="452">
        <f>transport!K54</f>
        <v>0</v>
      </c>
      <c r="L10" s="452">
        <f>transport!L54</f>
        <v>0</v>
      </c>
      <c r="M10" s="452">
        <f>transport!M54</f>
        <v>49.271549172761993</v>
      </c>
      <c r="N10" s="452">
        <f>transport!N54</f>
        <v>0</v>
      </c>
      <c r="O10" s="452">
        <f>transport!O54</f>
        <v>0</v>
      </c>
      <c r="P10" s="453">
        <f>transport!P54</f>
        <v>0</v>
      </c>
      <c r="Q10" s="451">
        <f t="shared" si="0"/>
        <v>935.9071045274369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165.32458300000002</v>
      </c>
      <c r="C14" s="459"/>
      <c r="D14" s="459">
        <f>'SEAP template'!E25</f>
        <v>369.17245000000003</v>
      </c>
      <c r="E14" s="459"/>
      <c r="F14" s="459"/>
      <c r="G14" s="459"/>
      <c r="H14" s="459"/>
      <c r="I14" s="459"/>
      <c r="J14" s="459"/>
      <c r="K14" s="459"/>
      <c r="L14" s="459"/>
      <c r="M14" s="459"/>
      <c r="N14" s="459"/>
      <c r="O14" s="459"/>
      <c r="P14" s="460"/>
      <c r="Q14" s="451">
        <f t="shared" si="0"/>
        <v>534.4970330000001</v>
      </c>
    </row>
    <row r="15" spans="1:17" s="463" customFormat="1">
      <c r="A15" s="461" t="s">
        <v>545</v>
      </c>
      <c r="B15" s="462">
        <f ca="1">SUM(B4:B14)</f>
        <v>23801.397857717202</v>
      </c>
      <c r="C15" s="462">
        <f t="shared" ref="C15:Q15" ca="1" si="1">SUM(C4:C14)</f>
        <v>0</v>
      </c>
      <c r="D15" s="462">
        <f t="shared" ca="1" si="1"/>
        <v>18832.549455400767</v>
      </c>
      <c r="E15" s="462">
        <f t="shared" si="1"/>
        <v>4929.7710039445456</v>
      </c>
      <c r="F15" s="462">
        <f t="shared" ca="1" si="1"/>
        <v>44992.040643272172</v>
      </c>
      <c r="G15" s="462">
        <f t="shared" si="1"/>
        <v>19093.947785786964</v>
      </c>
      <c r="H15" s="462">
        <f t="shared" si="1"/>
        <v>5539.3595263792595</v>
      </c>
      <c r="I15" s="462">
        <f t="shared" si="1"/>
        <v>0</v>
      </c>
      <c r="J15" s="462">
        <f t="shared" si="1"/>
        <v>1315.5973121019483</v>
      </c>
      <c r="K15" s="462">
        <f t="shared" si="1"/>
        <v>0</v>
      </c>
      <c r="L15" s="462">
        <f t="shared" ca="1" si="1"/>
        <v>0</v>
      </c>
      <c r="M15" s="462">
        <f t="shared" si="1"/>
        <v>1465.5382867315577</v>
      </c>
      <c r="N15" s="462">
        <f t="shared" ca="1" si="1"/>
        <v>7143.01457568562</v>
      </c>
      <c r="O15" s="462">
        <f t="shared" si="1"/>
        <v>191.38933338822216</v>
      </c>
      <c r="P15" s="462">
        <f t="shared" si="1"/>
        <v>421.35837230740083</v>
      </c>
      <c r="Q15" s="462">
        <f t="shared" ca="1" si="1"/>
        <v>127725.96415271568</v>
      </c>
    </row>
    <row r="17" spans="1:17">
      <c r="A17" s="464" t="s">
        <v>546</v>
      </c>
      <c r="B17" s="781">
        <f ca="1">huishoudens!B10</f>
        <v>0.1710243853835379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2128.1570823290876</v>
      </c>
      <c r="C22" s="452">
        <f t="shared" ref="C22:C32" ca="1" si="3">C4*$C$17</f>
        <v>0</v>
      </c>
      <c r="D22" s="452">
        <f t="shared" ref="D22:D32" si="4">D4*$D$17</f>
        <v>2981.878465665</v>
      </c>
      <c r="E22" s="452">
        <f t="shared" ref="E22:E32" si="5">E4*$E$17</f>
        <v>1022.5955215714403</v>
      </c>
      <c r="F22" s="452">
        <f t="shared" ref="F22:F32" si="6">F4*$F$17</f>
        <v>7220.8489955453324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13353.48006511086</v>
      </c>
    </row>
    <row r="23" spans="1:17">
      <c r="A23" s="451" t="s">
        <v>155</v>
      </c>
      <c r="B23" s="452">
        <f t="shared" ca="1" si="2"/>
        <v>785.63055742896415</v>
      </c>
      <c r="C23" s="452">
        <f t="shared" ca="1" si="3"/>
        <v>0</v>
      </c>
      <c r="D23" s="452">
        <f t="shared" ca="1" si="4"/>
        <v>553.90872358800004</v>
      </c>
      <c r="E23" s="452">
        <f t="shared" si="5"/>
        <v>13.661060312754007</v>
      </c>
      <c r="F23" s="452">
        <f t="shared" ca="1" si="6"/>
        <v>143.96582494764965</v>
      </c>
      <c r="G23" s="452">
        <f t="shared" si="7"/>
        <v>0</v>
      </c>
      <c r="H23" s="452">
        <f t="shared" si="8"/>
        <v>0</v>
      </c>
      <c r="I23" s="452">
        <f t="shared" si="9"/>
        <v>0</v>
      </c>
      <c r="J23" s="452">
        <f t="shared" si="10"/>
        <v>8.0111272941400698E-3</v>
      </c>
      <c r="K23" s="452">
        <f t="shared" si="11"/>
        <v>0</v>
      </c>
      <c r="L23" s="452">
        <f t="shared" ca="1" si="12"/>
        <v>0</v>
      </c>
      <c r="M23" s="452">
        <f t="shared" si="13"/>
        <v>0</v>
      </c>
      <c r="N23" s="452">
        <f t="shared" ca="1" si="14"/>
        <v>0</v>
      </c>
      <c r="O23" s="452">
        <f t="shared" si="15"/>
        <v>0</v>
      </c>
      <c r="P23" s="453">
        <f t="shared" si="16"/>
        <v>0</v>
      </c>
      <c r="Q23" s="451">
        <f t="shared" ref="Q23:Q31" ca="1" si="17">SUM(B23:P23)</f>
        <v>1497.174177404662</v>
      </c>
    </row>
    <row r="24" spans="1:17">
      <c r="A24" s="451" t="s">
        <v>193</v>
      </c>
      <c r="B24" s="452">
        <f t="shared" ca="1" si="2"/>
        <v>88.626546749603179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88.626546749603179</v>
      </c>
    </row>
    <row r="25" spans="1:17">
      <c r="A25" s="451" t="s">
        <v>111</v>
      </c>
      <c r="B25" s="452">
        <f t="shared" ca="1" si="2"/>
        <v>816.43680080703837</v>
      </c>
      <c r="C25" s="452">
        <f t="shared" ca="1" si="3"/>
        <v>0</v>
      </c>
      <c r="D25" s="452">
        <f t="shared" si="4"/>
        <v>35.539983424000006</v>
      </c>
      <c r="E25" s="452">
        <f t="shared" si="5"/>
        <v>33.820464736226015</v>
      </c>
      <c r="F25" s="452">
        <f t="shared" si="6"/>
        <v>4504.5971077911954</v>
      </c>
      <c r="G25" s="452">
        <f t="shared" si="7"/>
        <v>0</v>
      </c>
      <c r="H25" s="452">
        <f t="shared" si="8"/>
        <v>0</v>
      </c>
      <c r="I25" s="452">
        <f t="shared" si="9"/>
        <v>0</v>
      </c>
      <c r="J25" s="452">
        <f t="shared" si="10"/>
        <v>465.5864485076429</v>
      </c>
      <c r="K25" s="452">
        <f t="shared" si="11"/>
        <v>0</v>
      </c>
      <c r="L25" s="452">
        <f t="shared" si="12"/>
        <v>0</v>
      </c>
      <c r="M25" s="452">
        <f t="shared" si="13"/>
        <v>0</v>
      </c>
      <c r="N25" s="452">
        <f t="shared" si="14"/>
        <v>0</v>
      </c>
      <c r="O25" s="452">
        <f t="shared" si="15"/>
        <v>0</v>
      </c>
      <c r="P25" s="453">
        <f t="shared" si="16"/>
        <v>0</v>
      </c>
      <c r="Q25" s="451">
        <f t="shared" ca="1" si="17"/>
        <v>5855.9808052661019</v>
      </c>
    </row>
    <row r="26" spans="1:17">
      <c r="A26" s="451" t="s">
        <v>625</v>
      </c>
      <c r="B26" s="452">
        <f t="shared" ca="1" si="2"/>
        <v>221.27395314241562</v>
      </c>
      <c r="C26" s="452">
        <f t="shared" ca="1" si="3"/>
        <v>0</v>
      </c>
      <c r="D26" s="452">
        <f t="shared" si="4"/>
        <v>146.18190479200001</v>
      </c>
      <c r="E26" s="452">
        <f t="shared" si="5"/>
        <v>37.785508338396347</v>
      </c>
      <c r="F26" s="452">
        <f t="shared" si="6"/>
        <v>143.46292346949241</v>
      </c>
      <c r="G26" s="452">
        <f t="shared" si="7"/>
        <v>0</v>
      </c>
      <c r="H26" s="452">
        <f t="shared" si="8"/>
        <v>0</v>
      </c>
      <c r="I26" s="452">
        <f t="shared" si="9"/>
        <v>0</v>
      </c>
      <c r="J26" s="452">
        <f t="shared" si="10"/>
        <v>0.12698884915262054</v>
      </c>
      <c r="K26" s="452">
        <f t="shared" si="11"/>
        <v>0</v>
      </c>
      <c r="L26" s="452">
        <f t="shared" si="12"/>
        <v>0</v>
      </c>
      <c r="M26" s="452">
        <f t="shared" si="13"/>
        <v>0</v>
      </c>
      <c r="N26" s="452">
        <f t="shared" si="14"/>
        <v>0</v>
      </c>
      <c r="O26" s="452">
        <f t="shared" si="15"/>
        <v>0</v>
      </c>
      <c r="P26" s="453">
        <f t="shared" si="16"/>
        <v>0</v>
      </c>
      <c r="Q26" s="451">
        <f t="shared" ca="1" si="17"/>
        <v>548.83127859145702</v>
      </c>
    </row>
    <row r="27" spans="1:17" s="457" customFormat="1">
      <c r="A27" s="455" t="s">
        <v>551</v>
      </c>
      <c r="B27" s="775">
        <f t="shared" ca="1" si="2"/>
        <v>2.2199642316659141</v>
      </c>
      <c r="C27" s="456">
        <f t="shared" ca="1" si="3"/>
        <v>0</v>
      </c>
      <c r="D27" s="456">
        <f t="shared" si="4"/>
        <v>12.093077621955477</v>
      </c>
      <c r="E27" s="456">
        <f t="shared" si="5"/>
        <v>11.195462936594941</v>
      </c>
      <c r="F27" s="456">
        <f t="shared" si="6"/>
        <v>0</v>
      </c>
      <c r="G27" s="456">
        <f t="shared" si="7"/>
        <v>4861.3523655254212</v>
      </c>
      <c r="H27" s="456">
        <f t="shared" si="8"/>
        <v>1379.3005220684356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6266.1613923840732</v>
      </c>
    </row>
    <row r="28" spans="1:17" ht="16.5" customHeight="1">
      <c r="A28" s="451" t="s">
        <v>541</v>
      </c>
      <c r="B28" s="452">
        <f t="shared" ca="1" si="2"/>
        <v>0</v>
      </c>
      <c r="C28" s="452">
        <f t="shared" ca="1" si="3"/>
        <v>0</v>
      </c>
      <c r="D28" s="452">
        <f t="shared" si="4"/>
        <v>0</v>
      </c>
      <c r="E28" s="452">
        <f t="shared" si="5"/>
        <v>0</v>
      </c>
      <c r="F28" s="452">
        <f t="shared" si="6"/>
        <v>0</v>
      </c>
      <c r="G28" s="452">
        <f t="shared" si="7"/>
        <v>236.73169327969822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236.73169327969822</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28.274535196364702</v>
      </c>
      <c r="C32" s="452">
        <f t="shared" ca="1" si="3"/>
        <v>0</v>
      </c>
      <c r="D32" s="452">
        <f t="shared" si="4"/>
        <v>74.572834900000004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102.8473700963647</v>
      </c>
    </row>
    <row r="33" spans="1:17" s="463" customFormat="1">
      <c r="A33" s="461" t="s">
        <v>545</v>
      </c>
      <c r="B33" s="462">
        <f ca="1">SUM(B22:B32)</f>
        <v>4070.6194398851399</v>
      </c>
      <c r="C33" s="462">
        <f t="shared" ref="C33:Q33" ca="1" si="19">SUM(C22:C32)</f>
        <v>0</v>
      </c>
      <c r="D33" s="462">
        <f t="shared" ca="1" si="19"/>
        <v>3804.174989990956</v>
      </c>
      <c r="E33" s="462">
        <f t="shared" si="19"/>
        <v>1119.0580178954117</v>
      </c>
      <c r="F33" s="462">
        <f t="shared" ca="1" si="19"/>
        <v>12012.874851753671</v>
      </c>
      <c r="G33" s="462">
        <f t="shared" si="19"/>
        <v>5098.0840588051196</v>
      </c>
      <c r="H33" s="462">
        <f t="shared" si="19"/>
        <v>1379.3005220684356</v>
      </c>
      <c r="I33" s="462">
        <f t="shared" si="19"/>
        <v>0</v>
      </c>
      <c r="J33" s="462">
        <f t="shared" si="19"/>
        <v>465.72144848408965</v>
      </c>
      <c r="K33" s="462">
        <f t="shared" si="19"/>
        <v>0</v>
      </c>
      <c r="L33" s="462">
        <f t="shared" ca="1" si="19"/>
        <v>0</v>
      </c>
      <c r="M33" s="462">
        <f t="shared" si="19"/>
        <v>0</v>
      </c>
      <c r="N33" s="462">
        <f t="shared" ca="1" si="19"/>
        <v>0</v>
      </c>
      <c r="O33" s="462">
        <f t="shared" si="19"/>
        <v>0</v>
      </c>
      <c r="P33" s="462">
        <f t="shared" si="19"/>
        <v>0</v>
      </c>
      <c r="Q33" s="462">
        <f t="shared" ca="1" si="19"/>
        <v>27949.833328882822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5382.3053695491462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5382.3053695491462</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0.1710243853835379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0.1710243853835379</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2020-06-20T15:37:13Z</dcterms:modified>
</cp:coreProperties>
</file>