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<sst xmlns="http://schemas.openxmlformats.org/spreadsheetml/2006/main" count="2411" uniqueCount="894">
  <si>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</si>
  <si>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</si>
  <si>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</si>
  <si>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</si>
  <si>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</si>
  <si>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</si>
  <si>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</si>
  <si>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</si>
  <si>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</si>
  <si>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</si>
  <si>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</si>
  <si>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</si>
  <si>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</si>
  <si>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</si>
  <si>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</si>
  <si>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</si>
  <si>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</si>
  <si>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</si>
  <si>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</si>
  <si>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</si>
  <si>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</si>
  <si>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</si>
  <si>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</si>
  <si>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</si>
  <si>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</si>
  <si>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</si>
  <si>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</si>
  <si>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</si>
  <si>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</si>
  <si>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</si>
  <si>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</si>
  <si>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</si>
  <si>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</si>
  <si>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</si>
  <si>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</si>
  <si>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</si>
  <si>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</si>
  <si>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</si>
  <si>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</si>
  <si>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</si>
  <si>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</si>
  <si>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</si>
  <si>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</si>
  <si>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</si>
  <si>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</si>
  <si>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</si>
  <si>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</si>
  <si>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</si>
  <si>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</si>
  <si>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</si>
  <si>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</si>
  <si>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</si>
  <si>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</si>
  <si>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</si>
  <si>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</si>
  <si>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</si>
  <si>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</si>
  <si>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</si>
  <si>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</si>
  <si>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</si>
  <si>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</si>
  <si>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</si>
  <si>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</si>
  <si>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</si>
  <si>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</si>
  <si>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</si>
  <si>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</si>
  <si>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</si>
  <si>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</si>
  <si>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</si>
  <si>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</si>
  <si>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</si>
  <si>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</si>
  <si>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</si>
  <si>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</si>
  <si>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</si>
  <si>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</si>
  <si>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</si>
  <si>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</si>
  <si>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</si>
  <si>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</si>
  <si>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</si>
  <si>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</si>
  <si>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</si>
  <si>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</si>
  <si>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</si>
  <si>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</si>
  <si>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</si>
  <si>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</si>
  <si>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</si>
  <si>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</si>
  <si>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</si>
  <si>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</si>
  <si>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</si>
  <si>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</si>
  <si>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</si>
  <si>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</si>
  <si>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</si>
  <si>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</si>
  <si>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</si>
  <si>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</si>
  <si>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</si>
  <si>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</si>
  <si>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</si>
  <si>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</si>
  <si>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</si>
  <si>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</si>
  <si>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</si>
  <si>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</si>
  <si>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</si>
  <si>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</si>
  <si>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</si>
  <si>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</si>
  <si>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</si>
  <si>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</si>
  <si>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</si>
  <si>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</si>
  <si>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</si>
  <si>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</si>
  <si>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</si>
  <si>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</si>
  <si>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</si>
  <si>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</si>
  <si>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</si>
  <si>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</si>
  <si>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</si>
  <si>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</si>
  <si>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</si>
  <si>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</si>
  <si>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</si>
  <si>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</si>
  <si>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</si>
  <si>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</si>
  <si>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</si>
  <si>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</si>
  <si>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</si>
  <si>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</si>
  <si>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</si>
  <si>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</si>
  <si>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</si>
  <si>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</si>
  <si>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</si>
  <si>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</si>
  <si>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</si>
  <si>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</si>
  <si>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</si>
  <si>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</si>
  <si>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</si>
  <si>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</si>
  <si>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</si>
  <si>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</si>
  <si>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</si>
  <si>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</si>
  <si>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</si>
  <si>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</si>
  <si>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</si>
  <si>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</si>
  <si>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</si>
  <si>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</si>
  <si>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</si>
  <si>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</si>
  <si>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</si>
  <si>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</si>
  <si>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</si>
  <si>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</si>
  <si>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</si>
  <si>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</si>
  <si>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</si>
  <si>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</si>
  <si>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</si>
  <si>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</si>
  <si>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</si>
  <si>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</si>
  <si>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</si>
  <si>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</si>
  <si>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</si>
  <si>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</si>
  <si>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</si>
  <si>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</si>
  <si>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</si>
  <si>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</si>
  <si>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</si>
  <si>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</si>
  <si>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</si>
  <si>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</si>
  <si>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</si>
  <si>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</si>
  <si>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</si>
  <si>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</si>
  <si>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</si>
  <si>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</si>
  <si>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</si>
  <si>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</si>
  <si>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</si>
  <si>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</si>
  <si>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</si>
  <si>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</si>
  <si>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</si>
  <si>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</si>
  <si>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</si>
  <si>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</si>
  <si>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</si>
  <si>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</si>
  <si>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</si>
  <si>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</si>
  <si>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</si>
  <si>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</si>
  <si>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</si>
  <si>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</si>
  <si>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</si>
  <si>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</si>
  <si>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</si>
  <si>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</si>
  <si>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</si>
  <si>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</si>
  <si>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</si>
  <si>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</si>
  <si>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</si>
  <si>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</si>
  <si>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</si>
  <si>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</si>
  <si>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</si>
  <si>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</si>
  <si>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</si>
  <si>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</si>
  <si>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</si>
  <si>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</si>
  <si>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</si>
  <si>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</si>
  <si>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</si>
  <si>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</si>
  <si>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</si>
  <si>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</si>
  <si>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</si>
  <si>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</si>
  <si>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</si>
  <si>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</si>
  <si>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</si>
  <si>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</si>
  <si>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</si>
  <si>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</si>
  <si>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</si>
  <si>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</si>
  <si>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</si>
  <si>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</si>
  <si>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</si>
  <si>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</si>
  <si>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</si>
  <si>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</si>
  <si>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</si>
  <si>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</si>
  <si>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</si>
  <si>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</si>
  <si>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</si>
  <si>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</si>
  <si>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</si>
  <si>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</si>
  <si>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</si>
  <si>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</si>
  <si>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</si>
  <si>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</si>
  <si>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</si>
  <si>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</si>
  <si>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</si>
  <si>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</si>
  <si>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</si>
  <si>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</si>
  <si>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</si>
  <si>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</si>
  <si>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</si>
  <si>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</si>
  <si>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</si>
  <si>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</si>
  <si>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</si>
  <si>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</si>
  <si>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</si>
  <si>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</si>
  <si>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</si>
  <si>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</si>
  <si>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</si>
  <si>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</si>
  <si>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</si>
  <si>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</si>
  <si>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</si>
  <si>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</si>
  <si>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</si>
  <si>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</si>
  <si>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</si>
  <si>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</si>
  <si>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</si>
  <si>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</si>
  <si>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</si>
  <si>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</si>
  <si>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</si>
  <si>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</si>
  <si>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</si>
  <si>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</si>
  <si>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</si>
  <si>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</si>
  <si>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</si>
  <si>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</si>
  <si>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</si>
  <si>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</si>
  <si>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</si>
  <si>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</si>
  <si>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</si>
  <si>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</si>
  <si>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</si>
  <si>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</si>
  <si>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</si>
  <si>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</si>
  <si>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</si>
  <si>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</si>
  <si>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</si>
  <si>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</si>
  <si>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</si>
  <si>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</si>
  <si>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</si>
  <si>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</si>
  <si>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</si>
  <si>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</si>
  <si>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</si>
  <si>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</si>
  <si>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</si>
  <si>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</si>
  <si>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</si>
  <si>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</si>
  <si>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</si>
  <si>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</si>
  <si>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</si>
  <si>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</si>
  <si>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</si>
  <si>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</si>
  <si>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</si>
  <si>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</si>
  <si>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</si>
  <si>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</si>
  <si>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</si>
  <si>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</si>
  <si>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</si>
  <si>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</si>
  <si>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</si>
  <si>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</si>
  <si>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</si>
  <si>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</si>
  <si>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</si>
  <si>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</si>
  <si>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</si>
  <si>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</si>
  <si>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</si>
  <si>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</si>
  <si>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</si>
  <si>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</si>
  <si>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</si>
  <si>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</si>
  <si>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</si>
  <si>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</si>
  <si>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</si>
  <si>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</si>
  <si>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</si>
  <si>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</si>
  <si>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</si>
  <si>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</si>
  <si>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</si>
  <si>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</si>
  <si>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</si>
  <si>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</si>
  <si>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</si>
  <si>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</si>
  <si>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</si>
  <si>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</si>
  <si>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</si>
  <si>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</si>
  <si>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</si>
  <si>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</si>
  <si>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</si>
  <si>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</si>
  <si>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</si>
  <si>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</si>
  <si>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</si>
  <si>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</si>
  <si>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</si>
  <si>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</si>
  <si>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</si>
  <si>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</si>
  <si>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</si>
  <si>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</si>
  <si>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</si>
  <si>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</si>
  <si>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</si>
  <si>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</si>
  <si>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</si>
  <si>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</si>
  <si>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</si>
  <si>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</si>
  <si>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</si>
  <si>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</si>
  <si>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</si>
  <si>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</si>
  <si>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</si>
  <si>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</si>
  <si>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</si>
  <si>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</si>
  <si>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</si>
  <si>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</si>
  <si>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</si>
  <si>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</si>
  <si>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</si>
  <si>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</si>
  <si>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</si>
  <si>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</si>
  <si>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</si>
  <si>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</si>
  <si>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</si>
  <si>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</si>
  <si>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</si>
  <si>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</si>
  <si>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</si>
  <si>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</si>
  <si>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</si>
  <si>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</si>
  <si>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</si>
  <si>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</si>
  <si>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</si>
  <si>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</si>
  <si>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</si>
  <si>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</si>
  <si>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</si>
  <si>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</si>
  <si>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</si>
  <si>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</si>
  <si>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</si>
  <si>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</si>
  <si>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</si>
  <si>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</si>
  <si>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</si>
  <si>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</si>
  <si>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</si>
  <si>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</si>
  <si>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</si>
  <si>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</si>
  <si>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</si>
  <si>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</si>
  <si>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</si>
  <si>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</si>
  <si>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</si>
  <si>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</si>
  <si>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</si>
  <si>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</si>
  <si>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</si>
  <si>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</si>
  <si>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</si>
  <si>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</si>
  <si>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</si>
  <si>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</si>
  <si>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</si>
  <si>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</si>
  <si>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</si>
  <si>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</si>
  <si>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</si>
  <si>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</si>
  <si>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</si>
  <si>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</si>
  <si>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</si>
  <si>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</si>
  <si>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</si>
  <si>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</si>
  <si>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</si>
  <si>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</si>
  <si>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</si>
  <si>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</si>
  <si>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</si>
  <si>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</si>
  <si>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</si>
  <si>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</si>
  <si>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</si>
  <si>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</si>
  <si>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</si>
  <si>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</si>
  <si>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</si>
  <si>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</si>
  <si>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</si>
  <si>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</si>
  <si>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</si>
  <si>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</si>
  <si>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</si>
  <si>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</si>
  <si>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</si>
  <si>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</si>
  <si>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</si>
  <si>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</si>
  <si>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</si>
  <si>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</si>
  <si>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</si>
  <si>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</si>
  <si>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</si>
  <si>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</si>
  <si>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</si>
  <si>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</si>
  <si>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</si>
  <si>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</si>
  <si>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</si>
  <si>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</si>
  <si>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</si>
  <si>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</si>
  <si>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</si>
  <si>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</si>
  <si>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</si>
  <si>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</si>
  <si>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</si>
  <si>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</si>
  <si>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</si>
  <si>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</si>
  <si>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</si>
  <si>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</si>
  <si>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</si>
  <si>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</si>
  <si>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</si>
  <si>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</si>
  <si>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</si>
  <si>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</si>
  <si>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</si>
  <si>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</si>
  <si>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</si>
  <si>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</si>
  <si>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</si>
  <si>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</si>
  <si>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</si>
  <si>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</si>
  <si>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</si>
  <si>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</si>
  <si>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</si>
  <si>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</si>
  <si>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</si>
  <si>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</si>
  <si>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</si>
  <si>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</si>
  <si>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</si>
  <si>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</si>
  <si>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</si>
  <si>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</si>
  <si>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</si>
  <si>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</si>
  <si>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</si>
  <si>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</si>
  <si>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</si>
  <si>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</si>
  <si>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</si>
  <si>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</si>
  <si>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</si>
  <si>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</si>
  <si>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</si>
  <si>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</si>
  <si>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</si>
  <si>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</si>
  <si>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</si>
  <si>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</si>
  <si>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</si>
  <si>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</si>
  <si>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</si>
  <si>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</si>
  <si>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</si>
  <si>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</si>
  <si>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</si>
  <si>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</si>
  <si>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</si>
  <si>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</si>
  <si>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</si>
  <si>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</si>
  <si>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</si>
  <si>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</si>
  <si>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</si>
  <si>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</si>
  <si>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</si>
  <si>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</si>
  <si>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</si>
  <si>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</si>
  <si>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</si>
  <si>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</si>
  <si>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</si>
  <si>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</si>
  <si>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</si>
  <si>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</si>
  <si>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</si>
  <si>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</si>
  <si>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</si>
  <si>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</si>
  <si>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</si>
  <si>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</si>
  <si>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</si>
  <si>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</si>
  <si>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</si>
  <si>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</si>
  <si>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</si>
  <si>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</si>
  <si>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</si>
  <si>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</si>
  <si>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</si>
  <si>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</si>
  <si>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</si>
  <si>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</si>
  <si>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</si>
  <si>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</si>
  <si>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</si>
  <si>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</si>
  <si>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</si>
  <si>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</si>
  <si>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</si>
  <si>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</si>
  <si>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</si>
  <si>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</si>
  <si>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</si>
  <si>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</si>
  <si>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</si>
  <si>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</si>
  <si>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</si>
  <si>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</si>
  <si>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</si>
  <si>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</si>
  <si>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</si>
  <si>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</si>
  <si>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</si>
  <si>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</si>
  <si>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</si>
  <si>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</si>
  <si>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</si>
  <si>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</si>
  <si>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</si>
  <si>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</si>
  <si>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</si>
  <si>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</si>
  <si>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</si>
  <si>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</si>
  <si>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</si>
  <si>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</si>
  <si>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</si>
  <si>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</si>
  <si>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</si>
  <si>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</si>
  <si>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</si>
  <si>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</si>
  <si>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</si>
  <si>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</si>
  <si>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</si>
  <si>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</si>
  <si>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</si>
  <si>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</si>
  <si>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</si>
  <si>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</si>
  <si>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</si>
  <si>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</si>
  <si>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</si>
  <si>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</si>
  <si>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</si>
  <si>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</si>
  <si>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</si>
  <si>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</si>
  <si>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</si>
  <si>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</si>
  <si>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</si>
  <si>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</si>
  <si>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</si>
  <si>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</si>
  <si>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</si>
  <si>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</si>
  <si>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</si>
  <si>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</si>
  <si>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</si>
  <si>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</si>
  <si>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</si>
  <si>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</si>
  <si>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</si>
  <si>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</si>
  <si>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</si>
  <si>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</si>
  <si>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</si>
  <si>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</si>
  <si>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</si>
  <si>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</si>
  <si>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</si>
  <si>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</si>
  <si>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</si>
  <si>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</si>
  <si>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</si>
  <si>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</si>
  <si>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</si>
  <si>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</si>
  <si>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</si>
  <si>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</si>
  <si>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</si>
  <si>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</si>
  <si>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</si>
  <si>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</si>
  <si>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</si>
  <si>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</si>
  <si>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</si>
  <si>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</si>
  <si>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</si>
  <si>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</si>
  <si>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</si>
  <si>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</si>
  <si>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</si>
  <si>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</si>
  <si>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</si>
  <si>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</si>
  <si>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</si>
  <si>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</si>
  <si>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</si>
  <si>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</si>
  <si>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</si>
  <si>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</si>
  <si>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</si>
  <si>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</si>
  <si>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</si>
  <si>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</si>
  <si>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</si>
  <si>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</si>
  <si>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</si>
  <si>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</si>
  <si>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</si>
  <si>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</si>
  <si>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</si>
  <si>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</si>
  <si>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</si>
  <si>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</si>
  <si>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</si>
  <si>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</si>
  <si>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</si>
  <si>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</si>
  <si>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</si>
  <si>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</si>
  <si>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</si>
  <si>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</si>
  <si>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</si>
  <si>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</si>
  <si>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</si>
  <si>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</si>
  <si>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</si>
  <si>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</si>
  <si>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</si>
  <si>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</si>
  <si>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</si>
  <si>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</si>
  <si>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</si>
  <si>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</si>
  <si>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</si>
  <si>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</si>
  <si>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</si>
  <si>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</si>
  <si>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</si>
  <si>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</si>
  <si>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</si>
  <si>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</si>
  <si>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</si>
  <si>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</si>
  <si>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</si>
  <si>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</si>
  <si>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</si>
  <si>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</si>
  <si>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</si>
  <si>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</si>
  <si>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</si>
  <si>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</si>
  <si>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</si>
  <si>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</si>
  <si>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</si>
  <si>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</si>
  <si>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</si>
  <si>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</si>
  <si>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</si>
  <si>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</si>
  <si>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</si>
  <si>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</si>
  <si>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</si>
  <si>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</si>
  <si>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</si>
  <si>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</si>
  <si>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</si>
  <si>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</si>
  <si>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</si>
  <si>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</si>
  <si>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</si>
  <si>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</si>
  <si>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</si>
  <si>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</si>
  <si>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</si>
  <si>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</si>
  <si>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</si>
  <si>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</si>
  <si>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</si>
  <si>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</si>
  <si>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</si>
  <si>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</si>
  <si>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</si>
  <si>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</si>
  <si>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</si>
  <si>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</si>
  <si>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</si>
  <si>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</si>
  <si>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</si>
  <si>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</si>
  <si>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</si>
  <si>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</si>
  <si>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</si>
  <si>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</si>
  <si>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</si>
  <si>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</si>
  <si>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</si>
  <si>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</si>
  <si>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</si>
  <si>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</si>
  <si>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</si>
  <si>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</si>
  <si>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</si>
  <si>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</si>
  <si>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</si>
  <si>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</si>
  <si>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</si>
  <si>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</si>
  <si>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</si>
  <si>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</si>
  <si>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</si>
  <si>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</si>
  <si>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</si>
  <si>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</si>
  <si>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</si>
  <si>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</si>
  <si>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</si>
  <si>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</si>
  <si>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</si>
  <si>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</si>
  <si>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</si>
  <si>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</si>
  <si>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</si>
  <si>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</si>
  <si>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</si>
  <si>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</si>
  <si>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</si>
  <si>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</si>
  <si>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</si>
  <si>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</si>
  <si>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</si>
  <si>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</si>
  <si>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</si>
  <si>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</si>
  <si>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</si>
  <si>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</si>
  <si>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</si>
  <si>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</si>
  <si>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</si>
  <si>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</si>
  <si>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</si>
  <si>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</si>
  <si>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</si>
  <si>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</si>
  <si>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</si>
  <si>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</si>
  <si>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</si>
  <si>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</si>
  <si>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</si>
  <si>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</si>
  <si>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</si>
  <si>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</si>
  <si>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</si>
  <si>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</si>
  <si>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</si>
  <si>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</si>
  <si>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</si>
  <si>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</si>
  <si>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</si>
  <si>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</si>
  <si>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</si>
  <si>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</si>
  <si>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</si>
  <si>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</si>
  <si>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</si>
  <si>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</si>
  <si>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</si>
  <si>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</si>
  <si>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</si>
  <si>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</si>
  <si>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</si>
  <si>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</si>
  <si>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</si>
  <si>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</si>
  <si>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71024</t>
  </si>
  <si>
    <t>HERK-DE-STAD</t>
  </si>
  <si>
    <t>referentietaak LNE (2017); Jaarverslag De Lijn</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</si>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</sst>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108317.80078874528</c:v>
                </c:pt>
                <c:pt idx="1">
                  <c:v>26864.407376395797</c:v>
                </c:pt>
                <c:pt idx="2">
                  <c:v>867.88400000000001</c:v>
                </c:pt>
                <c:pt idx="3">
                  <c:v>14786.078767121304</c:v>
                </c:pt>
                <c:pt idx="4">
                  <c:v>8347.5450271499794</c:v>
                </c:pt>
                <c:pt idx="5">
                  <c:v>94115.56776628246</c:v>
                </c:pt>
                <c:pt idx="6">
                  <c:v>1051.8745752200673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108317.80078874528</c:v>
                </c:pt>
                <c:pt idx="1">
                  <c:v>26864.407376395797</c:v>
                </c:pt>
                <c:pt idx="2">
                  <c:v>867.88400000000001</c:v>
                </c:pt>
                <c:pt idx="3">
                  <c:v>14786.078767121304</c:v>
                </c:pt>
                <c:pt idx="4">
                  <c:v>8347.5450271499794</c:v>
                </c:pt>
                <c:pt idx="5">
                  <c:v>94115.56776628246</c:v>
                </c:pt>
                <c:pt idx="6">
                  <c:v>1051.8745752200673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20866.687726654895</c:v>
                </c:pt>
                <c:pt idx="1">
                  <c:v>5134.8543657023165</c:v>
                </c:pt>
                <c:pt idx="2">
                  <c:v>158.71006616029155</c:v>
                </c:pt>
                <c:pt idx="3">
                  <c:v>3644.4249714479502</c:v>
                </c:pt>
                <c:pt idx="4">
                  <c:v>1624.678112759251</c:v>
                </c:pt>
                <c:pt idx="5">
                  <c:v>23406.827964722845</c:v>
                </c:pt>
                <c:pt idx="6">
                  <c:v>266.06492044468695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20866.687726654895</c:v>
                </c:pt>
                <c:pt idx="1">
                  <c:v>5134.8543657023165</c:v>
                </c:pt>
                <c:pt idx="2">
                  <c:v>158.71006616029155</c:v>
                </c:pt>
                <c:pt idx="3">
                  <c:v>3644.4249714479502</c:v>
                </c:pt>
                <c:pt idx="4">
                  <c:v>1624.678112759251</c:v>
                </c:pt>
                <c:pt idx="5">
                  <c:v>23406.827964722845</c:v>
                </c:pt>
                <c:pt idx="6">
                  <c:v>266.06492044468695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71024</v>
      </c>
      <c r="B6" s="390"/>
      <c r="C6" s="391"/>
    </row>
    <row r="7" spans="1:7" s="388" customFormat="1" ht="15.75" customHeight="1">
      <c r="A7" s="392" t="str">
        <f>txtMunicipality</f>
        <v>HERK-DE-STAD</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0.18287013720761247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0.18287013720761247</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5221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2350.4699999999998</v>
      </c>
      <c r="C14" s="330"/>
      <c r="D14" s="330"/>
      <c r="E14" s="330"/>
      <c r="F14" s="330"/>
    </row>
    <row r="15" spans="1:6">
      <c r="A15" s="1298" t="s">
        <v>183</v>
      </c>
      <c r="B15" s="1299">
        <v>591</v>
      </c>
      <c r="C15" s="330"/>
      <c r="D15" s="330"/>
      <c r="E15" s="330"/>
      <c r="F15" s="330"/>
    </row>
    <row r="16" spans="1:6">
      <c r="A16" s="1298" t="s">
        <v>6</v>
      </c>
      <c r="B16" s="1299">
        <v>327</v>
      </c>
      <c r="C16" s="330"/>
      <c r="D16" s="330"/>
      <c r="E16" s="330"/>
      <c r="F16" s="330"/>
    </row>
    <row r="17" spans="1:6">
      <c r="A17" s="1298" t="s">
        <v>7</v>
      </c>
      <c r="B17" s="1299">
        <v>579</v>
      </c>
      <c r="C17" s="330"/>
      <c r="D17" s="330"/>
      <c r="E17" s="330"/>
      <c r="F17" s="330"/>
    </row>
    <row r="18" spans="1:6">
      <c r="A18" s="1298" t="s">
        <v>8</v>
      </c>
      <c r="B18" s="1299">
        <v>574</v>
      </c>
      <c r="C18" s="330"/>
      <c r="D18" s="330"/>
      <c r="E18" s="330"/>
      <c r="F18" s="330"/>
    </row>
    <row r="19" spans="1:6">
      <c r="A19" s="1298" t="s">
        <v>9</v>
      </c>
      <c r="B19" s="1299">
        <v>535</v>
      </c>
      <c r="C19" s="330"/>
      <c r="D19" s="330"/>
      <c r="E19" s="330"/>
      <c r="F19" s="330"/>
    </row>
    <row r="20" spans="1:6">
      <c r="A20" s="1298" t="s">
        <v>10</v>
      </c>
      <c r="B20" s="1299">
        <v>312</v>
      </c>
      <c r="C20" s="330"/>
      <c r="D20" s="330"/>
      <c r="E20" s="330"/>
      <c r="F20" s="330"/>
    </row>
    <row r="21" spans="1:6">
      <c r="A21" s="1298" t="s">
        <v>11</v>
      </c>
      <c r="B21" s="1299">
        <v>238</v>
      </c>
      <c r="C21" s="330"/>
      <c r="D21" s="330"/>
      <c r="E21" s="330"/>
      <c r="F21" s="330"/>
    </row>
    <row r="22" spans="1:6">
      <c r="A22" s="1298" t="s">
        <v>12</v>
      </c>
      <c r="B22" s="1299">
        <v>2965</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4</v>
      </c>
      <c r="C25" s="330"/>
      <c r="D25" s="330"/>
      <c r="E25" s="330"/>
      <c r="F25" s="330"/>
    </row>
    <row r="26" spans="1:6">
      <c r="A26" s="1298" t="s">
        <v>16</v>
      </c>
      <c r="B26" s="1299">
        <v>731</v>
      </c>
      <c r="C26" s="330"/>
      <c r="D26" s="330"/>
      <c r="E26" s="330"/>
      <c r="F26" s="330"/>
    </row>
    <row r="27" spans="1:6">
      <c r="A27" s="1298" t="s">
        <v>17</v>
      </c>
      <c r="B27" s="1299">
        <v>0</v>
      </c>
      <c r="C27" s="330"/>
      <c r="D27" s="330"/>
      <c r="E27" s="330"/>
      <c r="F27" s="330"/>
    </row>
    <row r="28" spans="1:6" s="43" customFormat="1">
      <c r="A28" s="1300" t="s">
        <v>18</v>
      </c>
      <c r="B28" s="1301">
        <v>72379</v>
      </c>
      <c r="C28" s="336"/>
      <c r="D28" s="336"/>
      <c r="E28" s="336"/>
      <c r="F28" s="336"/>
    </row>
    <row r="29" spans="1:6">
      <c r="A29" s="1300" t="s">
        <v>705</v>
      </c>
      <c r="B29" s="1301">
        <v>118</v>
      </c>
      <c r="C29" s="336"/>
      <c r="D29" s="336"/>
      <c r="E29" s="336"/>
      <c r="F29" s="336"/>
    </row>
    <row r="30" spans="1:6">
      <c r="A30" s="1293" t="s">
        <v>706</v>
      </c>
      <c r="B30" s="1302">
        <v>17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5</v>
      </c>
      <c r="F36" s="1299">
        <v>475255</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2410</v>
      </c>
      <c r="D39" s="1299">
        <v>38417933.799999997</v>
      </c>
      <c r="E39" s="1299">
        <v>5089</v>
      </c>
      <c r="F39" s="1299">
        <v>17687961.050000001</v>
      </c>
    </row>
    <row r="40" spans="1:6">
      <c r="A40" s="1298" t="s">
        <v>29</v>
      </c>
      <c r="B40" s="1298" t="s">
        <v>28</v>
      </c>
      <c r="C40" s="1299">
        <v>0</v>
      </c>
      <c r="D40" s="1299">
        <v>0</v>
      </c>
      <c r="E40" s="1299">
        <v>0</v>
      </c>
      <c r="F40" s="1299">
        <v>0</v>
      </c>
    </row>
    <row r="41" spans="1:6">
      <c r="A41" s="1298" t="s">
        <v>31</v>
      </c>
      <c r="B41" s="1298" t="s">
        <v>32</v>
      </c>
      <c r="C41" s="1299">
        <v>45</v>
      </c>
      <c r="D41" s="1299">
        <v>923012.4</v>
      </c>
      <c r="E41" s="1299">
        <v>127</v>
      </c>
      <c r="F41" s="1299">
        <v>1218842.5079999999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4</v>
      </c>
      <c r="D44" s="1299">
        <v>155958</v>
      </c>
      <c r="E44" s="1299">
        <v>23</v>
      </c>
      <c r="F44" s="1299">
        <v>983793</v>
      </c>
    </row>
    <row r="45" spans="1:6">
      <c r="A45" s="1298" t="s">
        <v>31</v>
      </c>
      <c r="B45" s="1298" t="s">
        <v>36</v>
      </c>
      <c r="C45" s="1299">
        <v>3</v>
      </c>
      <c r="D45" s="1299">
        <v>43597</v>
      </c>
      <c r="E45" s="1299">
        <v>7</v>
      </c>
      <c r="F45" s="1299">
        <v>836132.14300000004</v>
      </c>
    </row>
    <row r="46" spans="1:6">
      <c r="A46" s="1298" t="s">
        <v>31</v>
      </c>
      <c r="B46" s="1298" t="s">
        <v>37</v>
      </c>
      <c r="C46" s="1299">
        <v>0</v>
      </c>
      <c r="D46" s="1299">
        <v>0</v>
      </c>
      <c r="E46" s="1299">
        <v>0</v>
      </c>
      <c r="F46" s="1299">
        <v>0</v>
      </c>
    </row>
    <row r="47" spans="1:6">
      <c r="A47" s="1298" t="s">
        <v>31</v>
      </c>
      <c r="B47" s="1298" t="s">
        <v>38</v>
      </c>
      <c r="C47" s="1299">
        <v>0</v>
      </c>
      <c r="D47" s="1299">
        <v>0</v>
      </c>
      <c r="E47" s="1299">
        <v>5</v>
      </c>
      <c r="F47" s="1299">
        <v>43473</v>
      </c>
    </row>
    <row r="48" spans="1:6">
      <c r="A48" s="1298" t="s">
        <v>31</v>
      </c>
      <c r="B48" s="1298" t="s">
        <v>28</v>
      </c>
      <c r="C48" s="1299">
        <v>5</v>
      </c>
      <c r="D48" s="1299">
        <v>104246.6</v>
      </c>
      <c r="E48" s="1299">
        <v>2</v>
      </c>
      <c r="F48" s="1299">
        <v>33549.550000000003</v>
      </c>
    </row>
    <row r="49" spans="1:6">
      <c r="A49" s="1298" t="s">
        <v>31</v>
      </c>
      <c r="B49" s="1298" t="s">
        <v>39</v>
      </c>
      <c r="C49" s="1299">
        <v>0</v>
      </c>
      <c r="D49" s="1299">
        <v>0</v>
      </c>
      <c r="E49" s="1299">
        <v>3</v>
      </c>
      <c r="F49" s="1299">
        <v>22200</v>
      </c>
    </row>
    <row r="50" spans="1:6">
      <c r="A50" s="1298" t="s">
        <v>31</v>
      </c>
      <c r="B50" s="1298" t="s">
        <v>40</v>
      </c>
      <c r="C50" s="1299">
        <v>4</v>
      </c>
      <c r="D50" s="1299">
        <v>243072</v>
      </c>
      <c r="E50" s="1299">
        <v>10</v>
      </c>
      <c r="F50" s="1299">
        <v>1568135.55</v>
      </c>
    </row>
    <row r="51" spans="1:6">
      <c r="A51" s="1298" t="s">
        <v>41</v>
      </c>
      <c r="B51" s="1298" t="s">
        <v>42</v>
      </c>
      <c r="C51" s="1299">
        <v>13</v>
      </c>
      <c r="D51" s="1299">
        <v>2455876.2570000002</v>
      </c>
      <c r="E51" s="1299">
        <v>99</v>
      </c>
      <c r="F51" s="1299">
        <v>2596845</v>
      </c>
    </row>
    <row r="52" spans="1:6">
      <c r="A52" s="1298" t="s">
        <v>41</v>
      </c>
      <c r="B52" s="1298" t="s">
        <v>28</v>
      </c>
      <c r="C52" s="1299">
        <v>0</v>
      </c>
      <c r="D52" s="1299">
        <v>0</v>
      </c>
      <c r="E52" s="1299">
        <v>0</v>
      </c>
      <c r="F52" s="1299">
        <v>0</v>
      </c>
    </row>
    <row r="53" spans="1:6">
      <c r="A53" s="1298" t="s">
        <v>43</v>
      </c>
      <c r="B53" s="1298" t="s">
        <v>44</v>
      </c>
      <c r="C53" s="1299">
        <v>45</v>
      </c>
      <c r="D53" s="1299">
        <v>1800061.6</v>
      </c>
      <c r="E53" s="1299">
        <v>97</v>
      </c>
      <c r="F53" s="1299">
        <v>349263.9</v>
      </c>
    </row>
    <row r="54" spans="1:6">
      <c r="A54" s="1298" t="s">
        <v>45</v>
      </c>
      <c r="B54" s="1298" t="s">
        <v>46</v>
      </c>
      <c r="C54" s="1299">
        <v>0</v>
      </c>
      <c r="D54" s="1299">
        <v>0</v>
      </c>
      <c r="E54" s="1299">
        <v>3</v>
      </c>
      <c r="F54" s="1299">
        <v>867884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22</v>
      </c>
      <c r="D57" s="1299">
        <v>522559</v>
      </c>
      <c r="E57" s="1299">
        <v>61</v>
      </c>
      <c r="F57" s="1299">
        <v>871543.65500000003</v>
      </c>
    </row>
    <row r="58" spans="1:6">
      <c r="A58" s="1298" t="s">
        <v>48</v>
      </c>
      <c r="B58" s="1298" t="s">
        <v>50</v>
      </c>
      <c r="C58" s="1299">
        <v>28</v>
      </c>
      <c r="D58" s="1299">
        <v>2537460.7999999998</v>
      </c>
      <c r="E58" s="1299">
        <v>42</v>
      </c>
      <c r="F58" s="1299">
        <v>1281227.55</v>
      </c>
    </row>
    <row r="59" spans="1:6">
      <c r="A59" s="1298" t="s">
        <v>48</v>
      </c>
      <c r="B59" s="1298" t="s">
        <v>51</v>
      </c>
      <c r="C59" s="1299">
        <v>81</v>
      </c>
      <c r="D59" s="1299">
        <v>2701483</v>
      </c>
      <c r="E59" s="1299">
        <v>182</v>
      </c>
      <c r="F59" s="1299">
        <v>5840807</v>
      </c>
    </row>
    <row r="60" spans="1:6">
      <c r="A60" s="1298" t="s">
        <v>48</v>
      </c>
      <c r="B60" s="1298" t="s">
        <v>52</v>
      </c>
      <c r="C60" s="1299">
        <v>42</v>
      </c>
      <c r="D60" s="1299">
        <v>3916388.6669999999</v>
      </c>
      <c r="E60" s="1299">
        <v>63</v>
      </c>
      <c r="F60" s="1299">
        <v>2015969.44</v>
      </c>
    </row>
    <row r="61" spans="1:6">
      <c r="A61" s="1298" t="s">
        <v>48</v>
      </c>
      <c r="B61" s="1298" t="s">
        <v>53</v>
      </c>
      <c r="C61" s="1299">
        <v>92</v>
      </c>
      <c r="D61" s="1299">
        <v>2643983.6</v>
      </c>
      <c r="E61" s="1299">
        <v>225</v>
      </c>
      <c r="F61" s="1299">
        <v>2554141.5780000002</v>
      </c>
    </row>
    <row r="62" spans="1:6">
      <c r="A62" s="1298" t="s">
        <v>48</v>
      </c>
      <c r="B62" s="1298" t="s">
        <v>54</v>
      </c>
      <c r="C62" s="1299">
        <v>4</v>
      </c>
      <c r="D62" s="1299">
        <v>914161</v>
      </c>
      <c r="E62" s="1299">
        <v>8</v>
      </c>
      <c r="F62" s="1299">
        <v>83641</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55172</v>
      </c>
      <c r="E65" s="1299">
        <v>0</v>
      </c>
      <c r="F65" s="1299">
        <v>0</v>
      </c>
    </row>
    <row r="66" spans="1:6">
      <c r="A66" s="1298" t="s">
        <v>55</v>
      </c>
      <c r="B66" s="1298" t="s">
        <v>57</v>
      </c>
      <c r="C66" s="1299">
        <v>0</v>
      </c>
      <c r="D66" s="1299">
        <v>0</v>
      </c>
      <c r="E66" s="1299">
        <v>9</v>
      </c>
      <c r="F66" s="1299">
        <v>287458</v>
      </c>
    </row>
    <row r="67" spans="1:6">
      <c r="A67" s="1300" t="s">
        <v>55</v>
      </c>
      <c r="B67" s="1300" t="s">
        <v>58</v>
      </c>
      <c r="C67" s="1299">
        <v>0</v>
      </c>
      <c r="D67" s="1299">
        <v>0</v>
      </c>
      <c r="E67" s="1299">
        <v>0</v>
      </c>
      <c r="F67" s="1299">
        <v>0</v>
      </c>
    </row>
    <row r="68" spans="1:6">
      <c r="A68" s="1293" t="s">
        <v>55</v>
      </c>
      <c r="B68" s="1293" t="s">
        <v>59</v>
      </c>
      <c r="C68" s="1302">
        <v>0</v>
      </c>
      <c r="D68" s="1302">
        <v>0</v>
      </c>
      <c r="E68" s="1302">
        <v>5</v>
      </c>
      <c r="F68" s="1302">
        <v>24517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73554597</v>
      </c>
      <c r="E73" s="450"/>
      <c r="F73" s="330"/>
    </row>
    <row r="74" spans="1:6">
      <c r="A74" s="1298" t="s">
        <v>63</v>
      </c>
      <c r="B74" s="1298" t="s">
        <v>647</v>
      </c>
      <c r="C74" s="1312" t="s">
        <v>649</v>
      </c>
      <c r="D74" s="1313">
        <v>8127975</v>
      </c>
      <c r="E74" s="450"/>
      <c r="F74" s="330"/>
    </row>
    <row r="75" spans="1:6">
      <c r="A75" s="1298" t="s">
        <v>64</v>
      </c>
      <c r="B75" s="1298" t="s">
        <v>646</v>
      </c>
      <c r="C75" s="1312" t="s">
        <v>650</v>
      </c>
      <c r="D75" s="1313">
        <v>25222796</v>
      </c>
      <c r="E75" s="450"/>
      <c r="F75" s="330"/>
    </row>
    <row r="76" spans="1:6">
      <c r="A76" s="1298" t="s">
        <v>64</v>
      </c>
      <c r="B76" s="1298" t="s">
        <v>647</v>
      </c>
      <c r="C76" s="1312" t="s">
        <v>651</v>
      </c>
      <c r="D76" s="1313">
        <v>860999</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288748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4635.2073045595862</v>
      </c>
      <c r="C91" s="330"/>
      <c r="D91" s="330"/>
      <c r="E91" s="330"/>
      <c r="F91" s="330"/>
    </row>
    <row r="92" spans="1:6">
      <c r="A92" s="1293" t="s">
        <v>68</v>
      </c>
      <c r="B92" s="1294">
        <v>2876.5238072412367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593</v>
      </c>
      <c r="C97" s="330"/>
      <c r="D97" s="330"/>
      <c r="E97" s="330"/>
      <c r="F97" s="330"/>
    </row>
    <row r="98" spans="1:6">
      <c r="A98" s="1298" t="s">
        <v>71</v>
      </c>
      <c r="B98" s="1299">
        <v>3</v>
      </c>
      <c r="C98" s="330"/>
      <c r="D98" s="330"/>
      <c r="E98" s="330"/>
      <c r="F98" s="330"/>
    </row>
    <row r="99" spans="1:6">
      <c r="A99" s="1298" t="s">
        <v>72</v>
      </c>
      <c r="B99" s="1299">
        <v>14</v>
      </c>
      <c r="C99" s="330"/>
      <c r="D99" s="330"/>
      <c r="E99" s="330"/>
      <c r="F99" s="330"/>
    </row>
    <row r="100" spans="1:6">
      <c r="A100" s="1298" t="s">
        <v>73</v>
      </c>
      <c r="B100" s="1299">
        <v>235</v>
      </c>
      <c r="C100" s="330"/>
      <c r="D100" s="330"/>
      <c r="E100" s="330"/>
      <c r="F100" s="330"/>
    </row>
    <row r="101" spans="1:6">
      <c r="A101" s="1298" t="s">
        <v>74</v>
      </c>
      <c r="B101" s="1299">
        <v>54</v>
      </c>
      <c r="C101" s="330"/>
      <c r="D101" s="330"/>
      <c r="E101" s="330"/>
      <c r="F101" s="330"/>
    </row>
    <row r="102" spans="1:6">
      <c r="A102" s="1298" t="s">
        <v>75</v>
      </c>
      <c r="B102" s="1299">
        <v>46</v>
      </c>
      <c r="C102" s="330"/>
      <c r="D102" s="330"/>
      <c r="E102" s="330"/>
      <c r="F102" s="330"/>
    </row>
    <row r="103" spans="1:6">
      <c r="A103" s="1298" t="s">
        <v>76</v>
      </c>
      <c r="B103" s="1299">
        <v>114</v>
      </c>
      <c r="C103" s="330"/>
      <c r="D103" s="330"/>
      <c r="E103" s="330"/>
      <c r="F103" s="330"/>
    </row>
    <row r="104" spans="1:6">
      <c r="A104" s="1298" t="s">
        <v>77</v>
      </c>
      <c r="B104" s="1299">
        <v>3288</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25</v>
      </c>
      <c r="C123" s="1299">
        <v>21</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169</v>
      </c>
      <c r="C129" s="330"/>
      <c r="D129" s="330"/>
      <c r="E129" s="330"/>
      <c r="F129" s="330"/>
    </row>
    <row r="130" spans="1:6">
      <c r="A130" s="1298" t="s">
        <v>294</v>
      </c>
      <c r="B130" s="1299">
        <v>3</v>
      </c>
      <c r="C130" s="330"/>
      <c r="D130" s="330"/>
      <c r="E130" s="330"/>
      <c r="F130" s="330"/>
    </row>
    <row r="131" spans="1:6">
      <c r="A131" s="1298" t="s">
        <v>295</v>
      </c>
      <c r="B131" s="1299">
        <v>2</v>
      </c>
      <c r="C131" s="330"/>
      <c r="D131" s="330"/>
      <c r="E131" s="330"/>
      <c r="F131" s="330"/>
    </row>
    <row r="132" spans="1:6">
      <c r="A132" s="1293" t="s">
        <v>296</v>
      </c>
      <c r="B132" s="1294">
        <v>34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43537.8586266356</v>
      </c>
      <c r="C3" s="43" t="s">
        <v>169</v>
      </c>
      <c r="D3" s="43"/>
      <c r="E3" s="154"/>
      <c r="F3" s="43"/>
      <c r="G3" s="43"/>
      <c r="H3" s="43"/>
      <c r="I3" s="43"/>
      <c r="J3" s="43"/>
      <c r="K3" s="96"/>
    </row>
    <row r="4" spans="1:11">
      <c r="A4" s="358" t="s">
        <v>170</v>
      </c>
      <c r="B4" s="49">
        <f>IF(ISERROR('SEAP template'!B78+'SEAP template'!C78),0,'SEAP template'!B78+'SEAP template'!C78)</f>
        <v>7511.7311118008229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0.18287013720761247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867.88400000000001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867.88400000000001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0.18287013720761247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158.71006616029155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17687.961050000002</v>
      </c>
      <c r="C5" s="17">
        <f>IF(ISERROR('Eigen informatie GS &amp; warmtenet'!B59),0,'Eigen informatie GS &amp; warmtenet'!B59)</f>
        <v>0</v>
      </c>
      <c r="D5" s="30">
        <f>(SUM(HH_hh_gas_kWh,HH_rest_gas_kWh)/1000)*0.902</f>
        <v>34652.976287600002</v>
      </c>
      <c r="E5" s="17">
        <f>B46*B57</f>
        <v>2759.7501662299105</v>
      </c>
      <c r="F5" s="17">
        <f>B51*B62</f>
        <v>34299.933965987104</v>
      </c>
      <c r="G5" s="18"/>
      <c r="H5" s="17"/>
      <c r="I5" s="17"/>
      <c r="J5" s="17">
        <f>B50*B61+C50*C61</f>
        <v>0</v>
      </c>
      <c r="K5" s="17"/>
      <c r="L5" s="17"/>
      <c r="M5" s="17"/>
      <c r="N5" s="17">
        <f>B48*B59+C48*C59</f>
        <v>13281.532395312364</v>
      </c>
      <c r="O5" s="17">
        <f>B69*B70*B71</f>
        <v>378.93601990292308</v>
      </c>
      <c r="P5" s="17">
        <f>B77*B78*B79/1000-B77*B78*B79/1000/B80</f>
        <v>621.50359915341642</v>
      </c>
    </row>
    <row r="6" spans="1:16">
      <c r="A6" s="16" t="s">
        <v>611</v>
      </c>
      <c r="B6" s="783">
        <f>kWh_PV_kleiner_dan_10kW</f>
        <v>4635.2073045595862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22323.168354559588</v>
      </c>
      <c r="C8" s="21">
        <f>C5</f>
        <v>0</v>
      </c>
      <c r="D8" s="21">
        <f>D5</f>
        <v>34652.976287600002</v>
      </c>
      <c r="E8" s="21">
        <f>E5</f>
        <v>2759.7501662299105</v>
      </c>
      <c r="F8" s="21">
        <f>F5</f>
        <v>34299.933965987104</v>
      </c>
      <c r="G8" s="21"/>
      <c r="H8" s="21"/>
      <c r="I8" s="21"/>
      <c r="J8" s="21">
        <f>J5</f>
        <v>0</v>
      </c>
      <c r="K8" s="21"/>
      <c r="L8" s="21">
        <f>L5</f>
        <v>0</v>
      </c>
      <c r="M8" s="21">
        <f>M5</f>
        <v>0</v>
      </c>
      <c r="N8" s="21">
        <f>N5</f>
        <v>13281.532395312364</v>
      </c>
      <c r="O8" s="21">
        <f>O5</f>
        <v>378.93601990292308</v>
      </c>
      <c r="P8" s="21">
        <f>P5</f>
        <v>621.50359915341642</v>
      </c>
    </row>
    <row r="9" spans="1:16">
      <c r="B9" s="19"/>
      <c r="C9" s="19"/>
      <c r="D9" s="258"/>
      <c r="E9" s="19"/>
      <c r="F9" s="19"/>
      <c r="G9" s="19"/>
      <c r="H9" s="19"/>
      <c r="I9" s="19"/>
      <c r="J9" s="19"/>
      <c r="K9" s="19"/>
      <c r="L9" s="19"/>
      <c r="M9" s="19"/>
      <c r="N9" s="19"/>
      <c r="O9" s="19"/>
      <c r="P9" s="19"/>
    </row>
    <row r="10" spans="1:16">
      <c r="A10" s="24" t="s">
        <v>213</v>
      </c>
      <c r="B10" s="25">
        <f ca="1">'EF ele_warmte'!B12</f>
        <v>0.18287013720761247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4082.2408599069445</v>
      </c>
      <c r="C12" s="23">
        <f ca="1">C10*C8</f>
        <v>0</v>
      </c>
      <c r="D12" s="23">
        <f>D8*D10</f>
        <v>6999.9012100952013</v>
      </c>
      <c r="E12" s="23">
        <f>E10*E8</f>
        <v>626.46328773418975</v>
      </c>
      <c r="F12" s="23">
        <f>F10*F8</f>
        <v>9158.0823689185581</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593</v>
      </c>
      <c r="C18" s="166" t="s">
        <v>110</v>
      </c>
      <c r="D18" s="228"/>
      <c r="E18" s="15"/>
    </row>
    <row r="19" spans="1:7">
      <c r="A19" s="171" t="s">
        <v>71</v>
      </c>
      <c r="B19" s="37">
        <f>aantalw2001_ander</f>
        <v>3</v>
      </c>
      <c r="C19" s="166" t="s">
        <v>110</v>
      </c>
      <c r="D19" s="229"/>
      <c r="E19" s="15"/>
    </row>
    <row r="20" spans="1:7">
      <c r="A20" s="171" t="s">
        <v>72</v>
      </c>
      <c r="B20" s="37">
        <f>aantalw2001_propaan</f>
        <v>14</v>
      </c>
      <c r="C20" s="167">
        <f>IF(ISERROR(B20/SUM($B$20,$B$21,$B$22)*100),0,B20/SUM($B$20,$B$21,$B$22)*100)</f>
        <v>4.6204620462046204</v>
      </c>
      <c r="D20" s="229"/>
      <c r="E20" s="15"/>
    </row>
    <row r="21" spans="1:7">
      <c r="A21" s="171" t="s">
        <v>73</v>
      </c>
      <c r="B21" s="37">
        <f>aantalw2001_elektriciteit</f>
        <v>235</v>
      </c>
      <c r="C21" s="167">
        <f>IF(ISERROR(B21/SUM($B$20,$B$21,$B$22)*100),0,B21/SUM($B$20,$B$21,$B$22)*100)</f>
        <v>77.557755775577547</v>
      </c>
      <c r="D21" s="229"/>
      <c r="E21" s="15"/>
    </row>
    <row r="22" spans="1:7">
      <c r="A22" s="171" t="s">
        <v>74</v>
      </c>
      <c r="B22" s="37">
        <f>aantalw2001_hout</f>
        <v>54</v>
      </c>
      <c r="C22" s="167">
        <f>IF(ISERROR(B22/SUM($B$20,$B$21,$B$22)*100),0,B22/SUM($B$20,$B$21,$B$22)*100)</f>
        <v>17.82178217821782</v>
      </c>
      <c r="D22" s="229"/>
      <c r="E22" s="15"/>
    </row>
    <row r="23" spans="1:7">
      <c r="A23" s="171" t="s">
        <v>75</v>
      </c>
      <c r="B23" s="37">
        <f>aantalw2001_niet_gespec</f>
        <v>46</v>
      </c>
      <c r="C23" s="166" t="s">
        <v>110</v>
      </c>
      <c r="D23" s="228"/>
      <c r="E23" s="15"/>
    </row>
    <row r="24" spans="1:7">
      <c r="A24" s="171" t="s">
        <v>76</v>
      </c>
      <c r="B24" s="37">
        <f>aantalw2001_steenkool</f>
        <v>114</v>
      </c>
      <c r="C24" s="166" t="s">
        <v>110</v>
      </c>
      <c r="D24" s="229"/>
      <c r="E24" s="15"/>
    </row>
    <row r="25" spans="1:7">
      <c r="A25" s="171" t="s">
        <v>77</v>
      </c>
      <c r="B25" s="37">
        <f>aantalw2001_stookolie</f>
        <v>3288</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5221</v>
      </c>
      <c r="C28" s="36"/>
      <c r="D28" s="228"/>
    </row>
    <row r="29" spans="1:7" s="15" customFormat="1">
      <c r="A29" s="230" t="s">
        <v>819</v>
      </c>
      <c r="B29" s="37">
        <f>SUM(HH_hh_gas_aantal,HH_rest_gas_aantal)</f>
        <v>2410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2410</v>
      </c>
      <c r="C32" s="167">
        <f>IF(ISERROR(B32/SUM($B$32,$B$34,$B$35,$B$36,$B$38,$B$39)*100),0,B32/SUM($B$32,$B$34,$B$35,$B$36,$B$38,$B$39)*100)</f>
        <v>46.687330492057342</v>
      </c>
      <c r="D32" s="233"/>
      <c r="G32" s="15"/>
    </row>
    <row r="33" spans="1:7">
      <c r="A33" s="171" t="s">
        <v>71</v>
      </c>
      <c r="B33" s="34" t="s">
        <v>110</v>
      </c>
      <c r="C33" s="167"/>
      <c r="D33" s="233"/>
      <c r="G33" s="15"/>
    </row>
    <row r="34" spans="1:7">
      <c r="A34" s="171" t="s">
        <v>72</v>
      </c>
      <c r="B34" s="33">
        <f>IF((($B$28-$B$32-$B$39-$B$77-$B$38)*C20/100)&lt;0,0,($B$28-$B$32-$B$39-$B$77-$B$38)*C20/100)</f>
        <v>50.792739273927388</v>
      </c>
      <c r="C34" s="167">
        <f>IF(ISERROR(B34/SUM($B$32,$B$34,$B$35,$B$36,$B$38,$B$39)*100),0,B34/SUM($B$32,$B$34,$B$35,$B$36,$B$38,$B$39)*100)</f>
        <v>0.98397402700363024</v>
      </c>
      <c r="D34" s="233"/>
      <c r="G34" s="15"/>
    </row>
    <row r="35" spans="1:7">
      <c r="A35" s="171" t="s">
        <v>73</v>
      </c>
      <c r="B35" s="33">
        <f>IF((($B$28-$B$32-$B$39-$B$77-$B$38)*C21/100)&lt;0,0,($B$28-$B$32-$B$39-$B$77-$B$38)*C21/100)</f>
        <v>852.59240924092387</v>
      </c>
      <c r="C35" s="167">
        <f>IF(ISERROR(B35/SUM($B$32,$B$34,$B$35,$B$36,$B$38,$B$39)*100),0,B35/SUM($B$32,$B$34,$B$35,$B$36,$B$38,$B$39)*100)</f>
        <v>16.516706881846645</v>
      </c>
      <c r="D35" s="233"/>
      <c r="G35" s="15"/>
    </row>
    <row r="36" spans="1:7">
      <c r="A36" s="171" t="s">
        <v>74</v>
      </c>
      <c r="B36" s="33">
        <f>IF((($B$28-$B$32-$B$39-$B$77-$B$38)*C22/100)&lt;0,0,($B$28-$B$32-$B$39-$B$77-$B$38)*C22/100)</f>
        <v>195.91485148514849</v>
      </c>
      <c r="C36" s="167">
        <f>IF(ISERROR(B36/SUM($B$32,$B$34,$B$35,$B$36,$B$38,$B$39)*100),0,B36/SUM($B$32,$B$34,$B$35,$B$36,$B$38,$B$39)*100)</f>
        <v>3.7953283898711452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1652.7</v>
      </c>
      <c r="C39" s="167">
        <f>IF(ISERROR(B39/SUM($B$32,$B$34,$B$35,$B$36,$B$38,$B$39)*100),0,B39/SUM($B$32,$B$34,$B$35,$B$36,$B$38,$B$39)*100)</f>
        <v>32.016660209221229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2410</v>
      </c>
      <c r="C44" s="34" t="s">
        <v>110</v>
      </c>
      <c r="D44" s="174"/>
    </row>
    <row r="45" spans="1:7">
      <c r="A45" s="171" t="s">
        <v>71</v>
      </c>
      <c r="B45" s="33" t="str">
        <f t="shared" si="0"/>
        <v>-</v>
      </c>
      <c r="C45" s="34" t="s">
        <v>110</v>
      </c>
      <c r="D45" s="174"/>
    </row>
    <row r="46" spans="1:7">
      <c r="A46" s="171" t="s">
        <v>72</v>
      </c>
      <c r="B46" s="33">
        <f t="shared" si="0"/>
        <v>50.792739273927388</v>
      </c>
      <c r="C46" s="34" t="s">
        <v>110</v>
      </c>
      <c r="D46" s="174"/>
    </row>
    <row r="47" spans="1:7">
      <c r="A47" s="171" t="s">
        <v>73</v>
      </c>
      <c r="B47" s="33">
        <f t="shared" si="0"/>
        <v>852.59240924092387</v>
      </c>
      <c r="C47" s="34" t="s">
        <v>110</v>
      </c>
      <c r="D47" s="174"/>
    </row>
    <row r="48" spans="1:7">
      <c r="A48" s="171" t="s">
        <v>74</v>
      </c>
      <c r="B48" s="33">
        <f t="shared" si="0"/>
        <v>195.91485148514849</v>
      </c>
      <c r="C48" s="33">
        <f>B48*10</f>
        <v>1959.1485148514848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1652.7</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191</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12647.330222999999</v>
      </c>
      <c r="C5" s="17">
        <f>IF(ISERROR('Eigen informatie GS &amp; warmtenet'!B60),0,'Eigen informatie GS &amp; warmtenet'!B60)</f>
        <v>0</v>
      </c>
      <c r="D5" s="30">
        <f>SUM(D6:D12)</f>
        <v>11938.904532434</v>
      </c>
      <c r="E5" s="17">
        <f>SUM(E6:E12)</f>
        <v>204.82664597146484</v>
      </c>
      <c r="F5" s="17">
        <f>SUM(F6:F12)</f>
        <v>1362.8305272029882</v>
      </c>
      <c r="G5" s="18"/>
      <c r="H5" s="17"/>
      <c r="I5" s="17"/>
      <c r="J5" s="17">
        <f>SUM(J6:J12)</f>
        <v>1.4795372695177699E-2</v>
      </c>
      <c r="K5" s="17"/>
      <c r="L5" s="17"/>
      <c r="M5" s="17"/>
      <c r="N5" s="17">
        <f>SUM(N6:N12)</f>
        <v>590.73059350413621</v>
      </c>
      <c r="O5" s="17">
        <f>B38*B39*B40</f>
        <v>14.691782297523464</v>
      </c>
      <c r="P5" s="17">
        <f>B46*B47*B48/1000-B46*B47*B48/1000/B49</f>
        <v>105.07827661299004</v>
      </c>
      <c r="R5" s="32"/>
    </row>
    <row r="6" spans="1:18">
      <c r="A6" s="32" t="s">
        <v>53</v>
      </c>
      <c r="B6" s="37">
        <f>B26</f>
        <v>2554.1415780000002</v>
      </c>
      <c r="C6" s="33"/>
      <c r="D6" s="37">
        <f>IF(ISERROR(TER_kantoor_gas_kWh/1000),0,TER_kantoor_gas_kWh/1000)*0.902</f>
        <v>2384.8732072000003</v>
      </c>
      <c r="E6" s="33">
        <f>$C$26*'E Balans VL '!I12/100/3.6*1000000</f>
        <v>20.552358355859432</v>
      </c>
      <c r="F6" s="33">
        <f>$C$26*('E Balans VL '!L12+'E Balans VL '!N12)/100/3.6*1000000</f>
        <v>312.27067661968124</v>
      </c>
      <c r="G6" s="34"/>
      <c r="H6" s="33"/>
      <c r="I6" s="33"/>
      <c r="J6" s="33">
        <f>$C$26*('E Balans VL '!D12+'E Balans VL '!E12)/100/3.6*1000000</f>
        <v>0</v>
      </c>
      <c r="K6" s="33"/>
      <c r="L6" s="33"/>
      <c r="M6" s="33"/>
      <c r="N6" s="33">
        <f>$C$26*'E Balans VL '!Y12/100/3.6*1000000</f>
        <v>1.372725320315787</v>
      </c>
      <c r="O6" s="33"/>
      <c r="P6" s="33"/>
      <c r="R6" s="32"/>
    </row>
    <row r="7" spans="1:18">
      <c r="A7" s="32" t="s">
        <v>52</v>
      </c>
      <c r="B7" s="37">
        <f t="shared" ref="B7:B12" si="0">B27</f>
        <v>2015.9694399999998</v>
      </c>
      <c r="C7" s="33"/>
      <c r="D7" s="37">
        <f>IF(ISERROR(TER_horeca_gas_kWh/1000),0,TER_horeca_gas_kWh/1000)*0.902</f>
        <v>3532.5825776339998</v>
      </c>
      <c r="E7" s="33">
        <f>$C$27*'E Balans VL '!I9/100/3.6*1000000</f>
        <v>21.64656143011744</v>
      </c>
      <c r="F7" s="33">
        <f>$C$27*('E Balans VL '!L9+'E Balans VL '!N9)/100/3.6*1000000</f>
        <v>242.4722390085459</v>
      </c>
      <c r="G7" s="34"/>
      <c r="H7" s="33"/>
      <c r="I7" s="33"/>
      <c r="J7" s="33">
        <f>$C$27*('E Balans VL '!D9+'E Balans VL '!E9)/100/3.6*1000000</f>
        <v>0</v>
      </c>
      <c r="K7" s="33"/>
      <c r="L7" s="33"/>
      <c r="M7" s="33"/>
      <c r="N7" s="33">
        <f>$C$27*'E Balans VL '!Y9/100/3.6*1000000</f>
        <v>0.30223467801288384</v>
      </c>
      <c r="O7" s="33"/>
      <c r="P7" s="33"/>
      <c r="R7" s="32"/>
    </row>
    <row r="8" spans="1:18">
      <c r="A8" s="6" t="s">
        <v>51</v>
      </c>
      <c r="B8" s="37">
        <f t="shared" si="0"/>
        <v>5840.8069999999998</v>
      </c>
      <c r="C8" s="33"/>
      <c r="D8" s="37">
        <f>IF(ISERROR(TER_handel_gas_kWh/1000),0,TER_handel_gas_kWh/1000)*0.902</f>
        <v>2436.7376660000004</v>
      </c>
      <c r="E8" s="33">
        <f>$C$28*'E Balans VL '!I13/100/3.6*1000000</f>
        <v>156.74937842283384</v>
      </c>
      <c r="F8" s="33">
        <f>$C$28*('E Balans VL '!L13+'E Balans VL '!N13)/100/3.6*1000000</f>
        <v>557.39300611346789</v>
      </c>
      <c r="G8" s="34"/>
      <c r="H8" s="33"/>
      <c r="I8" s="33"/>
      <c r="J8" s="33">
        <f>$C$28*('E Balans VL '!D13+'E Balans VL '!E13)/100/3.6*1000000</f>
        <v>0</v>
      </c>
      <c r="K8" s="33"/>
      <c r="L8" s="33"/>
      <c r="M8" s="33"/>
      <c r="N8" s="33">
        <f>$C$28*'E Balans VL '!Y13/100/3.6*1000000</f>
        <v>2.3153623070271085</v>
      </c>
      <c r="O8" s="33"/>
      <c r="P8" s="33"/>
      <c r="R8" s="32"/>
    </row>
    <row r="9" spans="1:18">
      <c r="A9" s="32" t="s">
        <v>50</v>
      </c>
      <c r="B9" s="37">
        <f t="shared" si="0"/>
        <v>1281.2275500000001</v>
      </c>
      <c r="C9" s="33"/>
      <c r="D9" s="37">
        <f>IF(ISERROR(TER_gezond_gas_kWh/1000),0,TER_gezond_gas_kWh/1000)*0.902</f>
        <v>2288.7896415999999</v>
      </c>
      <c r="E9" s="33">
        <f>$C$29*'E Balans VL '!I10/100/3.6*1000000</f>
        <v>2.4014376145060718</v>
      </c>
      <c r="F9" s="33">
        <f>$C$29*('E Balans VL '!L10+'E Balans VL '!N10)/100/3.6*1000000</f>
        <v>105.32859491061735</v>
      </c>
      <c r="G9" s="34"/>
      <c r="H9" s="33"/>
      <c r="I9" s="33"/>
      <c r="J9" s="33">
        <f>$C$29*('E Balans VL '!D10+'E Balans VL '!E10)/100/3.6*1000000</f>
        <v>0</v>
      </c>
      <c r="K9" s="33"/>
      <c r="L9" s="33"/>
      <c r="M9" s="33"/>
      <c r="N9" s="33">
        <f>$C$29*'E Balans VL '!Y10/100/3.6*1000000</f>
        <v>9.9689062721074162</v>
      </c>
      <c r="O9" s="33"/>
      <c r="P9" s="33"/>
      <c r="R9" s="32"/>
    </row>
    <row r="10" spans="1:18">
      <c r="A10" s="32" t="s">
        <v>49</v>
      </c>
      <c r="B10" s="37">
        <f t="shared" si="0"/>
        <v>871.54365500000006</v>
      </c>
      <c r="C10" s="33"/>
      <c r="D10" s="37">
        <f>IF(ISERROR(TER_ander_gas_kWh/1000),0,TER_ander_gas_kWh/1000)*0.902</f>
        <v>471.34821799999997</v>
      </c>
      <c r="E10" s="33">
        <f>$C$30*'E Balans VL '!I14/100/3.6*1000000</f>
        <v>1.3434933753979026</v>
      </c>
      <c r="F10" s="33">
        <f>$C$30*('E Balans VL '!L14+'E Balans VL '!N14)/100/3.6*1000000</f>
        <v>135.30739304160403</v>
      </c>
      <c r="G10" s="34"/>
      <c r="H10" s="33"/>
      <c r="I10" s="33"/>
      <c r="J10" s="33">
        <f>$C$30*('E Balans VL '!D14+'E Balans VL '!E14)/100/3.6*1000000</f>
        <v>1.4795372695177699E-2</v>
      </c>
      <c r="K10" s="33"/>
      <c r="L10" s="33"/>
      <c r="M10" s="33"/>
      <c r="N10" s="33">
        <f>$C$30*'E Balans VL '!Y14/100/3.6*1000000</f>
        <v>576.58534938353091</v>
      </c>
      <c r="O10" s="33"/>
      <c r="P10" s="33"/>
      <c r="R10" s="32"/>
    </row>
    <row r="11" spans="1:18">
      <c r="A11" s="32" t="s">
        <v>54</v>
      </c>
      <c r="B11" s="37">
        <f t="shared" si="0"/>
        <v>83.641000000000005</v>
      </c>
      <c r="C11" s="33"/>
      <c r="D11" s="37">
        <f>IF(ISERROR(TER_onderwijs_gas_kWh/1000),0,TER_onderwijs_gas_kWh/1000)*0.902</f>
        <v>824.57322199999999</v>
      </c>
      <c r="E11" s="33">
        <f>$C$31*'E Balans VL '!I11/100/3.6*1000000</f>
        <v>2.1334167727501421</v>
      </c>
      <c r="F11" s="33">
        <f>$C$31*('E Balans VL '!L11+'E Balans VL '!N11)/100/3.6*1000000</f>
        <v>10.05861750907188</v>
      </c>
      <c r="G11" s="34"/>
      <c r="H11" s="33"/>
      <c r="I11" s="33"/>
      <c r="J11" s="33">
        <f>$C$31*('E Balans VL '!D11+'E Balans VL '!E11)/100/3.6*1000000</f>
        <v>0</v>
      </c>
      <c r="K11" s="33"/>
      <c r="L11" s="33"/>
      <c r="M11" s="33"/>
      <c r="N11" s="33">
        <f>$C$31*'E Balans VL '!Y11/100/3.6*1000000</f>
        <v>0.18601554314201463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12647.330222999999</v>
      </c>
      <c r="C16" s="21">
        <f t="shared" ca="1" si="1"/>
        <v>0</v>
      </c>
      <c r="D16" s="21">
        <f t="shared" ca="1" si="1"/>
        <v>11938.904532434</v>
      </c>
      <c r="E16" s="21">
        <f t="shared" si="1"/>
        <v>204.82664597146484</v>
      </c>
      <c r="F16" s="21">
        <f t="shared" ca="1" si="1"/>
        <v>1362.8305272029882</v>
      </c>
      <c r="G16" s="21">
        <f t="shared" si="1"/>
        <v>0</v>
      </c>
      <c r="H16" s="21">
        <f t="shared" si="1"/>
        <v>0</v>
      </c>
      <c r="I16" s="21">
        <f t="shared" si="1"/>
        <v>0</v>
      </c>
      <c r="J16" s="21">
        <f t="shared" si="1"/>
        <v>1.4795372695177699E-2</v>
      </c>
      <c r="K16" s="21">
        <f t="shared" si="1"/>
        <v>0</v>
      </c>
      <c r="L16" s="21">
        <f t="shared" ca="1" si="1"/>
        <v>0</v>
      </c>
      <c r="M16" s="21">
        <f t="shared" si="1"/>
        <v>0</v>
      </c>
      <c r="N16" s="21">
        <f t="shared" ca="1" si="1"/>
        <v>590.73059350413621</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0.18287013720761247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2312.8190131899937</v>
      </c>
      <c r="C20" s="23">
        <f t="shared" ref="C20:P20" ca="1" si="2">C16*C18</f>
        <v>0</v>
      </c>
      <c r="D20" s="23">
        <f t="shared" ca="1" si="2"/>
        <v>2411.6587155516681</v>
      </c>
      <c r="E20" s="23">
        <f t="shared" si="2"/>
        <v>46.495648635522521</v>
      </c>
      <c r="F20" s="23">
        <f t="shared" ca="1" si="2"/>
        <v>363.87575076319786</v>
      </c>
      <c r="G20" s="23">
        <f t="shared" si="2"/>
        <v>0</v>
      </c>
      <c r="H20" s="23">
        <f t="shared" si="2"/>
        <v>0</v>
      </c>
      <c r="I20" s="23">
        <f t="shared" si="2"/>
        <v>0</v>
      </c>
      <c r="J20" s="23">
        <f t="shared" si="2"/>
        <v>5.2375619340929054E-3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2554.1415780000002</v>
      </c>
      <c r="C26" s="39">
        <f>IF(ISERROR(B26*3.6/1000000/'E Balans VL '!Z12*100),0,B26*3.6/1000000/'E Balans VL '!Z12*100)</f>
        <v>5.418377680606614E-2</v>
      </c>
      <c r="D26" s="237" t="s">
        <v>708</v>
      </c>
      <c r="F26" s="6"/>
    </row>
    <row r="27" spans="1:18">
      <c r="A27" s="231" t="s">
        <v>52</v>
      </c>
      <c r="B27" s="33">
        <f>IF(ISERROR(TER_horeca_ele_kWh/1000),0,TER_horeca_ele_kWh/1000)</f>
        <v>2015.9694399999998</v>
      </c>
      <c r="C27" s="39">
        <f>IF(ISERROR(B27*3.6/1000000/'E Balans VL '!Z9*100),0,B27*3.6/1000000/'E Balans VL '!Z9*100)</f>
        <v>0.15182035731050414</v>
      </c>
      <c r="D27" s="237" t="s">
        <v>708</v>
      </c>
      <c r="F27" s="6"/>
    </row>
    <row r="28" spans="1:18">
      <c r="A28" s="171" t="s">
        <v>51</v>
      </c>
      <c r="B28" s="33">
        <f>IF(ISERROR(TER_handel_ele_kWh/1000),0,TER_handel_ele_kWh/1000)</f>
        <v>5840.8069999999998</v>
      </c>
      <c r="C28" s="39">
        <f>IF(ISERROR(B28*3.6/1000000/'E Balans VL '!Z13*100),0,B28*3.6/1000000/'E Balans VL '!Z13*100)</f>
        <v>0.16953793161609146</v>
      </c>
      <c r="D28" s="237" t="s">
        <v>708</v>
      </c>
      <c r="F28" s="6"/>
    </row>
    <row r="29" spans="1:18">
      <c r="A29" s="231" t="s">
        <v>50</v>
      </c>
      <c r="B29" s="33">
        <f>IF(ISERROR(TER_gezond_ele_kWh/1000),0,TER_gezond_ele_kWh/1000)</f>
        <v>1281.2275500000001</v>
      </c>
      <c r="C29" s="39">
        <f>IF(ISERROR(B29*3.6/1000000/'E Balans VL '!Z10*100),0,B29*3.6/1000000/'E Balans VL '!Z10*100)</f>
        <v>0.12921332634358446</v>
      </c>
      <c r="D29" s="237" t="s">
        <v>708</v>
      </c>
      <c r="F29" s="6"/>
    </row>
    <row r="30" spans="1:18">
      <c r="A30" s="231" t="s">
        <v>49</v>
      </c>
      <c r="B30" s="33">
        <f>IF(ISERROR(TER_ander_ele_kWh/1000),0,TER_ander_ele_kWh/1000)</f>
        <v>871.54365500000006</v>
      </c>
      <c r="C30" s="39">
        <f>IF(ISERROR(B30*3.6/1000000/'E Balans VL '!Z14*100),0,B30*3.6/1000000/'E Balans VL '!Z14*100)</f>
        <v>6.3242382205802666E-2</v>
      </c>
      <c r="D30" s="237" t="s">
        <v>708</v>
      </c>
      <c r="F30" s="6"/>
    </row>
    <row r="31" spans="1:18">
      <c r="A31" s="231" t="s">
        <v>54</v>
      </c>
      <c r="B31" s="33">
        <f>IF(ISERROR(TER_onderwijs_ele_kWh/1000),0,TER_onderwijs_ele_kWh/1000)</f>
        <v>83.641000000000005</v>
      </c>
      <c r="C31" s="39">
        <f>IF(ISERROR(B31*3.6/1000000/'E Balans VL '!Z11*100),0,B31*3.6/1000000/'E Balans VL '!Z11*100)</f>
        <v>2.3841091020116653E-2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4706.1257509999996</v>
      </c>
      <c r="C5" s="17">
        <f>IF(ISERROR('Eigen informatie GS &amp; warmtenet'!B61),0,'Eigen informatie GS &amp; warmtenet'!B61)</f>
        <v>0</v>
      </c>
      <c r="D5" s="30">
        <f>SUM(D6:D15)</f>
        <v>1325.837172</v>
      </c>
      <c r="E5" s="17">
        <f>SUM(E6:E15)</f>
        <v>386.17913330885801</v>
      </c>
      <c r="F5" s="17">
        <f>SUM(F6:F15)</f>
        <v>1521.9644759231755</v>
      </c>
      <c r="G5" s="18"/>
      <c r="H5" s="17"/>
      <c r="I5" s="17"/>
      <c r="J5" s="17">
        <f>SUM(J6:J15)</f>
        <v>6.2767341271306893</v>
      </c>
      <c r="K5" s="17"/>
      <c r="L5" s="17"/>
      <c r="M5" s="17"/>
      <c r="N5" s="17">
        <f>SUM(N6:N15)</f>
        <v>401.16176079081595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983.79300000000001</v>
      </c>
      <c r="C8" s="33"/>
      <c r="D8" s="37">
        <f>IF( ISERROR(IND_metaal_Gas_kWH/1000),0,IND_metaal_Gas_kWH/1000)*0.902</f>
        <v>140.674116</v>
      </c>
      <c r="E8" s="33">
        <f>C30*'E Balans VL '!I18/100/3.6*1000000</f>
        <v>7.0973760045396634</v>
      </c>
      <c r="F8" s="33">
        <f>C30*'E Balans VL '!L18/100/3.6*1000000+C30*'E Balans VL '!N18/100/3.6*1000000</f>
        <v>93.048677927781924</v>
      </c>
      <c r="G8" s="34"/>
      <c r="H8" s="33"/>
      <c r="I8" s="33"/>
      <c r="J8" s="40">
        <f>C30*'E Balans VL '!D18/100/3.6*1000000+C30*'E Balans VL '!E18/100/3.6*1000000</f>
        <v>0.98950471641602933</v>
      </c>
      <c r="K8" s="33"/>
      <c r="L8" s="33"/>
      <c r="M8" s="33"/>
      <c r="N8" s="33">
        <f>C30*'E Balans VL '!Y18/100/3.6*1000000</f>
        <v>12.437746379306938</v>
      </c>
      <c r="O8" s="33"/>
      <c r="P8" s="33"/>
      <c r="R8" s="32"/>
    </row>
    <row r="9" spans="1:18">
      <c r="A9" s="6" t="s">
        <v>32</v>
      </c>
      <c r="B9" s="37">
        <f t="shared" si="0"/>
        <v>1218.842508</v>
      </c>
      <c r="C9" s="33"/>
      <c r="D9" s="37">
        <f>IF( ISERROR(IND_andere_gas_kWh/1000),0,IND_andere_gas_kWh/1000)*0.902</f>
        <v>832.55718480000007</v>
      </c>
      <c r="E9" s="33">
        <f>C31*'E Balans VL '!I19/100/3.6*1000000</f>
        <v>337.75755693297748</v>
      </c>
      <c r="F9" s="33">
        <f>C31*'E Balans VL '!L19/100/3.6*1000000+C31*'E Balans VL '!N19/100/3.6*1000000</f>
        <v>1010.1793045693594</v>
      </c>
      <c r="G9" s="34"/>
      <c r="H9" s="33"/>
      <c r="I9" s="33"/>
      <c r="J9" s="40">
        <f>C31*'E Balans VL '!D19/100/3.6*1000000+C31*'E Balans VL '!E19/100/3.6*1000000</f>
        <v>0</v>
      </c>
      <c r="K9" s="33"/>
      <c r="L9" s="33"/>
      <c r="M9" s="33"/>
      <c r="N9" s="33">
        <f>C31*'E Balans VL '!Y19/100/3.6*1000000</f>
        <v>88.473058023006715</v>
      </c>
      <c r="O9" s="33"/>
      <c r="P9" s="33"/>
      <c r="R9" s="32"/>
    </row>
    <row r="10" spans="1:18">
      <c r="A10" s="6" t="s">
        <v>40</v>
      </c>
      <c r="B10" s="37">
        <f t="shared" si="0"/>
        <v>1568.13555</v>
      </c>
      <c r="C10" s="33"/>
      <c r="D10" s="37">
        <f>IF( ISERROR(IND_voed_gas_kWh/1000),0,IND_voed_gas_kWh/1000)*0.902</f>
        <v>219.250944</v>
      </c>
      <c r="E10" s="33">
        <f>C32*'E Balans VL '!I20/100/3.6*1000000</f>
        <v>2.776131085065074</v>
      </c>
      <c r="F10" s="33">
        <f>C32*'E Balans VL '!L20/100/3.6*1000000+C32*'E Balans VL '!N20/100/3.6*1000000</f>
        <v>84.693217960710214</v>
      </c>
      <c r="G10" s="34"/>
      <c r="H10" s="33"/>
      <c r="I10" s="33"/>
      <c r="J10" s="40">
        <f>C32*'E Balans VL '!D20/100/3.6*1000000+C32*'E Balans VL '!E20/100/3.6*1000000</f>
        <v>0</v>
      </c>
      <c r="K10" s="33"/>
      <c r="L10" s="33"/>
      <c r="M10" s="33"/>
      <c r="N10" s="33">
        <f>C32*'E Balans VL '!Y20/100/3.6*1000000</f>
        <v>91.120651455426952</v>
      </c>
      <c r="O10" s="33"/>
      <c r="P10" s="33"/>
      <c r="R10" s="32"/>
    </row>
    <row r="11" spans="1:18">
      <c r="A11" s="6" t="s">
        <v>39</v>
      </c>
      <c r="B11" s="37">
        <f t="shared" si="0"/>
        <v>22.2</v>
      </c>
      <c r="C11" s="33"/>
      <c r="D11" s="37">
        <f>IF( ISERROR(IND_textiel_gas_kWh/1000),0,IND_textiel_gas_kWh/1000)*0.902</f>
        <v>0</v>
      </c>
      <c r="E11" s="33">
        <f>C33*'E Balans VL '!I21/100/3.6*1000000</f>
        <v>7.8257304248336157E-2</v>
      </c>
      <c r="F11" s="33">
        <f>C33*'E Balans VL '!L21/100/3.6*1000000+C33*'E Balans VL '!N21/100/3.6*1000000</f>
        <v>0.65160319702176495</v>
      </c>
      <c r="G11" s="34"/>
      <c r="H11" s="33"/>
      <c r="I11" s="33"/>
      <c r="J11" s="40">
        <f>C33*'E Balans VL '!D21/100/3.6*1000000+C33*'E Balans VL '!E21/100/3.6*1000000</f>
        <v>0</v>
      </c>
      <c r="K11" s="33"/>
      <c r="L11" s="33"/>
      <c r="M11" s="33"/>
      <c r="N11" s="33">
        <f>C33*'E Balans VL '!Y21/100/3.6*1000000</f>
        <v>0.97812882215266128</v>
      </c>
      <c r="O11" s="33"/>
      <c r="P11" s="33"/>
      <c r="R11" s="32"/>
    </row>
    <row r="12" spans="1:18">
      <c r="A12" s="6" t="s">
        <v>36</v>
      </c>
      <c r="B12" s="37">
        <f t="shared" si="0"/>
        <v>836.13214300000004</v>
      </c>
      <c r="C12" s="33"/>
      <c r="D12" s="37">
        <f>IF( ISERROR(IND_min_gas_kWh/1000),0,IND_min_gas_kWh/1000)*0.902</f>
        <v>39.324494000000001</v>
      </c>
      <c r="E12" s="33">
        <f>C34*'E Balans VL '!I22/100/3.6*1000000</f>
        <v>36.82027706594959</v>
      </c>
      <c r="F12" s="33">
        <f>C34*'E Balans VL '!L22/100/3.6*1000000+C34*'E Balans VL '!N22/100/3.6*1000000</f>
        <v>326.96143557747911</v>
      </c>
      <c r="G12" s="34"/>
      <c r="H12" s="33"/>
      <c r="I12" s="33"/>
      <c r="J12" s="40">
        <f>C34*'E Balans VL '!D22/100/3.6*1000000+C34*'E Balans VL '!E22/100/3.6*1000000</f>
        <v>0.25387943137400992</v>
      </c>
      <c r="K12" s="33"/>
      <c r="L12" s="33"/>
      <c r="M12" s="33"/>
      <c r="N12" s="33">
        <f>C34*'E Balans VL '!Y22/100/3.6*1000000</f>
        <v>206.83375312672302</v>
      </c>
      <c r="O12" s="33"/>
      <c r="P12" s="33"/>
      <c r="R12" s="32"/>
    </row>
    <row r="13" spans="1:18">
      <c r="A13" s="6" t="s">
        <v>38</v>
      </c>
      <c r="B13" s="37">
        <f t="shared" si="0"/>
        <v>43.472999999999999</v>
      </c>
      <c r="C13" s="33"/>
      <c r="D13" s="37">
        <f>IF( ISERROR(IND_papier_gas_kWh/1000),0,IND_papier_gas_kWh/1000)*0.902</f>
        <v>0</v>
      </c>
      <c r="E13" s="33">
        <f>C35*'E Balans VL '!I23/100/3.6*1000000</f>
        <v>6.3963710766394899E-2</v>
      </c>
      <c r="F13" s="33">
        <f>C35*'E Balans VL '!L23/100/3.6*1000000+C35*'E Balans VL '!N23/100/3.6*1000000</f>
        <v>0.46547873667230205</v>
      </c>
      <c r="G13" s="34"/>
      <c r="H13" s="33"/>
      <c r="I13" s="33"/>
      <c r="J13" s="40">
        <f>C35*'E Balans VL '!D23/100/3.6*1000000+C35*'E Balans VL '!E23/100/3.6*1000000</f>
        <v>4.7561899838269976</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33.549550000000004</v>
      </c>
      <c r="C15" s="33"/>
      <c r="D15" s="37">
        <f>IF( ISERROR(IND_rest_gas_kWh/1000),0,IND_rest_gas_kWh/1000)*0.902</f>
        <v>94.030433200000004</v>
      </c>
      <c r="E15" s="33">
        <f>C37*'E Balans VL '!I15/100/3.6*1000000</f>
        <v>1.5855712053114717</v>
      </c>
      <c r="F15" s="33">
        <f>C37*'E Balans VL '!L15/100/3.6*1000000+C37*'E Balans VL '!N15/100/3.6*1000000</f>
        <v>5.9647579541508913</v>
      </c>
      <c r="G15" s="34"/>
      <c r="H15" s="33"/>
      <c r="I15" s="33"/>
      <c r="J15" s="40">
        <f>C37*'E Balans VL '!D15/100/3.6*1000000+C37*'E Balans VL '!E15/100/3.6*1000000</f>
        <v>0.27715999551365306</v>
      </c>
      <c r="K15" s="33"/>
      <c r="L15" s="33"/>
      <c r="M15" s="33"/>
      <c r="N15" s="33">
        <f>C37*'E Balans VL '!Y15/100/3.6*1000000</f>
        <v>1.3184229841996016</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4706.1257509999996</v>
      </c>
      <c r="C18" s="21">
        <f>C5+C16</f>
        <v>0</v>
      </c>
      <c r="D18" s="21">
        <f>MAX((D5+D16),0)</f>
        <v>1325.837172</v>
      </c>
      <c r="E18" s="21">
        <f>MAX((E5+E16),0)</f>
        <v>386.17913330885801</v>
      </c>
      <c r="F18" s="21">
        <f>MAX((F5+F16),0)</f>
        <v>1521.9644759231755</v>
      </c>
      <c r="G18" s="21"/>
      <c r="H18" s="21"/>
      <c r="I18" s="21"/>
      <c r="J18" s="21">
        <f>MAX((J5+J16),0)</f>
        <v>6.2767341271306893</v>
      </c>
      <c r="K18" s="21"/>
      <c r="L18" s="21">
        <f>MAX((L5+L16),0)</f>
        <v>0</v>
      </c>
      <c r="M18" s="21"/>
      <c r="N18" s="21">
        <f>MAX((N5+N16),0)</f>
        <v>401.16176079081595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0.18287013720761247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860.60986180164821</v>
      </c>
      <c r="C22" s="23">
        <f ca="1">C18*C20</f>
        <v>0</v>
      </c>
      <c r="D22" s="23">
        <f>D18*D20</f>
        <v>267.819108744</v>
      </c>
      <c r="E22" s="23">
        <f>E18*E20</f>
        <v>87.662663261110765</v>
      </c>
      <c r="F22" s="23">
        <f>F18*F20</f>
        <v>406.36451507148792</v>
      </c>
      <c r="G22" s="23"/>
      <c r="H22" s="23"/>
      <c r="I22" s="23"/>
      <c r="J22" s="23">
        <f>J18*J20</f>
        <v>2.2219638810042639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983.79300000000001</v>
      </c>
      <c r="C30" s="39">
        <f>IF(ISERROR(B30*3.6/1000000/'E Balans VL '!Z18*100),0,B30*3.6/1000000/'E Balans VL '!Z18*100)</f>
        <v>5.679283483088686E-2</v>
      </c>
      <c r="D30" s="237" t="s">
        <v>708</v>
      </c>
    </row>
    <row r="31" spans="1:18">
      <c r="A31" s="6" t="s">
        <v>32</v>
      </c>
      <c r="B31" s="37">
        <f>IF( ISERROR(IND_ander_ele_kWh/1000),0,IND_ander_ele_kWh/1000)</f>
        <v>1218.842508</v>
      </c>
      <c r="C31" s="39">
        <f>IF(ISERROR(B31*3.6/1000000/'E Balans VL '!Z19*100),0,B31*3.6/1000000/'E Balans VL '!Z19*100)</f>
        <v>6.1303827427386243E-2</v>
      </c>
      <c r="D31" s="237" t="s">
        <v>708</v>
      </c>
    </row>
    <row r="32" spans="1:18">
      <c r="A32" s="171" t="s">
        <v>40</v>
      </c>
      <c r="B32" s="37">
        <f>IF( ISERROR(IND_voed_ele_kWh/1000),0,IND_voed_ele_kWh/1000)</f>
        <v>1568.13555</v>
      </c>
      <c r="C32" s="39">
        <f>IF(ISERROR(B32*3.6/1000000/'E Balans VL '!Z20*100),0,B32*3.6/1000000/'E Balans VL '!Z20*100)</f>
        <v>5.2228225792927387E-2</v>
      </c>
      <c r="D32" s="237" t="s">
        <v>708</v>
      </c>
    </row>
    <row r="33" spans="1:5">
      <c r="A33" s="171" t="s">
        <v>39</v>
      </c>
      <c r="B33" s="37">
        <f>IF( ISERROR(IND_textiel_ele_kWh/1000),0,IND_textiel_ele_kWh/1000)</f>
        <v>22.2</v>
      </c>
      <c r="C33" s="39">
        <f>IF(ISERROR(B33*3.6/1000000/'E Balans VL '!Z21*100),0,B33*3.6/1000000/'E Balans VL '!Z21*100)</f>
        <v>3.4612625489798547E-3</v>
      </c>
      <c r="D33" s="237" t="s">
        <v>708</v>
      </c>
    </row>
    <row r="34" spans="1:5">
      <c r="A34" s="171" t="s">
        <v>36</v>
      </c>
      <c r="B34" s="37">
        <f>IF( ISERROR(IND_min_ele_kWh/1000),0,IND_min_ele_kWh/1000)</f>
        <v>836.13214300000004</v>
      </c>
      <c r="C34" s="39">
        <f>IF(ISERROR(B34*3.6/1000000/'E Balans VL '!Z22*100),0,B34*3.6/1000000/'E Balans VL '!Z22*100)</f>
        <v>0.15596688616832552</v>
      </c>
      <c r="D34" s="237" t="s">
        <v>708</v>
      </c>
    </row>
    <row r="35" spans="1:5">
      <c r="A35" s="171" t="s">
        <v>38</v>
      </c>
      <c r="B35" s="37">
        <f>IF( ISERROR(IND_papier_ele_kWh/1000),0,IND_papier_ele_kWh/1000)</f>
        <v>43.472999999999999</v>
      </c>
      <c r="C35" s="39">
        <f>IF(ISERROR(B35*3.6/1000000/'E Balans VL '!Z22*100),0,B35*3.6/1000000/'E Balans VL '!Z22*100)</f>
        <v>8.109182859623202E-3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33.549550000000004</v>
      </c>
      <c r="C37" s="39">
        <f>IF(ISERROR(B37*3.6/1000000/'E Balans VL '!Z15*100),0,B37*3.6/1000000/'E Balans VL '!Z15*100)</f>
        <v>2.6177823564594481E-4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2596.8449999999998</v>
      </c>
      <c r="C5" s="17">
        <f>'Eigen informatie GS &amp; warmtenet'!B62</f>
        <v>0</v>
      </c>
      <c r="D5" s="30">
        <f>IF(ISERROR(SUM(LB_lb_gas_kWh,LB_rest_gas_kWh)/1000),0,SUM(LB_lb_gas_kWh,LB_rest_gas_kWh)/1000)*0.902</f>
        <v>2215.2003838140004</v>
      </c>
      <c r="E5" s="17">
        <f>B17*'E Balans VL '!I25/3.6*1000000/100</f>
        <v>81.046676116163084</v>
      </c>
      <c r="F5" s="17">
        <f>B17*('E Balans VL '!L25/3.6*1000000+'E Balans VL '!N25/3.6*1000000)/100</f>
        <v>9177.5379007288957</v>
      </c>
      <c r="G5" s="18"/>
      <c r="H5" s="17"/>
      <c r="I5" s="17"/>
      <c r="J5" s="17">
        <f>('E Balans VL '!D25+'E Balans VL '!E25)/3.6*1000000*landbouw!B17/100</f>
        <v>715.44880646224556</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2596.8449999999998</v>
      </c>
      <c r="C8" s="21">
        <f>C5+C6</f>
        <v>0</v>
      </c>
      <c r="D8" s="21">
        <f>MAX((D5+D6),0)</f>
        <v>2215.2003838140004</v>
      </c>
      <c r="E8" s="21">
        <f>MAX((E5+E6),0)</f>
        <v>81.046676116163084</v>
      </c>
      <c r="F8" s="21">
        <f>MAX((F5+F6),0)</f>
        <v>9177.5379007288957</v>
      </c>
      <c r="G8" s="21"/>
      <c r="H8" s="21"/>
      <c r="I8" s="21"/>
      <c r="J8" s="21">
        <f>MAX((J5+J6),0)</f>
        <v>715.44880646224556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0.18287013720761247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474.88540145690234</v>
      </c>
      <c r="C12" s="23">
        <f ca="1">C8*C10</f>
        <v>0</v>
      </c>
      <c r="D12" s="23">
        <f>D8*D10</f>
        <v>447.47047753042813</v>
      </c>
      <c r="E12" s="23">
        <f>E8*E10</f>
        <v>18.39759547836902</v>
      </c>
      <c r="F12" s="23">
        <f>F8*F10</f>
        <v>2450.4026194946155</v>
      </c>
      <c r="G12" s="23"/>
      <c r="H12" s="23"/>
      <c r="I12" s="23"/>
      <c r="J12" s="23">
        <f>J8*J10</f>
        <v>253.26887748763491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0.38603962519830315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179.29871192092995</v>
      </c>
      <c r="C26" s="247">
        <f>B26*'GWP N2O_CH4'!B5</f>
        <v>3765.272950339529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37.988669270796628</v>
      </c>
      <c r="C27" s="247">
        <f>B27*'GWP N2O_CH4'!B5</f>
        <v>797.76205468672913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2.7986556532454636</v>
      </c>
      <c r="C28" s="247">
        <f>B28*'GWP N2O_CH4'!B4</f>
        <v>867.58325250609369</v>
      </c>
      <c r="D28" s="50"/>
    </row>
    <row r="29" spans="1:4">
      <c r="A29" s="41" t="s">
        <v>276</v>
      </c>
      <c r="B29" s="247">
        <f>B34*'ha_N2O bodem landbouw'!B4</f>
        <v>15.870041154700688</v>
      </c>
      <c r="C29" s="247">
        <f>B29*'GWP N2O_CH4'!B4</f>
        <v>4919.7127579572134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3.4800142915595396E-3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1.7006903307364686E-4</v>
      </c>
      <c r="C5" s="437" t="s">
        <v>210</v>
      </c>
      <c r="D5" s="422">
        <f>SUM(D6:D11)</f>
        <v>6.4498827485189058E-4</v>
      </c>
      <c r="E5" s="422">
        <f>SUM(E6:E11)</f>
        <v>5.4147747319979733E-4</v>
      </c>
      <c r="F5" s="435" t="s">
        <v>210</v>
      </c>
      <c r="G5" s="422">
        <f>SUM(G6:G11)</f>
        <v>0.25852895817977894</v>
      </c>
      <c r="H5" s="422">
        <f>SUM(H6:H11)</f>
        <v>6.0052390657236492E-2</v>
      </c>
      <c r="I5" s="437" t="s">
        <v>210</v>
      </c>
      <c r="J5" s="437" t="s">
        <v>210</v>
      </c>
      <c r="K5" s="437" t="s">
        <v>210</v>
      </c>
      <c r="L5" s="437" t="s">
        <v>210</v>
      </c>
      <c r="M5" s="422">
        <f>SUM(M6:M11)</f>
        <v>1.887816034047609E-2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1.2664192493834866E-4</v>
      </c>
      <c r="C6" s="423"/>
      <c r="D6" s="890">
        <f>vkm_GW_PW*SUMIFS(TableVerdeelsleutelVkm[CNG],TableVerdeelsleutelVkm[Voertuigtype],"Lichte voertuigen")*SUMIFS(TableECFTransport[EnergieConsumptieFactor (PJ per km)],TableECFTransport[Index],CONCATENATE($A6,"_CNG_CNG"))</f>
        <v>4.0796460151022127E-4</v>
      </c>
      <c r="E6" s="890">
        <f>vkm_GW_PW*SUMIFS(TableVerdeelsleutelVkm[LPG],TableVerdeelsleutelVkm[Voertuigtype],"Lichte voertuigen")*SUMIFS(TableECFTransport[EnergieConsumptieFactor (PJ per km)],TableECFTransport[Index],CONCATENATE($A6,"_LPG_LPG"))</f>
        <v>3.4888178385541303E-4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0.11270606467182942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3.8217935302559541E-2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9.0270184318075614E-3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7.7161842235630523E-2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1.1033450613520031E-6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4.447794262066279E-3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4.3427108135298204E-5</v>
      </c>
      <c r="C8" s="423"/>
      <c r="D8" s="425">
        <f>vkm_NGW_PW*SUMIFS(TableVerdeelsleutelVkm[CNG],TableVerdeelsleutelVkm[Voertuigtype],"Lichte voertuigen")*SUMIFS(TableECFTransport[EnergieConsumptieFactor (PJ per km)],TableECFTransport[Index],CONCATENATE($A8,"_CNG_CNG"))</f>
        <v>2.3702367334166934E-4</v>
      </c>
      <c r="E8" s="425">
        <f>vkm_NGW_PW*SUMIFS(TableVerdeelsleutelVkm[LPG],TableVerdeelsleutelVkm[Voertuigtype],"Lichte voertuigen")*SUMIFS(TableECFTransport[EnergieConsumptieFactor (PJ per km)],TableECFTransport[Index],CONCATENATE($A8,"_LPG_LPG"))</f>
        <v>1.9259568934438436E-4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5.8138882313446667E-2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2.1833161244197357E-2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4.7968218393193872E-3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1.0522168958872329E-2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1.9076541824385044E-7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6.0652580728286296E-4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47.24139807601302</v>
      </c>
      <c r="C14" s="21"/>
      <c r="D14" s="21">
        <f t="shared" ref="D14:M14" si="0">((D5)*10^9/3600)+D12</f>
        <v>179.16340968108074</v>
      </c>
      <c r="E14" s="21">
        <f t="shared" si="0"/>
        <v>150.41040922216592</v>
      </c>
      <c r="F14" s="21"/>
      <c r="G14" s="21">
        <f t="shared" si="0"/>
        <v>71813.59949438303</v>
      </c>
      <c r="H14" s="21">
        <f t="shared" si="0"/>
        <v>16681.219627010138</v>
      </c>
      <c r="I14" s="21"/>
      <c r="J14" s="21"/>
      <c r="K14" s="21"/>
      <c r="L14" s="21"/>
      <c r="M14" s="21">
        <f t="shared" si="0"/>
        <v>5243.9334279100249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0.18287013720761247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8.6390409480399413</v>
      </c>
      <c r="C18" s="23"/>
      <c r="D18" s="23">
        <f t="shared" ref="D18:M18" si="1">D14*D16</f>
        <v>36.191008755578309</v>
      </c>
      <c r="E18" s="23">
        <f t="shared" si="1"/>
        <v>34.143162893431665</v>
      </c>
      <c r="F18" s="23"/>
      <c r="G18" s="23">
        <f t="shared" si="1"/>
        <v>19174.231065000269</v>
      </c>
      <c r="H18" s="23">
        <f t="shared" si="1"/>
        <v>4153.6236871255242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3.58739218577106E-3</v>
      </c>
      <c r="H50" s="319">
        <f t="shared" si="2"/>
        <v>0</v>
      </c>
      <c r="I50" s="319">
        <f t="shared" si="2"/>
        <v>0</v>
      </c>
      <c r="J50" s="319">
        <f t="shared" si="2"/>
        <v>0</v>
      </c>
      <c r="K50" s="319">
        <f t="shared" si="2"/>
        <v>0</v>
      </c>
      <c r="L50" s="319">
        <f t="shared" si="2"/>
        <v>0</v>
      </c>
      <c r="M50" s="319">
        <f t="shared" si="2"/>
        <v>1.9935628502118239E-4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3.58739218577106E-3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1.9935628502118239E-4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996.49782938085002</v>
      </c>
      <c r="H54" s="21">
        <f t="shared" si="3"/>
        <v>0</v>
      </c>
      <c r="I54" s="21">
        <f t="shared" si="3"/>
        <v>0</v>
      </c>
      <c r="J54" s="21">
        <f t="shared" si="3"/>
        <v>0</v>
      </c>
      <c r="K54" s="21">
        <f t="shared" si="3"/>
        <v>0</v>
      </c>
      <c r="L54" s="21">
        <f t="shared" si="3"/>
        <v>0</v>
      </c>
      <c r="M54" s="21">
        <f t="shared" si="3"/>
        <v>55.376745839217328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0.18287013720761247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266.06492044468695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13515.214222999999</v>
      </c>
      <c r="D10" s="686">
        <f ca="1">tertiair!C16</f>
        <v>0</v>
      </c>
      <c r="E10" s="686">
        <f ca="1">tertiair!D16</f>
        <v>11938.904532434</v>
      </c>
      <c r="F10" s="686">
        <f>tertiair!E16</f>
        <v>204.82664597146484</v>
      </c>
      <c r="G10" s="686">
        <f ca="1">tertiair!F16</f>
        <v>1362.8305272029882</v>
      </c>
      <c r="H10" s="686">
        <f>tertiair!G16</f>
        <v>0</v>
      </c>
      <c r="I10" s="686">
        <f>tertiair!H16</f>
        <v>0</v>
      </c>
      <c r="J10" s="686">
        <f>tertiair!I16</f>
        <v>0</v>
      </c>
      <c r="K10" s="686">
        <f>tertiair!J16</f>
        <v>1.4795372695177699E-2</v>
      </c>
      <c r="L10" s="686">
        <f>tertiair!K16</f>
        <v>0</v>
      </c>
      <c r="M10" s="686">
        <f ca="1">tertiair!L16</f>
        <v>0</v>
      </c>
      <c r="N10" s="686">
        <f>tertiair!M16</f>
        <v>0</v>
      </c>
      <c r="O10" s="686">
        <f ca="1">tertiair!N16</f>
        <v>590.73059350413621</v>
      </c>
      <c r="P10" s="686">
        <f>tertiair!O16</f>
        <v>14.691782297523464</v>
      </c>
      <c r="Q10" s="687">
        <f>tertiair!P16</f>
        <v>105.07827661299004</v>
      </c>
      <c r="R10" s="689">
        <f ca="1">SUM(C10:Q10)</f>
        <v>27732.291376395795</v>
      </c>
      <c r="S10" s="67"/>
    </row>
    <row r="11" spans="1:19" s="448" customFormat="1">
      <c r="A11" s="808" t="s">
        <v>224</v>
      </c>
      <c r="B11" s="813"/>
      <c r="C11" s="686">
        <f>huishoudens!B8</f>
        <v>22323.168354559588</v>
      </c>
      <c r="D11" s="686">
        <f>huishoudens!C8</f>
        <v>0</v>
      </c>
      <c r="E11" s="686">
        <f>huishoudens!D8</f>
        <v>34652.976287600002</v>
      </c>
      <c r="F11" s="686">
        <f>huishoudens!E8</f>
        <v>2759.7501662299105</v>
      </c>
      <c r="G11" s="686">
        <f>huishoudens!F8</f>
        <v>34299.933965987104</v>
      </c>
      <c r="H11" s="686">
        <f>huishoudens!G8</f>
        <v>0</v>
      </c>
      <c r="I11" s="686">
        <f>huishoudens!H8</f>
        <v>0</v>
      </c>
      <c r="J11" s="686">
        <f>huishoudens!I8</f>
        <v>0</v>
      </c>
      <c r="K11" s="686">
        <f>huishoudens!J8</f>
        <v>0</v>
      </c>
      <c r="L11" s="686">
        <f>huishoudens!K8</f>
        <v>0</v>
      </c>
      <c r="M11" s="686">
        <f>huishoudens!L8</f>
        <v>0</v>
      </c>
      <c r="N11" s="686">
        <f>huishoudens!M8</f>
        <v>0</v>
      </c>
      <c r="O11" s="686">
        <f>huishoudens!N8</f>
        <v>13281.532395312364</v>
      </c>
      <c r="P11" s="686">
        <f>huishoudens!O8</f>
        <v>378.93601990292308</v>
      </c>
      <c r="Q11" s="687">
        <f>huishoudens!P8</f>
        <v>621.50359915341642</v>
      </c>
      <c r="R11" s="689">
        <f>SUM(C11:Q11)</f>
        <v>108317.80078874528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4706.1257509999996</v>
      </c>
      <c r="D13" s="686">
        <f>industrie!C18</f>
        <v>0</v>
      </c>
      <c r="E13" s="686">
        <f>industrie!D18</f>
        <v>1325.837172</v>
      </c>
      <c r="F13" s="686">
        <f>industrie!E18</f>
        <v>386.17913330885801</v>
      </c>
      <c r="G13" s="686">
        <f>industrie!F18</f>
        <v>1521.9644759231755</v>
      </c>
      <c r="H13" s="686">
        <f>industrie!G18</f>
        <v>0</v>
      </c>
      <c r="I13" s="686">
        <f>industrie!H18</f>
        <v>0</v>
      </c>
      <c r="J13" s="686">
        <f>industrie!I18</f>
        <v>0</v>
      </c>
      <c r="K13" s="686">
        <f>industrie!J18</f>
        <v>6.2767341271306893</v>
      </c>
      <c r="L13" s="686">
        <f>industrie!K18</f>
        <v>0</v>
      </c>
      <c r="M13" s="686">
        <f>industrie!L18</f>
        <v>0</v>
      </c>
      <c r="N13" s="686">
        <f>industrie!M18</f>
        <v>0</v>
      </c>
      <c r="O13" s="686">
        <f>industrie!N18</f>
        <v>401.16176079081595</v>
      </c>
      <c r="P13" s="686">
        <f>industrie!O18</f>
        <v>0</v>
      </c>
      <c r="Q13" s="687">
        <f>industrie!P18</f>
        <v>0</v>
      </c>
      <c r="R13" s="689">
        <f>SUM(C13:Q13)</f>
        <v>8347.5450271499794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40544.50832855959</v>
      </c>
      <c r="D16" s="722">
        <f t="shared" ref="D16:R16" ca="1" si="0">SUM(D9:D15)</f>
        <v>0</v>
      </c>
      <c r="E16" s="722">
        <f t="shared" ca="1" si="0"/>
        <v>47917.717992033999</v>
      </c>
      <c r="F16" s="722">
        <f t="shared" si="0"/>
        <v>3350.7559455102337</v>
      </c>
      <c r="G16" s="722">
        <f t="shared" ca="1" si="0"/>
        <v>37184.728969113268</v>
      </c>
      <c r="H16" s="722">
        <f t="shared" si="0"/>
        <v>0</v>
      </c>
      <c r="I16" s="722">
        <f t="shared" si="0"/>
        <v>0</v>
      </c>
      <c r="J16" s="722">
        <f t="shared" si="0"/>
        <v>0</v>
      </c>
      <c r="K16" s="722">
        <f t="shared" si="0"/>
        <v>6.2915294998258666</v>
      </c>
      <c r="L16" s="722">
        <f t="shared" si="0"/>
        <v>0</v>
      </c>
      <c r="M16" s="722">
        <f t="shared" ca="1" si="0"/>
        <v>0</v>
      </c>
      <c r="N16" s="722">
        <f t="shared" si="0"/>
        <v>0</v>
      </c>
      <c r="O16" s="722">
        <f t="shared" ca="1" si="0"/>
        <v>14273.424749607317</v>
      </c>
      <c r="P16" s="722">
        <f t="shared" si="0"/>
        <v>393.62780220044652</v>
      </c>
      <c r="Q16" s="722">
        <f t="shared" si="0"/>
        <v>726.58187576640648</v>
      </c>
      <c r="R16" s="722">
        <f t="shared" ca="1" si="0"/>
        <v>144397.63719229106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996.49782938085002</v>
      </c>
      <c r="I19" s="686">
        <f>transport!H54</f>
        <v>0</v>
      </c>
      <c r="J19" s="686">
        <f>transport!I54</f>
        <v>0</v>
      </c>
      <c r="K19" s="686">
        <f>transport!J54</f>
        <v>0</v>
      </c>
      <c r="L19" s="686">
        <f>transport!K54</f>
        <v>0</v>
      </c>
      <c r="M19" s="686">
        <f>transport!L54</f>
        <v>0</v>
      </c>
      <c r="N19" s="686">
        <f>transport!M54</f>
        <v>55.376745839217328</v>
      </c>
      <c r="O19" s="686">
        <f>transport!N54</f>
        <v>0</v>
      </c>
      <c r="P19" s="686">
        <f>transport!O54</f>
        <v>0</v>
      </c>
      <c r="Q19" s="687">
        <f>transport!P54</f>
        <v>0</v>
      </c>
      <c r="R19" s="689">
        <f>SUM(C19:Q19)</f>
        <v>1051.8745752200673</v>
      </c>
      <c r="S19" s="67"/>
    </row>
    <row r="20" spans="1:19" s="448" customFormat="1">
      <c r="A20" s="808" t="s">
        <v>306</v>
      </c>
      <c r="B20" s="813"/>
      <c r="C20" s="686">
        <f>transport!B14</f>
        <v>47.24139807601302</v>
      </c>
      <c r="D20" s="686">
        <f>transport!C14</f>
        <v>0</v>
      </c>
      <c r="E20" s="686">
        <f>transport!D14</f>
        <v>179.16340968108074</v>
      </c>
      <c r="F20" s="686">
        <f>transport!E14</f>
        <v>150.41040922216592</v>
      </c>
      <c r="G20" s="686">
        <f>transport!F14</f>
        <v>0</v>
      </c>
      <c r="H20" s="686">
        <f>transport!G14</f>
        <v>71813.59949438303</v>
      </c>
      <c r="I20" s="686">
        <f>transport!H14</f>
        <v>16681.219627010138</v>
      </c>
      <c r="J20" s="686">
        <f>transport!I14</f>
        <v>0</v>
      </c>
      <c r="K20" s="686">
        <f>transport!J14</f>
        <v>0</v>
      </c>
      <c r="L20" s="686">
        <f>transport!K14</f>
        <v>0</v>
      </c>
      <c r="M20" s="686">
        <f>transport!L14</f>
        <v>0</v>
      </c>
      <c r="N20" s="686">
        <f>transport!M14</f>
        <v>5243.9334279100249</v>
      </c>
      <c r="O20" s="686">
        <f>transport!N14</f>
        <v>0</v>
      </c>
      <c r="P20" s="686">
        <f>transport!O14</f>
        <v>0</v>
      </c>
      <c r="Q20" s="687">
        <f>transport!P14</f>
        <v>0</v>
      </c>
      <c r="R20" s="689">
        <f>SUM(C20:Q20)</f>
        <v>94115.56776628246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47.24139807601302</v>
      </c>
      <c r="D22" s="811">
        <f t="shared" ref="D22:R22" si="1">SUM(D18:D21)</f>
        <v>0</v>
      </c>
      <c r="E22" s="811">
        <f t="shared" si="1"/>
        <v>179.16340968108074</v>
      </c>
      <c r="F22" s="811">
        <f t="shared" si="1"/>
        <v>150.41040922216592</v>
      </c>
      <c r="G22" s="811">
        <f t="shared" si="1"/>
        <v>0</v>
      </c>
      <c r="H22" s="811">
        <f t="shared" si="1"/>
        <v>72810.097323763883</v>
      </c>
      <c r="I22" s="811">
        <f t="shared" si="1"/>
        <v>16681.219627010138</v>
      </c>
      <c r="J22" s="811">
        <f t="shared" si="1"/>
        <v>0</v>
      </c>
      <c r="K22" s="811">
        <f t="shared" si="1"/>
        <v>0</v>
      </c>
      <c r="L22" s="811">
        <f t="shared" si="1"/>
        <v>0</v>
      </c>
      <c r="M22" s="811">
        <f t="shared" si="1"/>
        <v>0</v>
      </c>
      <c r="N22" s="811">
        <f t="shared" si="1"/>
        <v>5299.3101737492425</v>
      </c>
      <c r="O22" s="811">
        <f t="shared" si="1"/>
        <v>0</v>
      </c>
      <c r="P22" s="811">
        <f t="shared" si="1"/>
        <v>0</v>
      </c>
      <c r="Q22" s="811">
        <f t="shared" si="1"/>
        <v>0</v>
      </c>
      <c r="R22" s="811">
        <f t="shared" si="1"/>
        <v>95167.442341502523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2596.8449999999998</v>
      </c>
      <c r="D24" s="686">
        <f>+landbouw!C8</f>
        <v>0</v>
      </c>
      <c r="E24" s="686">
        <f>+landbouw!D8</f>
        <v>2215.2003838140004</v>
      </c>
      <c r="F24" s="686">
        <f>+landbouw!E8</f>
        <v>81.046676116163084</v>
      </c>
      <c r="G24" s="686">
        <f>+landbouw!F8</f>
        <v>9177.5379007288957</v>
      </c>
      <c r="H24" s="686">
        <f>+landbouw!G8</f>
        <v>0</v>
      </c>
      <c r="I24" s="686">
        <f>+landbouw!H8</f>
        <v>0</v>
      </c>
      <c r="J24" s="686">
        <f>+landbouw!I8</f>
        <v>0</v>
      </c>
      <c r="K24" s="686">
        <f>+landbouw!J8</f>
        <v>715.44880646224556</v>
      </c>
      <c r="L24" s="686">
        <f>+landbouw!K8</f>
        <v>0</v>
      </c>
      <c r="M24" s="686">
        <f>+landbouw!L8</f>
        <v>0</v>
      </c>
      <c r="N24" s="686">
        <f>+landbouw!M8</f>
        <v>0</v>
      </c>
      <c r="O24" s="686">
        <f>+landbouw!N8</f>
        <v>0</v>
      </c>
      <c r="P24" s="686">
        <f>+landbouw!O8</f>
        <v>0</v>
      </c>
      <c r="Q24" s="687">
        <f>+landbouw!P8</f>
        <v>0</v>
      </c>
      <c r="R24" s="689">
        <f>SUM(C24:Q24)</f>
        <v>14786.078767121304</v>
      </c>
      <c r="S24" s="67"/>
    </row>
    <row r="25" spans="1:19" s="448" customFormat="1" ht="15" thickBot="1">
      <c r="A25" s="830" t="s">
        <v>724</v>
      </c>
      <c r="B25" s="949"/>
      <c r="C25" s="950">
        <f>IF(Onbekend_ele_kWh="---",0,Onbekend_ele_kWh)/1000+IF(REST_rest_ele_kWh="---",0,REST_rest_ele_kWh)/1000</f>
        <v>349.26390000000004</v>
      </c>
      <c r="D25" s="950"/>
      <c r="E25" s="950">
        <f>IF(onbekend_gas_kWh="---",0,onbekend_gas_kWh)/1000+IF(REST_rest_gas_kWh="---",0,REST_rest_gas_kWh)/1000</f>
        <v>1800.0616</v>
      </c>
      <c r="F25" s="950"/>
      <c r="G25" s="950"/>
      <c r="H25" s="950"/>
      <c r="I25" s="950"/>
      <c r="J25" s="950"/>
      <c r="K25" s="950"/>
      <c r="L25" s="950"/>
      <c r="M25" s="950"/>
      <c r="N25" s="950"/>
      <c r="O25" s="950"/>
      <c r="P25" s="950"/>
      <c r="Q25" s="951"/>
      <c r="R25" s="689">
        <f>SUM(C25:Q25)</f>
        <v>2149.3254999999999</v>
      </c>
      <c r="S25" s="67"/>
    </row>
    <row r="26" spans="1:19" s="448" customFormat="1" ht="15.75" thickBot="1">
      <c r="A26" s="694" t="s">
        <v>725</v>
      </c>
      <c r="B26" s="816"/>
      <c r="C26" s="811">
        <f>SUM(C24:C25)</f>
        <v>2946.1088999999997</v>
      </c>
      <c r="D26" s="811">
        <f t="shared" ref="D26:R26" si="2">SUM(D24:D25)</f>
        <v>0</v>
      </c>
      <c r="E26" s="811">
        <f t="shared" si="2"/>
        <v>4015.2619838140004</v>
      </c>
      <c r="F26" s="811">
        <f t="shared" si="2"/>
        <v>81.046676116163084</v>
      </c>
      <c r="G26" s="811">
        <f t="shared" si="2"/>
        <v>9177.5379007288957</v>
      </c>
      <c r="H26" s="811">
        <f t="shared" si="2"/>
        <v>0</v>
      </c>
      <c r="I26" s="811">
        <f t="shared" si="2"/>
        <v>0</v>
      </c>
      <c r="J26" s="811">
        <f t="shared" si="2"/>
        <v>0</v>
      </c>
      <c r="K26" s="811">
        <f t="shared" si="2"/>
        <v>715.44880646224556</v>
      </c>
      <c r="L26" s="811">
        <f t="shared" si="2"/>
        <v>0</v>
      </c>
      <c r="M26" s="811">
        <f t="shared" si="2"/>
        <v>0</v>
      </c>
      <c r="N26" s="811">
        <f t="shared" si="2"/>
        <v>0</v>
      </c>
      <c r="O26" s="811">
        <f t="shared" si="2"/>
        <v>0</v>
      </c>
      <c r="P26" s="811">
        <f t="shared" si="2"/>
        <v>0</v>
      </c>
      <c r="Q26" s="811">
        <f t="shared" si="2"/>
        <v>0</v>
      </c>
      <c r="R26" s="811">
        <f t="shared" si="2"/>
        <v>16935.404267121303</v>
      </c>
      <c r="S26" s="67"/>
    </row>
    <row r="27" spans="1:19" s="448" customFormat="1" ht="17.25" thickTop="1" thickBot="1">
      <c r="A27" s="695" t="s">
        <v>115</v>
      </c>
      <c r="B27" s="803"/>
      <c r="C27" s="696">
        <f ca="1">C22+C16+C26</f>
        <v>43537.8586266356</v>
      </c>
      <c r="D27" s="696">
        <f t="shared" ref="D27:R27" ca="1" si="3">D22+D16+D26</f>
        <v>0</v>
      </c>
      <c r="E27" s="696">
        <f t="shared" ca="1" si="3"/>
        <v>52112.143385529082</v>
      </c>
      <c r="F27" s="696">
        <f t="shared" si="3"/>
        <v>3582.2130308485625</v>
      </c>
      <c r="G27" s="696">
        <f t="shared" ca="1" si="3"/>
        <v>46362.266869842162</v>
      </c>
      <c r="H27" s="696">
        <f t="shared" si="3"/>
        <v>72810.097323763883</v>
      </c>
      <c r="I27" s="696">
        <f t="shared" si="3"/>
        <v>16681.219627010138</v>
      </c>
      <c r="J27" s="696">
        <f t="shared" si="3"/>
        <v>0</v>
      </c>
      <c r="K27" s="696">
        <f t="shared" si="3"/>
        <v>721.74033596207141</v>
      </c>
      <c r="L27" s="696">
        <f t="shared" si="3"/>
        <v>0</v>
      </c>
      <c r="M27" s="696">
        <f t="shared" ca="1" si="3"/>
        <v>0</v>
      </c>
      <c r="N27" s="696">
        <f t="shared" si="3"/>
        <v>5299.3101737492425</v>
      </c>
      <c r="O27" s="696">
        <f t="shared" ca="1" si="3"/>
        <v>14273.424749607317</v>
      </c>
      <c r="P27" s="696">
        <f t="shared" si="3"/>
        <v>393.62780220044652</v>
      </c>
      <c r="Q27" s="696">
        <f t="shared" si="3"/>
        <v>726.58187576640648</v>
      </c>
      <c r="R27" s="696">
        <f t="shared" ca="1" si="3"/>
        <v>256500.4838009149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2471.5290793502854</v>
      </c>
      <c r="D40" s="686">
        <f ca="1">tertiair!C20</f>
        <v>0</v>
      </c>
      <c r="E40" s="686">
        <f ca="1">tertiair!D20</f>
        <v>2411.6587155516681</v>
      </c>
      <c r="F40" s="686">
        <f>tertiair!E20</f>
        <v>46.495648635522521</v>
      </c>
      <c r="G40" s="686">
        <f ca="1">tertiair!F20</f>
        <v>363.87575076319786</v>
      </c>
      <c r="H40" s="686">
        <f>tertiair!G20</f>
        <v>0</v>
      </c>
      <c r="I40" s="686">
        <f>tertiair!H20</f>
        <v>0</v>
      </c>
      <c r="J40" s="686">
        <f>tertiair!I20</f>
        <v>0</v>
      </c>
      <c r="K40" s="686">
        <f>tertiair!J20</f>
        <v>5.2375619340929054E-3</v>
      </c>
      <c r="L40" s="686">
        <f>tertiair!K20</f>
        <v>0</v>
      </c>
      <c r="M40" s="686">
        <f ca="1">tertiair!L20</f>
        <v>0</v>
      </c>
      <c r="N40" s="686">
        <f>tertiair!M20</f>
        <v>0</v>
      </c>
      <c r="O40" s="686">
        <f ca="1">tertiair!N20</f>
        <v>0</v>
      </c>
      <c r="P40" s="686">
        <f>tertiair!O20</f>
        <v>0</v>
      </c>
      <c r="Q40" s="769">
        <f>tertiair!P20</f>
        <v>0</v>
      </c>
      <c r="R40" s="849">
        <f t="shared" ca="1" si="4"/>
        <v>5293.5644318626082</v>
      </c>
    </row>
    <row r="41" spans="1:18">
      <c r="A41" s="821" t="s">
        <v>224</v>
      </c>
      <c r="B41" s="828"/>
      <c r="C41" s="686">
        <f ca="1">huishoudens!B12</f>
        <v>4082.2408599069445</v>
      </c>
      <c r="D41" s="686">
        <f ca="1">huishoudens!C12</f>
        <v>0</v>
      </c>
      <c r="E41" s="686">
        <f>huishoudens!D12</f>
        <v>6999.9012100952013</v>
      </c>
      <c r="F41" s="686">
        <f>huishoudens!E12</f>
        <v>626.46328773418975</v>
      </c>
      <c r="G41" s="686">
        <f>huishoudens!F12</f>
        <v>9158.0823689185581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20866.687726654895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860.60986180164821</v>
      </c>
      <c r="D43" s="686">
        <f ca="1">industrie!C22</f>
        <v>0</v>
      </c>
      <c r="E43" s="686">
        <f>industrie!D22</f>
        <v>267.819108744</v>
      </c>
      <c r="F43" s="686">
        <f>industrie!E22</f>
        <v>87.662663261110765</v>
      </c>
      <c r="G43" s="686">
        <f>industrie!F22</f>
        <v>406.36451507148792</v>
      </c>
      <c r="H43" s="686">
        <f>industrie!G22</f>
        <v>0</v>
      </c>
      <c r="I43" s="686">
        <f>industrie!H22</f>
        <v>0</v>
      </c>
      <c r="J43" s="686">
        <f>industrie!I22</f>
        <v>0</v>
      </c>
      <c r="K43" s="686">
        <f>industrie!J22</f>
        <v>2.2219638810042639</v>
      </c>
      <c r="L43" s="686">
        <f>industrie!K22</f>
        <v>0</v>
      </c>
      <c r="M43" s="686">
        <f>industrie!L22</f>
        <v>0</v>
      </c>
      <c r="N43" s="686">
        <f>industrie!M22</f>
        <v>0</v>
      </c>
      <c r="O43" s="686">
        <f>industrie!N22</f>
        <v>0</v>
      </c>
      <c r="P43" s="686">
        <f>industrie!O22</f>
        <v>0</v>
      </c>
      <c r="Q43" s="769">
        <f>industrie!P22</f>
        <v>0</v>
      </c>
      <c r="R43" s="848">
        <f t="shared" ca="1" si="4"/>
        <v>1624.678112759251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7414.3798010588789</v>
      </c>
      <c r="D46" s="722">
        <f t="shared" ref="D46:Q46" ca="1" si="5">SUM(D39:D45)</f>
        <v>0</v>
      </c>
      <c r="E46" s="722">
        <f t="shared" ca="1" si="5"/>
        <v>9679.3790343908695</v>
      </c>
      <c r="F46" s="722">
        <f t="shared" si="5"/>
        <v>760.62159963082308</v>
      </c>
      <c r="G46" s="722">
        <f t="shared" ca="1" si="5"/>
        <v>9928.3226347532436</v>
      </c>
      <c r="H46" s="722">
        <f t="shared" si="5"/>
        <v>0</v>
      </c>
      <c r="I46" s="722">
        <f t="shared" si="5"/>
        <v>0</v>
      </c>
      <c r="J46" s="722">
        <f t="shared" si="5"/>
        <v>0</v>
      </c>
      <c r="K46" s="722">
        <f t="shared" si="5"/>
        <v>2.2272014429383566</v>
      </c>
      <c r="L46" s="722">
        <f t="shared" si="5"/>
        <v>0</v>
      </c>
      <c r="M46" s="722">
        <f t="shared" ca="1" si="5"/>
        <v>0</v>
      </c>
      <c r="N46" s="722">
        <f t="shared" si="5"/>
        <v>0</v>
      </c>
      <c r="O46" s="722">
        <f t="shared" ca="1" si="5"/>
        <v>0</v>
      </c>
      <c r="P46" s="722">
        <f t="shared" si="5"/>
        <v>0</v>
      </c>
      <c r="Q46" s="722">
        <f t="shared" si="5"/>
        <v>0</v>
      </c>
      <c r="R46" s="722">
        <f ca="1">SUM(R39:R45)</f>
        <v>27784.930271276753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266.06492044468695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266.06492044468695</v>
      </c>
    </row>
    <row r="50" spans="1:18">
      <c r="A50" s="824" t="s">
        <v>306</v>
      </c>
      <c r="B50" s="834"/>
      <c r="C50" s="692">
        <f ca="1">transport!B18</f>
        <v>8.6390409480399413</v>
      </c>
      <c r="D50" s="692">
        <f>transport!C18</f>
        <v>0</v>
      </c>
      <c r="E50" s="692">
        <f>transport!D18</f>
        <v>36.191008755578309</v>
      </c>
      <c r="F50" s="692">
        <f>transport!E18</f>
        <v>34.143162893431665</v>
      </c>
      <c r="G50" s="692">
        <f>transport!F18</f>
        <v>0</v>
      </c>
      <c r="H50" s="692">
        <f>transport!G18</f>
        <v>19174.231065000269</v>
      </c>
      <c r="I50" s="692">
        <f>transport!H18</f>
        <v>4153.6236871255242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23406.827964722845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8.6390409480399413</v>
      </c>
      <c r="D52" s="722">
        <f t="shared" ref="D52:Q52" ca="1" si="6">SUM(D48:D51)</f>
        <v>0</v>
      </c>
      <c r="E52" s="722">
        <f t="shared" si="6"/>
        <v>36.191008755578309</v>
      </c>
      <c r="F52" s="722">
        <f t="shared" si="6"/>
        <v>34.143162893431665</v>
      </c>
      <c r="G52" s="722">
        <f t="shared" si="6"/>
        <v>0</v>
      </c>
      <c r="H52" s="722">
        <f t="shared" si="6"/>
        <v>19440.295985444955</v>
      </c>
      <c r="I52" s="722">
        <f t="shared" si="6"/>
        <v>4153.6236871255242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23672.89288516753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474.88540145690234</v>
      </c>
      <c r="D54" s="692">
        <f ca="1">+landbouw!C12</f>
        <v>0</v>
      </c>
      <c r="E54" s="692">
        <f>+landbouw!D12</f>
        <v>447.47047753042813</v>
      </c>
      <c r="F54" s="692">
        <f>+landbouw!E12</f>
        <v>18.39759547836902</v>
      </c>
      <c r="G54" s="692">
        <f>+landbouw!F12</f>
        <v>2450.4026194946155</v>
      </c>
      <c r="H54" s="692">
        <f>+landbouw!G12</f>
        <v>0</v>
      </c>
      <c r="I54" s="692">
        <f>+landbouw!H12</f>
        <v>0</v>
      </c>
      <c r="J54" s="692">
        <f>+landbouw!I12</f>
        <v>0</v>
      </c>
      <c r="K54" s="692">
        <f>+landbouw!J12</f>
        <v>253.26887748763491</v>
      </c>
      <c r="L54" s="692">
        <f>+landbouw!K12</f>
        <v>0</v>
      </c>
      <c r="M54" s="692">
        <f>+landbouw!L12</f>
        <v>0</v>
      </c>
      <c r="N54" s="692">
        <f>+landbouw!M12</f>
        <v>0</v>
      </c>
      <c r="O54" s="692">
        <f>+landbouw!N12</f>
        <v>0</v>
      </c>
      <c r="P54" s="692">
        <f>+landbouw!O12</f>
        <v>0</v>
      </c>
      <c r="Q54" s="693">
        <f>+landbouw!P12</f>
        <v>0</v>
      </c>
      <c r="R54" s="721">
        <f ca="1">SUM(C54:Q54)</f>
        <v>3644.4249714479502</v>
      </c>
    </row>
    <row r="55" spans="1:18" ht="15" thickBot="1">
      <c r="A55" s="824" t="s">
        <v>724</v>
      </c>
      <c r="B55" s="834"/>
      <c r="C55" s="692">
        <f ca="1">C25*'EF ele_warmte'!B12</f>
        <v>63.869937314665847</v>
      </c>
      <c r="D55" s="692"/>
      <c r="E55" s="692">
        <f>E25*EF_CO2_aardgas</f>
        <v>363.61244320000003</v>
      </c>
      <c r="F55" s="692"/>
      <c r="G55" s="692"/>
      <c r="H55" s="692"/>
      <c r="I55" s="692"/>
      <c r="J55" s="692"/>
      <c r="K55" s="692"/>
      <c r="L55" s="692"/>
      <c r="M55" s="692"/>
      <c r="N55" s="692"/>
      <c r="O55" s="692"/>
      <c r="P55" s="692"/>
      <c r="Q55" s="693"/>
      <c r="R55" s="721">
        <f ca="1">SUM(C55:Q55)</f>
        <v>427.48238051466586</v>
      </c>
    </row>
    <row r="56" spans="1:18" ht="15.75" thickBot="1">
      <c r="A56" s="822" t="s">
        <v>725</v>
      </c>
      <c r="B56" s="835"/>
      <c r="C56" s="722">
        <f ca="1">SUM(C54:C55)</f>
        <v>538.75533877156818</v>
      </c>
      <c r="D56" s="722">
        <f t="shared" ref="D56:Q56" ca="1" si="7">SUM(D54:D55)</f>
        <v>0</v>
      </c>
      <c r="E56" s="722">
        <f t="shared" si="7"/>
        <v>811.08292073042821</v>
      </c>
      <c r="F56" s="722">
        <f t="shared" si="7"/>
        <v>18.39759547836902</v>
      </c>
      <c r="G56" s="722">
        <f t="shared" si="7"/>
        <v>2450.4026194946155</v>
      </c>
      <c r="H56" s="722">
        <f t="shared" si="7"/>
        <v>0</v>
      </c>
      <c r="I56" s="722">
        <f t="shared" si="7"/>
        <v>0</v>
      </c>
      <c r="J56" s="722">
        <f t="shared" si="7"/>
        <v>0</v>
      </c>
      <c r="K56" s="722">
        <f t="shared" si="7"/>
        <v>253.26887748763491</v>
      </c>
      <c r="L56" s="722">
        <f t="shared" si="7"/>
        <v>0</v>
      </c>
      <c r="M56" s="722">
        <f t="shared" si="7"/>
        <v>0</v>
      </c>
      <c r="N56" s="722">
        <f t="shared" si="7"/>
        <v>0</v>
      </c>
      <c r="O56" s="722">
        <f t="shared" si="7"/>
        <v>0</v>
      </c>
      <c r="P56" s="722">
        <f t="shared" si="7"/>
        <v>0</v>
      </c>
      <c r="Q56" s="723">
        <f t="shared" si="7"/>
        <v>0</v>
      </c>
      <c r="R56" s="724">
        <f ca="1">SUM(R54:R55)</f>
        <v>4071.9073519626158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7961.7741807784869</v>
      </c>
      <c r="D61" s="730">
        <f t="shared" ref="D61:Q61" ca="1" si="8">D46+D52+D56</f>
        <v>0</v>
      </c>
      <c r="E61" s="730">
        <f t="shared" ca="1" si="8"/>
        <v>10526.652963876877</v>
      </c>
      <c r="F61" s="730">
        <f t="shared" si="8"/>
        <v>813.16235800262371</v>
      </c>
      <c r="G61" s="730">
        <f t="shared" ca="1" si="8"/>
        <v>12378.72525424786</v>
      </c>
      <c r="H61" s="730">
        <f t="shared" si="8"/>
        <v>19440.295985444955</v>
      </c>
      <c r="I61" s="730">
        <f t="shared" si="8"/>
        <v>4153.6236871255242</v>
      </c>
      <c r="J61" s="730">
        <f t="shared" si="8"/>
        <v>0</v>
      </c>
      <c r="K61" s="730">
        <f t="shared" si="8"/>
        <v>255.49607893057328</v>
      </c>
      <c r="L61" s="730">
        <f t="shared" si="8"/>
        <v>0</v>
      </c>
      <c r="M61" s="730">
        <f t="shared" ca="1" si="8"/>
        <v>0</v>
      </c>
      <c r="N61" s="730">
        <f t="shared" si="8"/>
        <v>0</v>
      </c>
      <c r="O61" s="730">
        <f t="shared" ca="1" si="8"/>
        <v>0</v>
      </c>
      <c r="P61" s="730">
        <f t="shared" si="8"/>
        <v>0</v>
      </c>
      <c r="Q61" s="730">
        <f t="shared" si="8"/>
        <v>0</v>
      </c>
      <c r="R61" s="730">
        <f ca="1">R46+R52+R56</f>
        <v>55529.730508406901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0.18287013720761247</v>
      </c>
      <c r="D63" s="776">
        <f t="shared" ca="1" si="9"/>
        <v>0</v>
      </c>
      <c r="E63" s="975">
        <f t="shared" ca="1" si="9"/>
        <v>0.20200000000000004</v>
      </c>
      <c r="F63" s="776">
        <f t="shared" si="9"/>
        <v>0.22700000000000001</v>
      </c>
      <c r="G63" s="776">
        <f t="shared" ca="1" si="9"/>
        <v>0.26700000000000007</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7511.7311118008229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7511.7311118008229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7511.7311118008229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7511.7311118008229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71024</v>
      </c>
      <c r="C28" s="791">
        <v>3540</v>
      </c>
      <c r="D28" s="640" t="s">
        <v>888</v>
      </c>
      <c r="E28" s="639" t="s">
        <v>889</v>
      </c>
      <c r="F28" s="639" t="s">
        <v>890</v>
      </c>
      <c r="G28" s="639" t="s">
        <v>891</v>
      </c>
      <c r="H28" s="639" t="s">
        <v>892</v>
      </c>
      <c r="I28" s="639" t="s">
        <v>889</v>
      </c>
      <c r="J28" s="790">
        <v>40444</v>
      </c>
      <c r="K28" s="790">
        <v>40444</v>
      </c>
      <c r="L28" s="639" t="s">
        <v>893</v>
      </c>
      <c r="M28" s="639">
        <v>1000</v>
      </c>
      <c r="N28" s="639">
        <v>0</v>
      </c>
      <c r="O28" s="639">
        <v>0</v>
      </c>
      <c r="P28" s="639">
        <v>0</v>
      </c>
      <c r="Q28" s="639">
        <v>0</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1000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1000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22323.168354559588</v>
      </c>
      <c r="C4" s="452">
        <f>huishoudens!C8</f>
        <v>0</v>
      </c>
      <c r="D4" s="452">
        <f>huishoudens!D8</f>
        <v>34652.976287600002</v>
      </c>
      <c r="E4" s="452">
        <f>huishoudens!E8</f>
        <v>2759.7501662299105</v>
      </c>
      <c r="F4" s="452">
        <f>huishoudens!F8</f>
        <v>34299.933965987104</v>
      </c>
      <c r="G4" s="452">
        <f>huishoudens!G8</f>
        <v>0</v>
      </c>
      <c r="H4" s="452">
        <f>huishoudens!H8</f>
        <v>0</v>
      </c>
      <c r="I4" s="452">
        <f>huishoudens!I8</f>
        <v>0</v>
      </c>
      <c r="J4" s="452">
        <f>huishoudens!J8</f>
        <v>0</v>
      </c>
      <c r="K4" s="452">
        <f>huishoudens!K8</f>
        <v>0</v>
      </c>
      <c r="L4" s="452">
        <f>huishoudens!L8</f>
        <v>0</v>
      </c>
      <c r="M4" s="452">
        <f>huishoudens!M8</f>
        <v>0</v>
      </c>
      <c r="N4" s="452">
        <f>huishoudens!N8</f>
        <v>13281.532395312364</v>
      </c>
      <c r="O4" s="452">
        <f>huishoudens!O8</f>
        <v>378.93601990292308</v>
      </c>
      <c r="P4" s="453">
        <f>huishoudens!P8</f>
        <v>621.50359915341642</v>
      </c>
      <c r="Q4" s="454">
        <f>SUM(B4:P4)</f>
        <v>108317.80078874528</v>
      </c>
    </row>
    <row r="5" spans="1:17">
      <c r="A5" s="451" t="s">
        <v>155</v>
      </c>
      <c r="B5" s="452">
        <f ca="1">tertiair!B16</f>
        <v>12647.330222999999</v>
      </c>
      <c r="C5" s="452">
        <f ca="1">tertiair!C16</f>
        <v>0</v>
      </c>
      <c r="D5" s="452">
        <f ca="1">tertiair!D16</f>
        <v>11938.904532434</v>
      </c>
      <c r="E5" s="452">
        <f>tertiair!E16</f>
        <v>204.82664597146484</v>
      </c>
      <c r="F5" s="452">
        <f ca="1">tertiair!F16</f>
        <v>1362.8305272029882</v>
      </c>
      <c r="G5" s="452">
        <f>tertiair!G16</f>
        <v>0</v>
      </c>
      <c r="H5" s="452">
        <f>tertiair!H16</f>
        <v>0</v>
      </c>
      <c r="I5" s="452">
        <f>tertiair!I16</f>
        <v>0</v>
      </c>
      <c r="J5" s="452">
        <f>tertiair!J16</f>
        <v>1.4795372695177699E-2</v>
      </c>
      <c r="K5" s="452">
        <f>tertiair!K16</f>
        <v>0</v>
      </c>
      <c r="L5" s="452">
        <f ca="1">tertiair!L16</f>
        <v>0</v>
      </c>
      <c r="M5" s="452">
        <f>tertiair!M16</f>
        <v>0</v>
      </c>
      <c r="N5" s="452">
        <f ca="1">tertiair!N16</f>
        <v>590.73059350413621</v>
      </c>
      <c r="O5" s="452">
        <f>tertiair!O16</f>
        <v>14.691782297523464</v>
      </c>
      <c r="P5" s="453">
        <f>tertiair!P16</f>
        <v>105.07827661299004</v>
      </c>
      <c r="Q5" s="451">
        <f t="shared" ref="Q5:Q14" ca="1" si="0">SUM(B5:P5)</f>
        <v>26864.407376395797</v>
      </c>
    </row>
    <row r="6" spans="1:17">
      <c r="A6" s="451" t="s">
        <v>193</v>
      </c>
      <c r="B6" s="452">
        <f>'openbare verlichting'!B8</f>
        <v>867.88400000000001</v>
      </c>
      <c r="C6" s="452"/>
      <c r="D6" s="452"/>
      <c r="E6" s="452"/>
      <c r="F6" s="452"/>
      <c r="G6" s="452"/>
      <c r="H6" s="452"/>
      <c r="I6" s="452"/>
      <c r="J6" s="452"/>
      <c r="K6" s="452"/>
      <c r="L6" s="452"/>
      <c r="M6" s="452"/>
      <c r="N6" s="452"/>
      <c r="O6" s="452"/>
      <c r="P6" s="453"/>
      <c r="Q6" s="451">
        <f t="shared" si="0"/>
        <v>867.88400000000001</v>
      </c>
    </row>
    <row r="7" spans="1:17">
      <c r="A7" s="451" t="s">
        <v>111</v>
      </c>
      <c r="B7" s="452">
        <f>landbouw!B8</f>
        <v>2596.8449999999998</v>
      </c>
      <c r="C7" s="452">
        <f>landbouw!C8</f>
        <v>0</v>
      </c>
      <c r="D7" s="452">
        <f>landbouw!D8</f>
        <v>2215.2003838140004</v>
      </c>
      <c r="E7" s="452">
        <f>landbouw!E8</f>
        <v>81.046676116163084</v>
      </c>
      <c r="F7" s="452">
        <f>landbouw!F8</f>
        <v>9177.5379007288957</v>
      </c>
      <c r="G7" s="452">
        <f>landbouw!G8</f>
        <v>0</v>
      </c>
      <c r="H7" s="452">
        <f>landbouw!H8</f>
        <v>0</v>
      </c>
      <c r="I7" s="452">
        <f>landbouw!I8</f>
        <v>0</v>
      </c>
      <c r="J7" s="452">
        <f>landbouw!J8</f>
        <v>715.44880646224556</v>
      </c>
      <c r="K7" s="452">
        <f>landbouw!K8</f>
        <v>0</v>
      </c>
      <c r="L7" s="452">
        <f>landbouw!L8</f>
        <v>0</v>
      </c>
      <c r="M7" s="452">
        <f>landbouw!M8</f>
        <v>0</v>
      </c>
      <c r="N7" s="452">
        <f>landbouw!N8</f>
        <v>0</v>
      </c>
      <c r="O7" s="452">
        <f>landbouw!O8</f>
        <v>0</v>
      </c>
      <c r="P7" s="453">
        <f>landbouw!P8</f>
        <v>0</v>
      </c>
      <c r="Q7" s="451">
        <f t="shared" si="0"/>
        <v>14786.078767121304</v>
      </c>
    </row>
    <row r="8" spans="1:17">
      <c r="A8" s="451" t="s">
        <v>625</v>
      </c>
      <c r="B8" s="452">
        <f>industrie!B18</f>
        <v>4706.1257509999996</v>
      </c>
      <c r="C8" s="452">
        <f>industrie!C18</f>
        <v>0</v>
      </c>
      <c r="D8" s="452">
        <f>industrie!D18</f>
        <v>1325.837172</v>
      </c>
      <c r="E8" s="452">
        <f>industrie!E18</f>
        <v>386.17913330885801</v>
      </c>
      <c r="F8" s="452">
        <f>industrie!F18</f>
        <v>1521.9644759231755</v>
      </c>
      <c r="G8" s="452">
        <f>industrie!G18</f>
        <v>0</v>
      </c>
      <c r="H8" s="452">
        <f>industrie!H18</f>
        <v>0</v>
      </c>
      <c r="I8" s="452">
        <f>industrie!I18</f>
        <v>0</v>
      </c>
      <c r="J8" s="452">
        <f>industrie!J18</f>
        <v>6.2767341271306893</v>
      </c>
      <c r="K8" s="452">
        <f>industrie!K18</f>
        <v>0</v>
      </c>
      <c r="L8" s="452">
        <f>industrie!L18</f>
        <v>0</v>
      </c>
      <c r="M8" s="452">
        <f>industrie!M18</f>
        <v>0</v>
      </c>
      <c r="N8" s="452">
        <f>industrie!N18</f>
        <v>401.16176079081595</v>
      </c>
      <c r="O8" s="452">
        <f>industrie!O18</f>
        <v>0</v>
      </c>
      <c r="P8" s="453">
        <f>industrie!P18</f>
        <v>0</v>
      </c>
      <c r="Q8" s="451">
        <f t="shared" si="0"/>
        <v>8347.5450271499794</v>
      </c>
    </row>
    <row r="9" spans="1:17" s="457" customFormat="1">
      <c r="A9" s="455" t="s">
        <v>551</v>
      </c>
      <c r="B9" s="456">
        <f>transport!B14</f>
        <v>47.24139807601302</v>
      </c>
      <c r="C9" s="456">
        <f>transport!C14</f>
        <v>0</v>
      </c>
      <c r="D9" s="456">
        <f>transport!D14</f>
        <v>179.16340968108074</v>
      </c>
      <c r="E9" s="456">
        <f>transport!E14</f>
        <v>150.41040922216592</v>
      </c>
      <c r="F9" s="456">
        <f>transport!F14</f>
        <v>0</v>
      </c>
      <c r="G9" s="456">
        <f>transport!G14</f>
        <v>71813.59949438303</v>
      </c>
      <c r="H9" s="456">
        <f>transport!H14</f>
        <v>16681.219627010138</v>
      </c>
      <c r="I9" s="456">
        <f>transport!I14</f>
        <v>0</v>
      </c>
      <c r="J9" s="456">
        <f>transport!J14</f>
        <v>0</v>
      </c>
      <c r="K9" s="456">
        <f>transport!K14</f>
        <v>0</v>
      </c>
      <c r="L9" s="456">
        <f>transport!L14</f>
        <v>0</v>
      </c>
      <c r="M9" s="456">
        <f>transport!M14</f>
        <v>5243.9334279100249</v>
      </c>
      <c r="N9" s="456">
        <f>transport!N14</f>
        <v>0</v>
      </c>
      <c r="O9" s="456">
        <f>transport!O14</f>
        <v>0</v>
      </c>
      <c r="P9" s="456">
        <f>transport!P14</f>
        <v>0</v>
      </c>
      <c r="Q9" s="455">
        <f>SUM(B9:P9)</f>
        <v>94115.56776628246</v>
      </c>
    </row>
    <row r="10" spans="1:17">
      <c r="A10" s="451" t="s">
        <v>541</v>
      </c>
      <c r="B10" s="452">
        <f>transport!B54</f>
        <v>0</v>
      </c>
      <c r="C10" s="452">
        <f>transport!C54</f>
        <v>0</v>
      </c>
      <c r="D10" s="452">
        <f>transport!D54</f>
        <v>0</v>
      </c>
      <c r="E10" s="452">
        <f>transport!E54</f>
        <v>0</v>
      </c>
      <c r="F10" s="452">
        <f>transport!F54</f>
        <v>0</v>
      </c>
      <c r="G10" s="452">
        <f>transport!G54</f>
        <v>996.49782938085002</v>
      </c>
      <c r="H10" s="452">
        <f>transport!H54</f>
        <v>0</v>
      </c>
      <c r="I10" s="452">
        <f>transport!I54</f>
        <v>0</v>
      </c>
      <c r="J10" s="452">
        <f>transport!J54</f>
        <v>0</v>
      </c>
      <c r="K10" s="452">
        <f>transport!K54</f>
        <v>0</v>
      </c>
      <c r="L10" s="452">
        <f>transport!L54</f>
        <v>0</v>
      </c>
      <c r="M10" s="452">
        <f>transport!M54</f>
        <v>55.376745839217328</v>
      </c>
      <c r="N10" s="452">
        <f>transport!N54</f>
        <v>0</v>
      </c>
      <c r="O10" s="452">
        <f>transport!O54</f>
        <v>0</v>
      </c>
      <c r="P10" s="453">
        <f>transport!P54</f>
        <v>0</v>
      </c>
      <c r="Q10" s="451">
        <f t="shared" si="0"/>
        <v>1051.8745752200673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349.26390000000004</v>
      </c>
      <c r="C14" s="459"/>
      <c r="D14" s="459">
        <f>'SEAP template'!E25</f>
        <v>1800.0616</v>
      </c>
      <c r="E14" s="459"/>
      <c r="F14" s="459"/>
      <c r="G14" s="459"/>
      <c r="H14" s="459"/>
      <c r="I14" s="459"/>
      <c r="J14" s="459"/>
      <c r="K14" s="459"/>
      <c r="L14" s="459"/>
      <c r="M14" s="459"/>
      <c r="N14" s="459"/>
      <c r="O14" s="459"/>
      <c r="P14" s="460"/>
      <c r="Q14" s="451">
        <f t="shared" si="0"/>
        <v>2149.3254999999999</v>
      </c>
    </row>
    <row r="15" spans="1:17" s="463" customFormat="1">
      <c r="A15" s="461" t="s">
        <v>545</v>
      </c>
      <c r="B15" s="462">
        <f ca="1">SUM(B4:B14)</f>
        <v>43537.858626635592</v>
      </c>
      <c r="C15" s="462">
        <f t="shared" ref="C15:Q15" ca="1" si="1">SUM(C4:C14)</f>
        <v>0</v>
      </c>
      <c r="D15" s="462">
        <f t="shared" ca="1" si="1"/>
        <v>52112.143385529082</v>
      </c>
      <c r="E15" s="462">
        <f t="shared" si="1"/>
        <v>3582.2130308485625</v>
      </c>
      <c r="F15" s="462">
        <f t="shared" ca="1" si="1"/>
        <v>46362.266869842162</v>
      </c>
      <c r="G15" s="462">
        <f t="shared" si="1"/>
        <v>72810.097323763883</v>
      </c>
      <c r="H15" s="462">
        <f t="shared" si="1"/>
        <v>16681.219627010138</v>
      </c>
      <c r="I15" s="462">
        <f t="shared" si="1"/>
        <v>0</v>
      </c>
      <c r="J15" s="462">
        <f t="shared" si="1"/>
        <v>721.74033596207141</v>
      </c>
      <c r="K15" s="462">
        <f t="shared" si="1"/>
        <v>0</v>
      </c>
      <c r="L15" s="462">
        <f t="shared" ca="1" si="1"/>
        <v>0</v>
      </c>
      <c r="M15" s="462">
        <f t="shared" si="1"/>
        <v>5299.3101737492425</v>
      </c>
      <c r="N15" s="462">
        <f t="shared" ca="1" si="1"/>
        <v>14273.424749607317</v>
      </c>
      <c r="O15" s="462">
        <f t="shared" si="1"/>
        <v>393.62780220044652</v>
      </c>
      <c r="P15" s="462">
        <f t="shared" si="1"/>
        <v>726.58187576640648</v>
      </c>
      <c r="Q15" s="462">
        <f t="shared" ca="1" si="1"/>
        <v>256500.4838009149</v>
      </c>
    </row>
    <row r="17" spans="1:17">
      <c r="A17" s="464" t="s">
        <v>546</v>
      </c>
      <c r="B17" s="781">
        <f ca="1">huishoudens!B10</f>
        <v>0.18287013720761247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4082.2408599069445</v>
      </c>
      <c r="C22" s="452">
        <f t="shared" ref="C22:C32" ca="1" si="3">C4*$C$17</f>
        <v>0</v>
      </c>
      <c r="D22" s="452">
        <f t="shared" ref="D22:D32" si="4">D4*$D$17</f>
        <v>6999.9012100952013</v>
      </c>
      <c r="E22" s="452">
        <f t="shared" ref="E22:E32" si="5">E4*$E$17</f>
        <v>626.46328773418975</v>
      </c>
      <c r="F22" s="452">
        <f t="shared" ref="F22:F32" si="6">F4*$F$17</f>
        <v>9158.0823689185581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20866.687726654895</v>
      </c>
    </row>
    <row r="23" spans="1:17">
      <c r="A23" s="451" t="s">
        <v>155</v>
      </c>
      <c r="B23" s="452">
        <f t="shared" ca="1" si="2"/>
        <v>2312.8190131899937</v>
      </c>
      <c r="C23" s="452">
        <f t="shared" ca="1" si="3"/>
        <v>0</v>
      </c>
      <c r="D23" s="452">
        <f t="shared" ca="1" si="4"/>
        <v>2411.6587155516681</v>
      </c>
      <c r="E23" s="452">
        <f t="shared" si="5"/>
        <v>46.495648635522521</v>
      </c>
      <c r="F23" s="452">
        <f t="shared" ca="1" si="6"/>
        <v>363.87575076319786</v>
      </c>
      <c r="G23" s="452">
        <f t="shared" si="7"/>
        <v>0</v>
      </c>
      <c r="H23" s="452">
        <f t="shared" si="8"/>
        <v>0</v>
      </c>
      <c r="I23" s="452">
        <f t="shared" si="9"/>
        <v>0</v>
      </c>
      <c r="J23" s="452">
        <f t="shared" si="10"/>
        <v>5.2375619340929054E-3</v>
      </c>
      <c r="K23" s="452">
        <f t="shared" si="11"/>
        <v>0</v>
      </c>
      <c r="L23" s="452">
        <f t="shared" ca="1" si="12"/>
        <v>0</v>
      </c>
      <c r="M23" s="452">
        <f t="shared" si="13"/>
        <v>0</v>
      </c>
      <c r="N23" s="452">
        <f t="shared" ca="1" si="14"/>
        <v>0</v>
      </c>
      <c r="O23" s="452">
        <f t="shared" si="15"/>
        <v>0</v>
      </c>
      <c r="P23" s="453">
        <f t="shared" si="16"/>
        <v>0</v>
      </c>
      <c r="Q23" s="451">
        <f t="shared" ref="Q23:Q31" ca="1" si="17">SUM(B23:P23)</f>
        <v>5134.8543657023165</v>
      </c>
    </row>
    <row r="24" spans="1:17">
      <c r="A24" s="451" t="s">
        <v>193</v>
      </c>
      <c r="B24" s="452">
        <f t="shared" ca="1" si="2"/>
        <v>158.71006616029155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158.71006616029155</v>
      </c>
    </row>
    <row r="25" spans="1:17">
      <c r="A25" s="451" t="s">
        <v>111</v>
      </c>
      <c r="B25" s="452">
        <f t="shared" ca="1" si="2"/>
        <v>474.88540145690234</v>
      </c>
      <c r="C25" s="452">
        <f t="shared" ca="1" si="3"/>
        <v>0</v>
      </c>
      <c r="D25" s="452">
        <f t="shared" si="4"/>
        <v>447.47047753042813</v>
      </c>
      <c r="E25" s="452">
        <f t="shared" si="5"/>
        <v>18.39759547836902</v>
      </c>
      <c r="F25" s="452">
        <f t="shared" si="6"/>
        <v>2450.4026194946155</v>
      </c>
      <c r="G25" s="452">
        <f t="shared" si="7"/>
        <v>0</v>
      </c>
      <c r="H25" s="452">
        <f t="shared" si="8"/>
        <v>0</v>
      </c>
      <c r="I25" s="452">
        <f t="shared" si="9"/>
        <v>0</v>
      </c>
      <c r="J25" s="452">
        <f t="shared" si="10"/>
        <v>253.26887748763491</v>
      </c>
      <c r="K25" s="452">
        <f t="shared" si="11"/>
        <v>0</v>
      </c>
      <c r="L25" s="452">
        <f t="shared" si="12"/>
        <v>0</v>
      </c>
      <c r="M25" s="452">
        <f t="shared" si="13"/>
        <v>0</v>
      </c>
      <c r="N25" s="452">
        <f t="shared" si="14"/>
        <v>0</v>
      </c>
      <c r="O25" s="452">
        <f t="shared" si="15"/>
        <v>0</v>
      </c>
      <c r="P25" s="453">
        <f t="shared" si="16"/>
        <v>0</v>
      </c>
      <c r="Q25" s="451">
        <f t="shared" ca="1" si="17"/>
        <v>3644.4249714479502</v>
      </c>
    </row>
    <row r="26" spans="1:17">
      <c r="A26" s="451" t="s">
        <v>625</v>
      </c>
      <c r="B26" s="452">
        <f t="shared" ca="1" si="2"/>
        <v>860.60986180164821</v>
      </c>
      <c r="C26" s="452">
        <f t="shared" ca="1" si="3"/>
        <v>0</v>
      </c>
      <c r="D26" s="452">
        <f t="shared" si="4"/>
        <v>267.819108744</v>
      </c>
      <c r="E26" s="452">
        <f t="shared" si="5"/>
        <v>87.662663261110765</v>
      </c>
      <c r="F26" s="452">
        <f t="shared" si="6"/>
        <v>406.36451507148792</v>
      </c>
      <c r="G26" s="452">
        <f t="shared" si="7"/>
        <v>0</v>
      </c>
      <c r="H26" s="452">
        <f t="shared" si="8"/>
        <v>0</v>
      </c>
      <c r="I26" s="452">
        <f t="shared" si="9"/>
        <v>0</v>
      </c>
      <c r="J26" s="452">
        <f t="shared" si="10"/>
        <v>2.2219638810042639</v>
      </c>
      <c r="K26" s="452">
        <f t="shared" si="11"/>
        <v>0</v>
      </c>
      <c r="L26" s="452">
        <f t="shared" si="12"/>
        <v>0</v>
      </c>
      <c r="M26" s="452">
        <f t="shared" si="13"/>
        <v>0</v>
      </c>
      <c r="N26" s="452">
        <f t="shared" si="14"/>
        <v>0</v>
      </c>
      <c r="O26" s="452">
        <f t="shared" si="15"/>
        <v>0</v>
      </c>
      <c r="P26" s="453">
        <f t="shared" si="16"/>
        <v>0</v>
      </c>
      <c r="Q26" s="451">
        <f t="shared" ca="1" si="17"/>
        <v>1624.678112759251</v>
      </c>
    </row>
    <row r="27" spans="1:17" s="457" customFormat="1">
      <c r="A27" s="455" t="s">
        <v>551</v>
      </c>
      <c r="B27" s="775">
        <f t="shared" ca="1" si="2"/>
        <v>8.6390409480399413</v>
      </c>
      <c r="C27" s="456">
        <f t="shared" ca="1" si="3"/>
        <v>0</v>
      </c>
      <c r="D27" s="456">
        <f t="shared" si="4"/>
        <v>36.191008755578309</v>
      </c>
      <c r="E27" s="456">
        <f t="shared" si="5"/>
        <v>34.143162893431665</v>
      </c>
      <c r="F27" s="456">
        <f t="shared" si="6"/>
        <v>0</v>
      </c>
      <c r="G27" s="456">
        <f t="shared" si="7"/>
        <v>19174.231065000269</v>
      </c>
      <c r="H27" s="456">
        <f t="shared" si="8"/>
        <v>4153.6236871255242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23406.827964722845</v>
      </c>
    </row>
    <row r="28" spans="1:17" ht="16.5" customHeight="1">
      <c r="A28" s="451" t="s">
        <v>541</v>
      </c>
      <c r="B28" s="452">
        <f t="shared" ca="1" si="2"/>
        <v>0</v>
      </c>
      <c r="C28" s="452">
        <f t="shared" ca="1" si="3"/>
        <v>0</v>
      </c>
      <c r="D28" s="452">
        <f t="shared" si="4"/>
        <v>0</v>
      </c>
      <c r="E28" s="452">
        <f t="shared" si="5"/>
        <v>0</v>
      </c>
      <c r="F28" s="452">
        <f t="shared" si="6"/>
        <v>0</v>
      </c>
      <c r="G28" s="452">
        <f t="shared" si="7"/>
        <v>266.06492044468695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266.06492044468695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63.869937314665847</v>
      </c>
      <c r="C32" s="452">
        <f t="shared" ca="1" si="3"/>
        <v>0</v>
      </c>
      <c r="D32" s="452">
        <f t="shared" si="4"/>
        <v>363.61244320000003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427.48238051466586</v>
      </c>
    </row>
    <row r="33" spans="1:17" s="463" customFormat="1">
      <c r="A33" s="461" t="s">
        <v>545</v>
      </c>
      <c r="B33" s="462">
        <f ca="1">SUM(B22:B32)</f>
        <v>7961.774180778486</v>
      </c>
      <c r="C33" s="462">
        <f t="shared" ref="C33:Q33" ca="1" si="19">SUM(C22:C32)</f>
        <v>0</v>
      </c>
      <c r="D33" s="462">
        <f t="shared" ca="1" si="19"/>
        <v>10526.652963876879</v>
      </c>
      <c r="E33" s="462">
        <f t="shared" si="19"/>
        <v>813.16235800262371</v>
      </c>
      <c r="F33" s="462">
        <f t="shared" ca="1" si="19"/>
        <v>12378.72525424786</v>
      </c>
      <c r="G33" s="462">
        <f t="shared" si="19"/>
        <v>19440.295985444955</v>
      </c>
      <c r="H33" s="462">
        <f t="shared" si="19"/>
        <v>4153.6236871255242</v>
      </c>
      <c r="I33" s="462">
        <f t="shared" si="19"/>
        <v>0</v>
      </c>
      <c r="J33" s="462">
        <f t="shared" si="19"/>
        <v>255.49607893057325</v>
      </c>
      <c r="K33" s="462">
        <f t="shared" si="19"/>
        <v>0</v>
      </c>
      <c r="L33" s="462">
        <f t="shared" ca="1" si="19"/>
        <v>0</v>
      </c>
      <c r="M33" s="462">
        <f t="shared" si="19"/>
        <v>0</v>
      </c>
      <c r="N33" s="462">
        <f t="shared" ca="1" si="19"/>
        <v>0</v>
      </c>
      <c r="O33" s="462">
        <f t="shared" si="19"/>
        <v>0</v>
      </c>
      <c r="P33" s="462">
        <f t="shared" si="19"/>
        <v>0</v>
      </c>
      <c r="Q33" s="462">
        <f t="shared" ca="1" si="19"/>
        <v>55529.730508406901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7511.7311118008229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7511.7311118008229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0.18287013720761247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0.18287013720761247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2020-06-20T15:37:07Z</dcterms:modified>
</cp:coreProperties>
</file>