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20" i="16"/>
  <c r="C22" i="16" s="1"/>
  <c r="D43" i="14" s="1"/>
  <c r="C17" i="49"/>
  <c r="C10" i="13"/>
  <c r="C12" i="13" s="1"/>
  <c r="D41" i="14" s="1"/>
  <c r="D46" i="14" s="1"/>
  <c r="D61" i="14" s="1"/>
  <c r="D63" i="14" s="1"/>
  <c r="C29" i="20"/>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<sst xmlns="http://schemas.openxmlformats.org/spreadsheetml/2006/main" count="2411" uniqueCount="894">
  <si>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</si>
  <si>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</si>
  <si>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</si>
  <si>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</si>
  <si>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</si>
  <si>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</si>
  <si>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</si>
  <si>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</si>
  <si>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</si>
  <si>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</si>
  <si>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</si>
  <si>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</si>
  <si>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</si>
  <si>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</si>
  <si>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</si>
  <si>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</si>
  <si>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</si>
  <si>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</si>
  <si>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</si>
  <si>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</si>
  <si>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</si>
  <si>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</si>
  <si>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</si>
  <si>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</si>
  <si>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</si>
  <si>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</si>
  <si>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</si>
  <si>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</si>
  <si>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</si>
  <si>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</si>
  <si>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</si>
  <si>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</si>
  <si>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</si>
  <si>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</si>
  <si>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</si>
  <si>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</si>
  <si>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</si>
  <si>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</si>
  <si>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</si>
  <si>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</si>
  <si>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</si>
  <si>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</si>
  <si>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</si>
  <si>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</si>
  <si>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</si>
  <si>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</si>
  <si>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</si>
  <si>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</si>
  <si>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</si>
  <si>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</si>
  <si>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</si>
  <si>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</si>
  <si>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</si>
  <si>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</si>
  <si>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</si>
  <si>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</si>
  <si>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</si>
  <si>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</si>
  <si>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</si>
  <si>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</si>
  <si>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</si>
  <si>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</si>
  <si>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</si>
  <si>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</si>
  <si>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</si>
  <si>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</si>
  <si>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</si>
  <si>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</si>
  <si>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</si>
  <si>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</si>
  <si>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</si>
  <si>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</si>
  <si>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</si>
  <si>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</si>
  <si>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</si>
  <si>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</si>
  <si>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</si>
  <si>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</si>
  <si>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</si>
  <si>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</si>
  <si>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</si>
  <si>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</si>
  <si>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</si>
  <si>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</si>
  <si>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</si>
  <si>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</si>
  <si>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</si>
  <si>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</si>
  <si>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</si>
  <si>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</si>
  <si>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</si>
  <si>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</si>
  <si>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</si>
  <si>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</si>
  <si>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</si>
  <si>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</si>
  <si>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</si>
  <si>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</si>
  <si>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</si>
  <si>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</si>
  <si>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</si>
  <si>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</si>
  <si>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</si>
  <si>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</si>
  <si>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</si>
  <si>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</si>
  <si>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</si>
  <si>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</si>
  <si>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</si>
  <si>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</si>
  <si>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</si>
  <si>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</si>
  <si>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</si>
  <si>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</si>
  <si>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</si>
  <si>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</si>
  <si>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</si>
  <si>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</si>
  <si>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</si>
  <si>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</si>
  <si>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</si>
  <si>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</si>
  <si>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</si>
  <si>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</si>
  <si>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</si>
  <si>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</si>
  <si>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</si>
  <si>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</si>
  <si>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</si>
  <si>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</si>
  <si>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</si>
  <si>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</si>
  <si>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</si>
  <si>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</si>
  <si>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</si>
  <si>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</si>
  <si>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</si>
  <si>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</si>
  <si>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</si>
  <si>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</si>
  <si>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</si>
  <si>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</si>
  <si>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</si>
  <si>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</si>
  <si>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</si>
  <si>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</si>
  <si>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</si>
  <si>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</si>
  <si>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</si>
  <si>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</si>
  <si>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</si>
  <si>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</si>
  <si>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</si>
  <si>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</si>
  <si>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</si>
  <si>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</si>
  <si>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</si>
  <si>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</si>
  <si>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</si>
  <si>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</si>
  <si>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</si>
  <si>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</si>
  <si>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</si>
  <si>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</si>
  <si>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</si>
  <si>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</si>
  <si>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</si>
  <si>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</si>
  <si>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</si>
  <si>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</si>
  <si>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</si>
  <si>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</si>
  <si>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</si>
  <si>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</si>
  <si>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</si>
  <si>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</si>
  <si>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</si>
  <si>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</si>
  <si>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</si>
  <si>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</si>
  <si>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</si>
  <si>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</si>
  <si>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</si>
  <si>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</si>
  <si>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</si>
  <si>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</si>
  <si>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</si>
  <si>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</si>
  <si>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</si>
  <si>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</si>
  <si>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</si>
  <si>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</si>
  <si>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</si>
  <si>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</si>
  <si>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</si>
  <si>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</si>
  <si>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</si>
  <si>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</si>
  <si>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</si>
  <si>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</si>
  <si>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</si>
  <si>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</si>
  <si>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</si>
  <si>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</si>
  <si>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</si>
  <si>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</si>
  <si>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</si>
  <si>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</si>
  <si>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</si>
  <si>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</si>
  <si>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</si>
  <si>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</si>
  <si>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</si>
  <si>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</si>
  <si>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</si>
  <si>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</si>
  <si>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</si>
  <si>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</si>
  <si>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</si>
  <si>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</si>
  <si>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</si>
  <si>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</si>
  <si>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</si>
  <si>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</si>
  <si>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</si>
  <si>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</si>
  <si>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</si>
  <si>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</si>
  <si>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</si>
  <si>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</si>
  <si>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</si>
  <si>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</si>
  <si>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</si>
  <si>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</si>
  <si>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</si>
  <si>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</si>
  <si>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</si>
  <si>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</si>
  <si>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</si>
  <si>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</si>
  <si>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</si>
  <si>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</si>
  <si>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</si>
  <si>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</si>
  <si>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</si>
  <si>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</si>
  <si>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</si>
  <si>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</si>
  <si>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</si>
  <si>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</si>
  <si>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</si>
  <si>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</si>
  <si>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</si>
  <si>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</si>
  <si>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</si>
  <si>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</si>
  <si>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</si>
  <si>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</si>
  <si>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</si>
  <si>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</si>
  <si>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</si>
  <si>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</si>
  <si>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</si>
  <si>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</si>
  <si>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</si>
  <si>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</si>
  <si>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</si>
  <si>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</si>
  <si>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</si>
  <si>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</si>
  <si>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</si>
  <si>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</si>
  <si>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</si>
  <si>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</si>
  <si>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</si>
  <si>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</si>
  <si>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</si>
  <si>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</si>
  <si>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</si>
  <si>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</si>
  <si>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</si>
  <si>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</si>
  <si>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</si>
  <si>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</si>
  <si>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</si>
  <si>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</si>
  <si>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</si>
  <si>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</si>
  <si>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</si>
  <si>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</si>
  <si>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</si>
  <si>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</si>
  <si>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</si>
  <si>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</si>
  <si>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</si>
  <si>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</si>
  <si>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</si>
  <si>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</si>
  <si>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</si>
  <si>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</si>
  <si>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</si>
  <si>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</si>
  <si>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</si>
  <si>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</si>
  <si>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</si>
  <si>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</si>
  <si>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</si>
  <si>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</si>
  <si>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</si>
  <si>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</si>
  <si>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</si>
  <si>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</si>
  <si>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</si>
  <si>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</si>
  <si>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</si>
  <si>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</si>
  <si>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</si>
  <si>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</si>
  <si>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</si>
  <si>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</si>
  <si>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</si>
  <si>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</si>
  <si>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</si>
  <si>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</si>
  <si>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</si>
  <si>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</si>
  <si>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</si>
  <si>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</si>
  <si>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</si>
  <si>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</si>
  <si>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</si>
  <si>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</si>
  <si>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</si>
  <si>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</si>
  <si>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</si>
  <si>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</si>
  <si>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</si>
  <si>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</si>
  <si>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</si>
  <si>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</si>
  <si>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</si>
  <si>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</si>
  <si>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</si>
  <si>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</si>
  <si>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</si>
  <si>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</si>
  <si>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</si>
  <si>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</si>
  <si>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</si>
  <si>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</si>
  <si>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</si>
  <si>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</si>
  <si>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</si>
  <si>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</si>
  <si>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</si>
  <si>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</si>
  <si>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</si>
  <si>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</si>
  <si>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</si>
  <si>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</si>
  <si>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</si>
  <si>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</si>
  <si>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</si>
  <si>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</si>
  <si>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</si>
  <si>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</si>
  <si>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</si>
  <si>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</si>
  <si>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</si>
  <si>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</si>
  <si>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</si>
  <si>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</si>
  <si>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</si>
  <si>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</si>
  <si>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</si>
  <si>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</si>
  <si>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</si>
  <si>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</si>
  <si>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</si>
  <si>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</si>
  <si>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</si>
  <si>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</si>
  <si>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</si>
  <si>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</si>
  <si>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</si>
  <si>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</si>
  <si>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</si>
  <si>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</si>
  <si>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</si>
  <si>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</si>
  <si>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</si>
  <si>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</si>
  <si>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</si>
  <si>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</si>
  <si>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</si>
  <si>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</si>
  <si>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</si>
  <si>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</si>
  <si>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</si>
  <si>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</si>
  <si>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</si>
  <si>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</si>
  <si>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</si>
  <si>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</si>
  <si>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</si>
  <si>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</si>
  <si>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</si>
  <si>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</si>
  <si>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</si>
  <si>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</si>
  <si>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</si>
  <si>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</si>
  <si>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</si>
  <si>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</si>
  <si>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</si>
  <si>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</si>
  <si>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</si>
  <si>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</si>
  <si>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</si>
  <si>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</si>
  <si>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</si>
  <si>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</si>
  <si>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</si>
  <si>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</si>
  <si>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</si>
  <si>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</si>
  <si>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</si>
  <si>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</si>
  <si>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</si>
  <si>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</si>
  <si>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</si>
  <si>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</si>
  <si>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</si>
  <si>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</si>
  <si>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</si>
  <si>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</si>
  <si>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</si>
  <si>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</si>
  <si>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</si>
  <si>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</si>
  <si>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</si>
  <si>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</si>
  <si>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</si>
  <si>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</si>
  <si>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</si>
  <si>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</si>
  <si>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</si>
  <si>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</si>
  <si>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</si>
  <si>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</si>
  <si>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</si>
  <si>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</si>
  <si>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</si>
  <si>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</si>
  <si>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</si>
  <si>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</si>
  <si>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</si>
  <si>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</si>
  <si>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</si>
  <si>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</si>
  <si>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</si>
  <si>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</si>
  <si>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</si>
  <si>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</si>
  <si>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</si>
  <si>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</si>
  <si>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</si>
  <si>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</si>
  <si>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</si>
  <si>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</si>
  <si>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</si>
  <si>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</si>
  <si>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</si>
  <si>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</si>
  <si>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</si>
  <si>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</si>
  <si>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</si>
  <si>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</si>
  <si>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</si>
  <si>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</si>
  <si>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</si>
  <si>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</si>
  <si>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</si>
  <si>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</si>
  <si>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</si>
  <si>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</si>
  <si>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</si>
  <si>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</si>
  <si>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</si>
  <si>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</si>
  <si>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</si>
  <si>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</si>
  <si>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</si>
  <si>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</si>
  <si>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</si>
  <si>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</si>
  <si>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</si>
  <si>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</si>
  <si>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</si>
  <si>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</si>
  <si>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</si>
  <si>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</si>
  <si>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</si>
  <si>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</si>
  <si>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</si>
  <si>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</si>
  <si>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</si>
  <si>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</si>
  <si>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</si>
  <si>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</si>
  <si>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</si>
  <si>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</si>
  <si>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</si>
  <si>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</si>
  <si>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</si>
  <si>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</si>
  <si>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</si>
  <si>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</si>
  <si>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</si>
  <si>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</si>
  <si>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</si>
  <si>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</si>
  <si>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</si>
  <si>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</si>
  <si>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</si>
  <si>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</si>
  <si>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</si>
  <si>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</si>
  <si>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</si>
  <si>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</si>
  <si>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</si>
  <si>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</si>
  <si>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</si>
  <si>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</si>
  <si>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</si>
  <si>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</si>
  <si>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</si>
  <si>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</si>
  <si>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</si>
  <si>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</si>
  <si>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</si>
  <si>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</si>
  <si>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</si>
  <si>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</si>
  <si>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</si>
  <si>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</si>
  <si>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</si>
  <si>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</si>
  <si>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</si>
  <si>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</si>
  <si>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</si>
  <si>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</si>
  <si>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</si>
  <si>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</si>
  <si>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</si>
  <si>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</si>
  <si>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</si>
  <si>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</si>
  <si>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</si>
  <si>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</si>
  <si>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</si>
  <si>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</si>
  <si>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</si>
  <si>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</si>
  <si>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</si>
  <si>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</si>
  <si>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</si>
  <si>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</si>
  <si>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</si>
  <si>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</si>
  <si>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</si>
  <si>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</si>
  <si>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</si>
  <si>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</si>
  <si>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</si>
  <si>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</si>
  <si>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</si>
  <si>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</si>
  <si>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</si>
  <si>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</si>
  <si>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</si>
  <si>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</si>
  <si>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</si>
  <si>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</si>
  <si>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</si>
  <si>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</si>
  <si>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</si>
  <si>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</si>
  <si>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</si>
  <si>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</si>
  <si>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</si>
  <si>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</si>
  <si>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</si>
  <si>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</si>
  <si>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</si>
  <si>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</si>
  <si>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</si>
  <si>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</si>
  <si>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</si>
  <si>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</si>
  <si>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</si>
  <si>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</si>
  <si>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</si>
  <si>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</si>
  <si>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</si>
  <si>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</si>
  <si>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</si>
  <si>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</si>
  <si>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</si>
  <si>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</si>
  <si>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</si>
  <si>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</si>
  <si>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</si>
  <si>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</si>
  <si>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</si>
  <si>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</si>
  <si>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</si>
  <si>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</si>
  <si>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</si>
  <si>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</si>
  <si>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</si>
  <si>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</si>
  <si>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</si>
  <si>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</si>
  <si>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</si>
  <si>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</si>
  <si>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</si>
  <si>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</si>
  <si>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</si>
  <si>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</si>
  <si>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</si>
  <si>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</si>
  <si>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</si>
  <si>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</si>
  <si>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</si>
  <si>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</si>
  <si>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</si>
  <si>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</si>
  <si>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</si>
  <si>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</si>
  <si>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</si>
  <si>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</si>
  <si>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</si>
  <si>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</si>
  <si>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</si>
  <si>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</si>
  <si>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</si>
  <si>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</si>
  <si>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</si>
  <si>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</si>
  <si>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</si>
  <si>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</si>
  <si>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</si>
  <si>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</si>
  <si>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</si>
  <si>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</si>
  <si>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</si>
  <si>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</si>
  <si>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</si>
  <si>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</si>
  <si>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</si>
  <si>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</si>
  <si>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</si>
  <si>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</si>
  <si>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</si>
  <si>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</si>
  <si>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</si>
  <si>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</si>
  <si>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</si>
  <si>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</si>
  <si>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</si>
  <si>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</si>
  <si>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</si>
  <si>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</si>
  <si>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</si>
  <si>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</si>
  <si>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</si>
  <si>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</si>
  <si>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</si>
  <si>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</si>
  <si>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</si>
  <si>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</si>
  <si>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</si>
  <si>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</si>
  <si>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</si>
  <si>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</si>
  <si>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</si>
  <si>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</si>
  <si>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</si>
  <si>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</si>
  <si>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</si>
  <si>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</si>
  <si>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</si>
  <si>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</si>
  <si>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</si>
  <si>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</si>
  <si>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</si>
  <si>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</si>
  <si>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</si>
  <si>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</si>
  <si>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</si>
  <si>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</si>
  <si>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</si>
  <si>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</si>
  <si>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</si>
  <si>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</si>
  <si>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</si>
  <si>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</si>
  <si>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</si>
  <si>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</si>
  <si>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</si>
  <si>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</si>
  <si>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</si>
  <si>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</si>
  <si>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</si>
  <si>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</si>
  <si>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</si>
  <si>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</si>
  <si>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</si>
  <si>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</si>
  <si>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</si>
  <si>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</si>
  <si>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</si>
  <si>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</si>
  <si>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</si>
  <si>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</si>
  <si>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</si>
  <si>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</si>
  <si>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</si>
  <si>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</si>
  <si>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</si>
  <si>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</si>
  <si>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</si>
  <si>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</si>
  <si>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</si>
  <si>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</si>
  <si>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</si>
  <si>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</si>
  <si>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</si>
  <si>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</si>
  <si>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</si>
  <si>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</si>
  <si>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</si>
  <si>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</si>
  <si>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</si>
  <si>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</si>
  <si>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</si>
  <si>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</si>
  <si>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</si>
  <si>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</si>
  <si>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</si>
  <si>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</si>
  <si>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</si>
  <si>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</si>
  <si>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</si>
  <si>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</si>
  <si>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</si>
  <si>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</si>
  <si>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</si>
  <si>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</si>
  <si>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</si>
  <si>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</si>
  <si>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</si>
  <si>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</si>
  <si>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</si>
  <si>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</si>
  <si>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</si>
  <si>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</si>
  <si>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</si>
  <si>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</si>
  <si>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</si>
  <si>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</si>
  <si>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</si>
  <si>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</si>
  <si>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</si>
  <si>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</si>
  <si>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</si>
  <si>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</si>
  <si>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</si>
  <si>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</si>
  <si>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</si>
  <si>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</si>
  <si>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</si>
  <si>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</si>
  <si>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</si>
  <si>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</si>
  <si>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</si>
  <si>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</si>
  <si>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</si>
  <si>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</si>
  <si>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</si>
  <si>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</si>
  <si>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</si>
  <si>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</si>
  <si>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</si>
  <si>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</si>
  <si>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</si>
  <si>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</si>
  <si>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</si>
  <si>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</si>
  <si>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</si>
  <si>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</si>
  <si>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</si>
  <si>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</si>
  <si>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</si>
  <si>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</si>
  <si>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</si>
  <si>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</si>
  <si>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</si>
  <si>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</si>
  <si>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</si>
  <si>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</si>
  <si>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</si>
  <si>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</si>
  <si>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</si>
  <si>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</si>
  <si>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</si>
  <si>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</si>
  <si>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</si>
  <si>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</si>
  <si>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</si>
  <si>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</si>
  <si>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</si>
  <si>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</si>
  <si>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</si>
  <si>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</si>
  <si>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</si>
  <si>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</si>
  <si>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</si>
  <si>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</si>
  <si>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</si>
  <si>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</si>
  <si>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</si>
  <si>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</si>
  <si>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</si>
  <si>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</si>
  <si>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</si>
  <si>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</si>
  <si>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</si>
  <si>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</si>
  <si>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</si>
  <si>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</si>
  <si>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</si>
  <si>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</si>
  <si>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</si>
  <si>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</si>
  <si>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</si>
  <si>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</si>
  <si>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</si>
  <si>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</si>
  <si>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</si>
  <si>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</si>
  <si>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</si>
  <si>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</si>
  <si>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</si>
  <si>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</si>
  <si>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</si>
  <si>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</si>
  <si>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</si>
  <si>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</si>
  <si>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</si>
  <si>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</si>
  <si>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</si>
  <si>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</si>
  <si>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</si>
  <si>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</si>
  <si>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</si>
  <si>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</si>
  <si>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</si>
  <si>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</si>
  <si>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</si>
  <si>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</si>
  <si>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</si>
  <si>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</si>
  <si>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</si>
  <si>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</si>
  <si>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</si>
  <si>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</si>
  <si>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</si>
  <si>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</si>
  <si>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</si>
  <si>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</si>
  <si>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</si>
  <si>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</si>
  <si>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</si>
  <si>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71011</t>
  </si>
  <si>
    <t>DIEPENBEEK</t>
  </si>
  <si>
    <t>referentietaak LNE (2017); Jaarverslag De Lijn</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</si>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</sst>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157967.19456302439</c:v>
                </c:pt>
                <c:pt idx="1">
                  <c:v>55741.021517487075</c:v>
                </c:pt>
                <c:pt idx="2">
                  <c:v>924.37099999999998</c:v>
                </c:pt>
                <c:pt idx="3">
                  <c:v>3071.9010823843018</c:v>
                </c:pt>
                <c:pt idx="4">
                  <c:v>30140.337526315296</c:v>
                </c:pt>
                <c:pt idx="5">
                  <c:v>205030.4940233386</c:v>
                </c:pt>
                <c:pt idx="6">
                  <c:v>3568.0634158304047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157967.19456302439</c:v>
                </c:pt>
                <c:pt idx="1">
                  <c:v>55741.021517487075</c:v>
                </c:pt>
                <c:pt idx="2">
                  <c:v>924.37099999999998</c:v>
                </c:pt>
                <c:pt idx="3">
                  <c:v>3071.9010823843018</c:v>
                </c:pt>
                <c:pt idx="4">
                  <c:v>30140.337526315296</c:v>
                </c:pt>
                <c:pt idx="5">
                  <c:v>205030.4940233386</c:v>
                </c:pt>
                <c:pt idx="6">
                  <c:v>3568.0634158304047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29456.804992022226</c:v>
                </c:pt>
                <c:pt idx="1">
                  <c:v>10837.262725649232</c:v>
                </c:pt>
                <c:pt idx="2">
                  <c:v>176.25027349073474</c:v>
                </c:pt>
                <c:pt idx="3">
                  <c:v>784.9728089858022</c:v>
                </c:pt>
                <c:pt idx="4">
                  <c:v>6161.8904625286486</c:v>
                </c:pt>
                <c:pt idx="5">
                  <c:v>51003.877319154533</c:v>
                </c:pt>
                <c:pt idx="6">
                  <c:v>902.51873297336783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29456.804992022226</c:v>
                </c:pt>
                <c:pt idx="1">
                  <c:v>10837.262725649232</c:v>
                </c:pt>
                <c:pt idx="2">
                  <c:v>176.25027349073474</c:v>
                </c:pt>
                <c:pt idx="3">
                  <c:v>784.9728089858022</c:v>
                </c:pt>
                <c:pt idx="4">
                  <c:v>6161.8904625286486</c:v>
                </c:pt>
                <c:pt idx="5">
                  <c:v>51003.877319154533</c:v>
                </c:pt>
                <c:pt idx="6">
                  <c:v>902.51873297336783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71011</v>
      </c>
      <c r="B6" s="390"/>
      <c r="C6" s="391"/>
    </row>
    <row r="7" spans="1:7" s="388" customFormat="1" ht="15.75" customHeight="1">
      <c r="A7" s="392" t="str">
        <f>txtMunicipality</f>
        <v>DIEPENBEEK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0.19067049214085552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0.19067049214085552</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7920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1480.01</v>
      </c>
      <c r="C14" s="330"/>
      <c r="D14" s="330"/>
      <c r="E14" s="330"/>
      <c r="F14" s="330"/>
    </row>
    <row r="15" spans="1:6">
      <c r="A15" s="1298" t="s">
        <v>183</v>
      </c>
      <c r="B15" s="1299">
        <v>12</v>
      </c>
      <c r="C15" s="330"/>
      <c r="D15" s="330"/>
      <c r="E15" s="330"/>
      <c r="F15" s="330"/>
    </row>
    <row r="16" spans="1:6">
      <c r="A16" s="1298" t="s">
        <v>6</v>
      </c>
      <c r="B16" s="1299">
        <v>648</v>
      </c>
      <c r="C16" s="330"/>
      <c r="D16" s="330"/>
      <c r="E16" s="330"/>
      <c r="F16" s="330"/>
    </row>
    <row r="17" spans="1:6">
      <c r="A17" s="1298" t="s">
        <v>7</v>
      </c>
      <c r="B17" s="1299">
        <v>236</v>
      </c>
      <c r="C17" s="330"/>
      <c r="D17" s="330"/>
      <c r="E17" s="330"/>
      <c r="F17" s="330"/>
    </row>
    <row r="18" spans="1:6">
      <c r="A18" s="1298" t="s">
        <v>8</v>
      </c>
      <c r="B18" s="1299">
        <v>492</v>
      </c>
      <c r="C18" s="330"/>
      <c r="D18" s="330"/>
      <c r="E18" s="330"/>
      <c r="F18" s="330"/>
    </row>
    <row r="19" spans="1:6">
      <c r="A19" s="1298" t="s">
        <v>9</v>
      </c>
      <c r="B19" s="1299">
        <v>501</v>
      </c>
      <c r="C19" s="330"/>
      <c r="D19" s="330"/>
      <c r="E19" s="330"/>
      <c r="F19" s="330"/>
    </row>
    <row r="20" spans="1:6">
      <c r="A20" s="1298" t="s">
        <v>10</v>
      </c>
      <c r="B20" s="1299">
        <v>263</v>
      </c>
      <c r="C20" s="330"/>
      <c r="D20" s="330"/>
      <c r="E20" s="330"/>
      <c r="F20" s="330"/>
    </row>
    <row r="21" spans="1:6">
      <c r="A21" s="1298" t="s">
        <v>11</v>
      </c>
      <c r="B21" s="1299">
        <v>467</v>
      </c>
      <c r="C21" s="330"/>
      <c r="D21" s="330"/>
      <c r="E21" s="330"/>
      <c r="F21" s="330"/>
    </row>
    <row r="22" spans="1:6">
      <c r="A22" s="1298" t="s">
        <v>12</v>
      </c>
      <c r="B22" s="1299">
        <v>1822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105</v>
      </c>
      <c r="C26" s="330"/>
      <c r="D26" s="330"/>
      <c r="E26" s="330"/>
      <c r="F26" s="330"/>
    </row>
    <row r="27" spans="1:6">
      <c r="A27" s="1298" t="s">
        <v>17</v>
      </c>
      <c r="B27" s="1299">
        <v>0</v>
      </c>
      <c r="C27" s="330"/>
      <c r="D27" s="330"/>
      <c r="E27" s="330"/>
      <c r="F27" s="330"/>
    </row>
    <row r="28" spans="1:6" s="43" customFormat="1">
      <c r="A28" s="1300" t="s">
        <v>18</v>
      </c>
      <c r="B28" s="1301">
        <v>26746</v>
      </c>
      <c r="C28" s="336"/>
      <c r="D28" s="336"/>
      <c r="E28" s="336"/>
      <c r="F28" s="336"/>
    </row>
    <row r="29" spans="1:6">
      <c r="A29" s="1300" t="s">
        <v>705</v>
      </c>
      <c r="B29" s="1301">
        <v>71</v>
      </c>
      <c r="C29" s="336"/>
      <c r="D29" s="336"/>
      <c r="E29" s="336"/>
      <c r="F29" s="336"/>
    </row>
    <row r="30" spans="1:6">
      <c r="A30" s="1293" t="s">
        <v>706</v>
      </c>
      <c r="B30" s="1302">
        <v>30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499</v>
      </c>
    </row>
    <row r="39" spans="1:6">
      <c r="A39" s="1298" t="s">
        <v>29</v>
      </c>
      <c r="B39" s="1298" t="s">
        <v>30</v>
      </c>
      <c r="C39" s="1299">
        <v>4235</v>
      </c>
      <c r="D39" s="1299">
        <v>62687016.350000001</v>
      </c>
      <c r="E39" s="1299">
        <v>7824</v>
      </c>
      <c r="F39" s="1299">
        <v>25475652.699999999</v>
      </c>
    </row>
    <row r="40" spans="1:6">
      <c r="A40" s="1298" t="s">
        <v>29</v>
      </c>
      <c r="B40" s="1298" t="s">
        <v>28</v>
      </c>
      <c r="C40" s="1299">
        <v>0</v>
      </c>
      <c r="D40" s="1299">
        <v>0</v>
      </c>
      <c r="E40" s="1299">
        <v>0</v>
      </c>
      <c r="F40" s="1299">
        <v>0</v>
      </c>
    </row>
    <row r="41" spans="1:6">
      <c r="A41" s="1298" t="s">
        <v>31</v>
      </c>
      <c r="B41" s="1298" t="s">
        <v>32</v>
      </c>
      <c r="C41" s="1299">
        <v>67</v>
      </c>
      <c r="D41" s="1299">
        <v>2340801.693</v>
      </c>
      <c r="E41" s="1299">
        <v>165</v>
      </c>
      <c r="F41" s="1299">
        <v>4214644.3320000004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2881252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v>
      </c>
      <c r="D48" s="1299">
        <v>6977796.3530000001</v>
      </c>
      <c r="E48" s="1299">
        <v>5</v>
      </c>
      <c r="F48" s="1299">
        <v>4104677.1170000001</v>
      </c>
    </row>
    <row r="49" spans="1:6">
      <c r="A49" s="1298" t="s">
        <v>31</v>
      </c>
      <c r="B49" s="1298" t="s">
        <v>39</v>
      </c>
      <c r="C49" s="1299">
        <v>0</v>
      </c>
      <c r="D49" s="1299">
        <v>0</v>
      </c>
      <c r="E49" s="1299">
        <v>0</v>
      </c>
      <c r="F49" s="1299">
        <v>0</v>
      </c>
    </row>
    <row r="50" spans="1:6">
      <c r="A50" s="1298" t="s">
        <v>31</v>
      </c>
      <c r="B50" s="1298" t="s">
        <v>40</v>
      </c>
      <c r="C50" s="1299">
        <v>7</v>
      </c>
      <c r="D50" s="1299">
        <v>2652728</v>
      </c>
      <c r="E50" s="1299">
        <v>10</v>
      </c>
      <c r="F50" s="1299">
        <v>1546889</v>
      </c>
    </row>
    <row r="51" spans="1:6">
      <c r="A51" s="1298" t="s">
        <v>41</v>
      </c>
      <c r="B51" s="1298" t="s">
        <v>42</v>
      </c>
      <c r="C51" s="1299">
        <v>0</v>
      </c>
      <c r="D51" s="1299">
        <v>0</v>
      </c>
      <c r="E51" s="1299">
        <v>44</v>
      </c>
      <c r="F51" s="1299">
        <v>629963.40700000001</v>
      </c>
    </row>
    <row r="52" spans="1:6">
      <c r="A52" s="1298" t="s">
        <v>41</v>
      </c>
      <c r="B52" s="1298" t="s">
        <v>28</v>
      </c>
      <c r="C52" s="1299">
        <v>2</v>
      </c>
      <c r="D52" s="1299">
        <v>24786</v>
      </c>
      <c r="E52" s="1299">
        <v>0</v>
      </c>
      <c r="F52" s="1299">
        <v>0</v>
      </c>
    </row>
    <row r="53" spans="1:6">
      <c r="A53" s="1298" t="s">
        <v>43</v>
      </c>
      <c r="B53" s="1298" t="s">
        <v>44</v>
      </c>
      <c r="C53" s="1299">
        <v>46</v>
      </c>
      <c r="D53" s="1299">
        <v>810237.4</v>
      </c>
      <c r="E53" s="1299">
        <v>163</v>
      </c>
      <c r="F53" s="1299">
        <v>949465.3</v>
      </c>
    </row>
    <row r="54" spans="1:6">
      <c r="A54" s="1298" t="s">
        <v>45</v>
      </c>
      <c r="B54" s="1298" t="s">
        <v>46</v>
      </c>
      <c r="C54" s="1299">
        <v>0</v>
      </c>
      <c r="D54" s="1299">
        <v>0</v>
      </c>
      <c r="E54" s="1299">
        <v>3</v>
      </c>
      <c r="F54" s="1299">
        <v>924371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56</v>
      </c>
      <c r="D57" s="1299">
        <v>3425074.1179999998</v>
      </c>
      <c r="E57" s="1299">
        <v>119</v>
      </c>
      <c r="F57" s="1299">
        <v>2235616.15</v>
      </c>
    </row>
    <row r="58" spans="1:6">
      <c r="A58" s="1298" t="s">
        <v>48</v>
      </c>
      <c r="B58" s="1298" t="s">
        <v>50</v>
      </c>
      <c r="C58" s="1299">
        <v>27</v>
      </c>
      <c r="D58" s="1299">
        <v>2752615</v>
      </c>
      <c r="E58" s="1299">
        <v>52</v>
      </c>
      <c r="F58" s="1299">
        <v>1557186</v>
      </c>
    </row>
    <row r="59" spans="1:6">
      <c r="A59" s="1298" t="s">
        <v>48</v>
      </c>
      <c r="B59" s="1298" t="s">
        <v>51</v>
      </c>
      <c r="C59" s="1299">
        <v>91</v>
      </c>
      <c r="D59" s="1299">
        <v>3354329.8</v>
      </c>
      <c r="E59" s="1299">
        <v>198</v>
      </c>
      <c r="F59" s="1299">
        <v>6064523.9519999996</v>
      </c>
    </row>
    <row r="60" spans="1:6">
      <c r="A60" s="1298" t="s">
        <v>48</v>
      </c>
      <c r="B60" s="1298" t="s">
        <v>52</v>
      </c>
      <c r="C60" s="1299">
        <v>55</v>
      </c>
      <c r="D60" s="1299">
        <v>1969112</v>
      </c>
      <c r="E60" s="1299">
        <v>94</v>
      </c>
      <c r="F60" s="1299">
        <v>1740294</v>
      </c>
    </row>
    <row r="61" spans="1:6">
      <c r="A61" s="1298" t="s">
        <v>48</v>
      </c>
      <c r="B61" s="1298" t="s">
        <v>53</v>
      </c>
      <c r="C61" s="1299">
        <v>137</v>
      </c>
      <c r="D61" s="1299">
        <v>6066380.5999999996</v>
      </c>
      <c r="E61" s="1299">
        <v>274</v>
      </c>
      <c r="F61" s="1299">
        <v>4977392.87</v>
      </c>
    </row>
    <row r="62" spans="1:6">
      <c r="A62" s="1298" t="s">
        <v>48</v>
      </c>
      <c r="B62" s="1298" t="s">
        <v>54</v>
      </c>
      <c r="C62" s="1299">
        <v>23</v>
      </c>
      <c r="D62" s="1299">
        <v>13961479</v>
      </c>
      <c r="E62" s="1299">
        <v>44</v>
      </c>
      <c r="F62" s="1299">
        <v>6086893.443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5162</v>
      </c>
    </row>
    <row r="66" spans="1:6">
      <c r="A66" s="1298" t="s">
        <v>55</v>
      </c>
      <c r="B66" s="1298" t="s">
        <v>57</v>
      </c>
      <c r="C66" s="1299">
        <v>0</v>
      </c>
      <c r="D66" s="1299">
        <v>0</v>
      </c>
      <c r="E66" s="1299">
        <v>20</v>
      </c>
      <c r="F66" s="1299">
        <v>804019.64300000004</v>
      </c>
    </row>
    <row r="67" spans="1:6">
      <c r="A67" s="1300" t="s">
        <v>55</v>
      </c>
      <c r="B67" s="1300" t="s">
        <v>58</v>
      </c>
      <c r="C67" s="1299">
        <v>0</v>
      </c>
      <c r="D67" s="1299">
        <v>0</v>
      </c>
      <c r="E67" s="1299">
        <v>0</v>
      </c>
      <c r="F67" s="1299">
        <v>0</v>
      </c>
    </row>
    <row r="68" spans="1:6">
      <c r="A68" s="1293" t="s">
        <v>55</v>
      </c>
      <c r="B68" s="1293" t="s">
        <v>59</v>
      </c>
      <c r="C68" s="1302">
        <v>4</v>
      </c>
      <c r="D68" s="1302">
        <v>141952</v>
      </c>
      <c r="E68" s="1302">
        <v>11</v>
      </c>
      <c r="F68" s="1302">
        <v>217407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114236398</v>
      </c>
      <c r="E73" s="450"/>
      <c r="F73" s="330"/>
    </row>
    <row r="74" spans="1:6">
      <c r="A74" s="1298" t="s">
        <v>63</v>
      </c>
      <c r="B74" s="1298" t="s">
        <v>647</v>
      </c>
      <c r="C74" s="1312" t="s">
        <v>649</v>
      </c>
      <c r="D74" s="1313">
        <v>10258972</v>
      </c>
      <c r="E74" s="450"/>
      <c r="F74" s="330"/>
    </row>
    <row r="75" spans="1:6">
      <c r="A75" s="1298" t="s">
        <v>64</v>
      </c>
      <c r="B75" s="1298" t="s">
        <v>646</v>
      </c>
      <c r="C75" s="1312" t="s">
        <v>650</v>
      </c>
      <c r="D75" s="1313">
        <v>33005540</v>
      </c>
      <c r="E75" s="450"/>
      <c r="F75" s="330"/>
    </row>
    <row r="76" spans="1:6">
      <c r="A76" s="1298" t="s">
        <v>64</v>
      </c>
      <c r="B76" s="1298" t="s">
        <v>647</v>
      </c>
      <c r="C76" s="1312" t="s">
        <v>651</v>
      </c>
      <c r="D76" s="1313">
        <v>23798.5</v>
      </c>
      <c r="E76" s="450"/>
      <c r="F76" s="330"/>
    </row>
    <row r="77" spans="1:6">
      <c r="A77" s="1298" t="s">
        <v>65</v>
      </c>
      <c r="B77" s="1298" t="s">
        <v>646</v>
      </c>
      <c r="C77" s="1312" t="s">
        <v>652</v>
      </c>
      <c r="D77" s="1313">
        <v>75191396</v>
      </c>
      <c r="E77" s="450"/>
      <c r="F77" s="330"/>
    </row>
    <row r="78" spans="1:6">
      <c r="A78" s="1293" t="s">
        <v>65</v>
      </c>
      <c r="B78" s="1293" t="s">
        <v>647</v>
      </c>
      <c r="C78" s="1293" t="s">
        <v>653</v>
      </c>
      <c r="D78" s="1314">
        <v>9799408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979462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7800.2244333539811</v>
      </c>
      <c r="C91" s="330"/>
      <c r="D91" s="330"/>
      <c r="E91" s="330"/>
      <c r="F91" s="330"/>
    </row>
    <row r="92" spans="1:6">
      <c r="A92" s="1293" t="s">
        <v>68</v>
      </c>
      <c r="B92" s="1294">
        <v>2032.0151113157001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1118</v>
      </c>
      <c r="C97" s="330"/>
      <c r="D97" s="330"/>
      <c r="E97" s="330"/>
      <c r="F97" s="330"/>
    </row>
    <row r="98" spans="1:6">
      <c r="A98" s="1298" t="s">
        <v>71</v>
      </c>
      <c r="B98" s="1299">
        <v>3</v>
      </c>
      <c r="C98" s="330"/>
      <c r="D98" s="330"/>
      <c r="E98" s="330"/>
      <c r="F98" s="330"/>
    </row>
    <row r="99" spans="1:6">
      <c r="A99" s="1298" t="s">
        <v>72</v>
      </c>
      <c r="B99" s="1299">
        <v>35</v>
      </c>
      <c r="C99" s="330"/>
      <c r="D99" s="330"/>
      <c r="E99" s="330"/>
      <c r="F99" s="330"/>
    </row>
    <row r="100" spans="1:6">
      <c r="A100" s="1298" t="s">
        <v>73</v>
      </c>
      <c r="B100" s="1299">
        <v>338</v>
      </c>
      <c r="C100" s="330"/>
      <c r="D100" s="330"/>
      <c r="E100" s="330"/>
      <c r="F100" s="330"/>
    </row>
    <row r="101" spans="1:6">
      <c r="A101" s="1298" t="s">
        <v>74</v>
      </c>
      <c r="B101" s="1299">
        <v>82</v>
      </c>
      <c r="C101" s="330"/>
      <c r="D101" s="330"/>
      <c r="E101" s="330"/>
      <c r="F101" s="330"/>
    </row>
    <row r="102" spans="1:6">
      <c r="A102" s="1298" t="s">
        <v>75</v>
      </c>
      <c r="B102" s="1299">
        <v>67</v>
      </c>
      <c r="C102" s="330"/>
      <c r="D102" s="330"/>
      <c r="E102" s="330"/>
      <c r="F102" s="330"/>
    </row>
    <row r="103" spans="1:6">
      <c r="A103" s="1298" t="s">
        <v>76</v>
      </c>
      <c r="B103" s="1299">
        <v>126</v>
      </c>
      <c r="C103" s="330"/>
      <c r="D103" s="330"/>
      <c r="E103" s="330"/>
      <c r="F103" s="330"/>
    </row>
    <row r="104" spans="1:6">
      <c r="A104" s="1298" t="s">
        <v>77</v>
      </c>
      <c r="B104" s="1299">
        <v>4617</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75</v>
      </c>
      <c r="C123" s="1299">
        <v>79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228</v>
      </c>
      <c r="C129" s="330"/>
      <c r="D129" s="330"/>
      <c r="E129" s="330"/>
      <c r="F129" s="330"/>
    </row>
    <row r="130" spans="1:6">
      <c r="A130" s="1298" t="s">
        <v>294</v>
      </c>
      <c r="B130" s="1299">
        <v>6</v>
      </c>
      <c r="C130" s="330"/>
      <c r="D130" s="330"/>
      <c r="E130" s="330"/>
      <c r="F130" s="330"/>
    </row>
    <row r="131" spans="1:6">
      <c r="A131" s="1298" t="s">
        <v>295</v>
      </c>
      <c r="B131" s="1299">
        <v>3</v>
      </c>
      <c r="C131" s="330"/>
      <c r="D131" s="330"/>
      <c r="E131" s="330"/>
      <c r="F131" s="330"/>
    </row>
    <row r="132" spans="1:6">
      <c r="A132" s="1293" t="s">
        <v>296</v>
      </c>
      <c r="B132" s="1294">
        <v>58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71520.42694562512</v>
      </c>
      <c r="C3" s="43" t="s">
        <v>169</v>
      </c>
      <c r="D3" s="43"/>
      <c r="E3" s="154"/>
      <c r="F3" s="43"/>
      <c r="G3" s="43"/>
      <c r="H3" s="43"/>
      <c r="I3" s="43"/>
      <c r="J3" s="43"/>
      <c r="K3" s="96"/>
    </row>
    <row r="4" spans="1:11">
      <c r="A4" s="358" t="s">
        <v>170</v>
      </c>
      <c r="B4" s="49">
        <f>IF(ISERROR('SEAP template'!B78+'SEAP template'!C78),0,'SEAP template'!B78+'SEAP template'!C78)</f>
        <v>10057.239544669681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53.470588235294116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0.19067049214085552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76.386554621848759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321.42857142857144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924.37099999999998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924.37099999999998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0.19067049214085552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176.25027349073474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25475.652699999999</v>
      </c>
      <c r="C5" s="17">
        <f>IF(ISERROR('Eigen informatie GS &amp; warmtenet'!B59),0,'Eigen informatie GS &amp; warmtenet'!B59)</f>
        <v>0</v>
      </c>
      <c r="D5" s="30">
        <f>(SUM(HH_hh_gas_kWh,HH_rest_gas_kWh)/1000)*0.902</f>
        <v>56543.688747699998</v>
      </c>
      <c r="E5" s="17">
        <f>B46*B57</f>
        <v>7273.5914059688521</v>
      </c>
      <c r="F5" s="17">
        <f>B51*B62</f>
        <v>37599.800548302068</v>
      </c>
      <c r="G5" s="18"/>
      <c r="H5" s="17"/>
      <c r="I5" s="17"/>
      <c r="J5" s="17">
        <f>B50*B61+C50*C61</f>
        <v>0</v>
      </c>
      <c r="K5" s="17"/>
      <c r="L5" s="17"/>
      <c r="M5" s="17"/>
      <c r="N5" s="17">
        <f>B48*B59+C48*C59</f>
        <v>21262.161008206178</v>
      </c>
      <c r="O5" s="17">
        <f>B69*B70*B71</f>
        <v>611.05913157120574</v>
      </c>
      <c r="P5" s="17">
        <f>B77*B78*B79/1000-B77*B78*B79/1000/B80</f>
        <v>1401.0165879221083</v>
      </c>
    </row>
    <row r="6" spans="1:16">
      <c r="A6" s="16" t="s">
        <v>611</v>
      </c>
      <c r="B6" s="783">
        <f>kWh_PV_kleiner_dan_10kW</f>
        <v>7800.2244333539811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33275.877133353977</v>
      </c>
      <c r="C8" s="21">
        <f>C5</f>
        <v>0</v>
      </c>
      <c r="D8" s="21">
        <f>D5</f>
        <v>56543.688747699998</v>
      </c>
      <c r="E8" s="21">
        <f>E5</f>
        <v>7273.5914059688521</v>
      </c>
      <c r="F8" s="21">
        <f>F5</f>
        <v>37599.800548302068</v>
      </c>
      <c r="G8" s="21"/>
      <c r="H8" s="21"/>
      <c r="I8" s="21"/>
      <c r="J8" s="21">
        <f>J5</f>
        <v>0</v>
      </c>
      <c r="K8" s="21"/>
      <c r="L8" s="21">
        <f>L5</f>
        <v>0</v>
      </c>
      <c r="M8" s="21">
        <f>M5</f>
        <v>0</v>
      </c>
      <c r="N8" s="21">
        <f>N5</f>
        <v>21262.161008206178</v>
      </c>
      <c r="O8" s="21">
        <f>O5</f>
        <v>611.05913157120574</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0.19067049214085552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6344.7278694352435</v>
      </c>
      <c r="C12" s="23">
        <f ca="1">C10*C8</f>
        <v>0</v>
      </c>
      <c r="D12" s="23">
        <f>D8*D10</f>
        <v>11421.825127035401</v>
      </c>
      <c r="E12" s="23">
        <f>E10*E8</f>
        <v>1651.1052491549294</v>
      </c>
      <c r="F12" s="23">
        <f>F10*F8</f>
        <v>10039.146746396653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3</v>
      </c>
      <c r="C19" s="166" t="s">
        <v>110</v>
      </c>
      <c r="D19" s="229"/>
      <c r="E19" s="15"/>
    </row>
    <row r="20" spans="1:7">
      <c r="A20" s="171" t="s">
        <v>72</v>
      </c>
      <c r="B20" s="37">
        <f>aantalw2001_propaan</f>
        <v>35</v>
      </c>
      <c r="C20" s="167">
        <f>IF(ISERROR(B20/SUM($B$20,$B$21,$B$22)*100),0,B20/SUM($B$20,$B$21,$B$22)*100)</f>
        <v>7.6923076923076925</v>
      </c>
      <c r="D20" s="229"/>
      <c r="E20" s="15"/>
    </row>
    <row r="21" spans="1:7">
      <c r="A21" s="171" t="s">
        <v>73</v>
      </c>
      <c r="B21" s="37">
        <f>aantalw2001_elektriciteit</f>
        <v>338</v>
      </c>
      <c r="C21" s="167">
        <f>IF(ISERROR(B21/SUM($B$20,$B$21,$B$22)*100),0,B21/SUM($B$20,$B$21,$B$22)*100)</f>
        <v>74.285714285714292</v>
      </c>
      <c r="D21" s="229"/>
      <c r="E21" s="15"/>
    </row>
    <row r="22" spans="1:7">
      <c r="A22" s="171" t="s">
        <v>74</v>
      </c>
      <c r="B22" s="37">
        <f>aantalw2001_hout</f>
        <v>82</v>
      </c>
      <c r="C22" s="167">
        <f>IF(ISERROR(B22/SUM($B$20,$B$21,$B$22)*100),0,B22/SUM($B$20,$B$21,$B$22)*100)</f>
        <v>18.021978021978022</v>
      </c>
      <c r="D22" s="229"/>
      <c r="E22" s="15"/>
    </row>
    <row r="23" spans="1:7">
      <c r="A23" s="171" t="s">
        <v>75</v>
      </c>
      <c r="B23" s="37">
        <f>aantalw2001_niet_gespec</f>
        <v>67</v>
      </c>
      <c r="C23" s="166" t="s">
        <v>110</v>
      </c>
      <c r="D23" s="228"/>
      <c r="E23" s="15"/>
    </row>
    <row r="24" spans="1:7">
      <c r="A24" s="171" t="s">
        <v>76</v>
      </c>
      <c r="B24" s="37">
        <f>aantalw2001_steenkool</f>
        <v>126</v>
      </c>
      <c r="C24" s="166" t="s">
        <v>110</v>
      </c>
      <c r="D24" s="229"/>
      <c r="E24" s="15"/>
    </row>
    <row r="25" spans="1:7">
      <c r="A25" s="171" t="s">
        <v>77</v>
      </c>
      <c r="B25" s="37">
        <f>aantalw2001_stookolie</f>
        <v>4617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7920</v>
      </c>
      <c r="C28" s="36"/>
      <c r="D28" s="228"/>
    </row>
    <row r="29" spans="1:7" s="15" customFormat="1">
      <c r="A29" s="230" t="s">
        <v>819</v>
      </c>
      <c r="B29" s="37">
        <f>SUM(HH_hh_gas_aantal,HH_rest_gas_aantal)</f>
        <v>4235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4235</v>
      </c>
      <c r="C32" s="167">
        <f>IF(ISERROR(B32/SUM($B$32,$B$34,$B$35,$B$36,$B$38,$B$39)*100),0,B32/SUM($B$32,$B$34,$B$35,$B$36,$B$38,$B$39)*100)</f>
        <v>54.385514318736362</v>
      </c>
      <c r="D32" s="233"/>
      <c r="G32" s="15"/>
    </row>
    <row r="33" spans="1:7">
      <c r="A33" s="171" t="s">
        <v>71</v>
      </c>
      <c r="B33" s="34" t="s">
        <v>110</v>
      </c>
      <c r="C33" s="167"/>
      <c r="D33" s="233"/>
      <c r="G33" s="15"/>
    </row>
    <row r="34" spans="1:7">
      <c r="A34" s="171" t="s">
        <v>72</v>
      </c>
      <c r="B34" s="33">
        <f>IF((($B$28-$B$32-$B$39-$B$77-$B$38)*C20/100)&lt;0,0,($B$28-$B$32-$B$39-$B$77-$B$38)*C20/100)</f>
        <v>133.86923076923077</v>
      </c>
      <c r="C34" s="167">
        <f>IF(ISERROR(B34/SUM($B$32,$B$34,$B$35,$B$36,$B$38,$B$39)*100),0,B34/SUM($B$32,$B$34,$B$35,$B$36,$B$38,$B$39)*100)</f>
        <v>1.7191374183797452</v>
      </c>
      <c r="D34" s="233"/>
      <c r="G34" s="15"/>
    </row>
    <row r="35" spans="1:7">
      <c r="A35" s="171" t="s">
        <v>73</v>
      </c>
      <c r="B35" s="33">
        <f>IF((($B$28-$B$32-$B$39-$B$77-$B$38)*C21/100)&lt;0,0,($B$28-$B$32-$B$39-$B$77-$B$38)*C21/100)</f>
        <v>1292.7942857142859</v>
      </c>
      <c r="C35" s="167">
        <f>IF(ISERROR(B35/SUM($B$32,$B$34,$B$35,$B$36,$B$38,$B$39)*100),0,B35/SUM($B$32,$B$34,$B$35,$B$36,$B$38,$B$39)*100)</f>
        <v>16.601955640352973</v>
      </c>
      <c r="D35" s="233"/>
      <c r="G35" s="15"/>
    </row>
    <row r="36" spans="1:7">
      <c r="A36" s="171" t="s">
        <v>74</v>
      </c>
      <c r="B36" s="33">
        <f>IF((($B$28-$B$32-$B$39-$B$77-$B$38)*C22/100)&lt;0,0,($B$28-$B$32-$B$39-$B$77-$B$38)*C22/100)</f>
        <v>313.63648351648351</v>
      </c>
      <c r="C36" s="167">
        <f>IF(ISERROR(B36/SUM($B$32,$B$34,$B$35,$B$36,$B$38,$B$39)*100),0,B36/SUM($B$32,$B$34,$B$35,$B$36,$B$38,$B$39)*100)</f>
        <v>4.0276933802039752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1811.6999999999998</v>
      </c>
      <c r="C39" s="167">
        <f>IF(ISERROR(B39/SUM($B$32,$B$34,$B$35,$B$36,$B$38,$B$39)*100),0,B39/SUM($B$32,$B$34,$B$35,$B$36,$B$38,$B$39)*100)</f>
        <v>23.265699242326953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4235</v>
      </c>
      <c r="C44" s="34" t="s">
        <v>110</v>
      </c>
      <c r="D44" s="174"/>
    </row>
    <row r="45" spans="1:7">
      <c r="A45" s="171" t="s">
        <v>71</v>
      </c>
      <c r="B45" s="33" t="str">
        <f t="shared" si="0"/>
        <v>-</v>
      </c>
      <c r="C45" s="34" t="s">
        <v>110</v>
      </c>
      <c r="D45" s="174"/>
    </row>
    <row r="46" spans="1:7">
      <c r="A46" s="171" t="s">
        <v>72</v>
      </c>
      <c r="B46" s="33">
        <f t="shared" si="0"/>
        <v>133.86923076923077</v>
      </c>
      <c r="C46" s="34" t="s">
        <v>110</v>
      </c>
      <c r="D46" s="174"/>
    </row>
    <row r="47" spans="1:7">
      <c r="A47" s="171" t="s">
        <v>73</v>
      </c>
      <c r="B47" s="33">
        <f t="shared" si="0"/>
        <v>1292.7942857142859</v>
      </c>
      <c r="C47" s="34" t="s">
        <v>110</v>
      </c>
      <c r="D47" s="174"/>
    </row>
    <row r="48" spans="1:7">
      <c r="A48" s="171" t="s">
        <v>74</v>
      </c>
      <c r="B48" s="33">
        <f t="shared" si="0"/>
        <v>313.63648351648351</v>
      </c>
      <c r="C48" s="33">
        <f>B48*10</f>
        <v>3136.3648351648353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1811.6999999999998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22661.906414999998</v>
      </c>
      <c r="C5" s="17">
        <f>IF(ISERROR('Eigen informatie GS &amp; warmtenet'!B60),0,'Eigen informatie GS &amp; warmtenet'!B60)</f>
        <v>0</v>
      </c>
      <c r="D5" s="30">
        <f>SUM(D6:D12)</f>
        <v>28439.149447235999</v>
      </c>
      <c r="E5" s="17">
        <f>SUM(E6:E12)</f>
        <v>383.11348038014006</v>
      </c>
      <c r="F5" s="17">
        <f>SUM(F6:F12)</f>
        <v>2603.6974561025518</v>
      </c>
      <c r="G5" s="18"/>
      <c r="H5" s="17"/>
      <c r="I5" s="17"/>
      <c r="J5" s="17">
        <f>SUM(J6:J12)</f>
        <v>3.7951941882484699E-2</v>
      </c>
      <c r="K5" s="17"/>
      <c r="L5" s="17"/>
      <c r="M5" s="17"/>
      <c r="N5" s="17">
        <f>SUM(N6:N12)</f>
        <v>1510.0052204340468</v>
      </c>
      <c r="O5" s="17">
        <f>B38*B39*B40</f>
        <v>29.383564595046927</v>
      </c>
      <c r="P5" s="17">
        <f>B46*B47*B48/1000-B46*B47*B48/1000/B49</f>
        <v>210.15655322598008</v>
      </c>
      <c r="R5" s="32"/>
    </row>
    <row r="6" spans="1:18">
      <c r="A6" s="32" t="s">
        <v>53</v>
      </c>
      <c r="B6" s="37">
        <f>B26</f>
        <v>4977.3928699999997</v>
      </c>
      <c r="C6" s="33"/>
      <c r="D6" s="37">
        <f>IF(ISERROR(TER_kantoor_gas_kWh/1000),0,TER_kantoor_gas_kWh/1000)*0.902</f>
        <v>5471.8753011999997</v>
      </c>
      <c r="E6" s="33">
        <f>$C$26*'E Balans VL '!I12/100/3.6*1000000</f>
        <v>40.051484547008798</v>
      </c>
      <c r="F6" s="33">
        <f>$C$26*('E Balans VL '!L12+'E Balans VL '!N12)/100/3.6*1000000</f>
        <v>608.53863885413659</v>
      </c>
      <c r="G6" s="34"/>
      <c r="H6" s="33"/>
      <c r="I6" s="33"/>
      <c r="J6" s="33">
        <f>$C$26*('E Balans VL '!D12+'E Balans VL '!E12)/100/3.6*1000000</f>
        <v>0</v>
      </c>
      <c r="K6" s="33"/>
      <c r="L6" s="33"/>
      <c r="M6" s="33"/>
      <c r="N6" s="33">
        <f>$C$26*'E Balans VL '!Y12/100/3.6*1000000</f>
        <v>2.6751035575555173</v>
      </c>
      <c r="O6" s="33"/>
      <c r="P6" s="33"/>
      <c r="R6" s="32"/>
    </row>
    <row r="7" spans="1:18">
      <c r="A7" s="32" t="s">
        <v>52</v>
      </c>
      <c r="B7" s="37">
        <f t="shared" ref="B7:B12" si="0">B27</f>
        <v>1740.2940000000001</v>
      </c>
      <c r="C7" s="33"/>
      <c r="D7" s="37">
        <f>IF(ISERROR(TER_horeca_gas_kWh/1000),0,TER_horeca_gas_kWh/1000)*0.902</f>
        <v>1776.1390240000001</v>
      </c>
      <c r="E7" s="33">
        <f>$C$27*'E Balans VL '!I9/100/3.6*1000000</f>
        <v>18.686484145049739</v>
      </c>
      <c r="F7" s="33">
        <f>$C$27*('E Balans VL '!L9+'E Balans VL '!N9)/100/3.6*1000000</f>
        <v>209.31516834557689</v>
      </c>
      <c r="G7" s="34"/>
      <c r="H7" s="33"/>
      <c r="I7" s="33"/>
      <c r="J7" s="33">
        <f>$C$27*('E Balans VL '!D9+'E Balans VL '!E9)/100/3.6*1000000</f>
        <v>0</v>
      </c>
      <c r="K7" s="33"/>
      <c r="L7" s="33"/>
      <c r="M7" s="33"/>
      <c r="N7" s="33">
        <f>$C$27*'E Balans VL '!Y9/100/3.6*1000000</f>
        <v>0.26090534226439149</v>
      </c>
      <c r="O7" s="33"/>
      <c r="P7" s="33"/>
      <c r="R7" s="32"/>
    </row>
    <row r="8" spans="1:18">
      <c r="A8" s="6" t="s">
        <v>51</v>
      </c>
      <c r="B8" s="37">
        <f t="shared" si="0"/>
        <v>6064.5239519999996</v>
      </c>
      <c r="C8" s="33"/>
      <c r="D8" s="37">
        <f>IF(ISERROR(TER_handel_gas_kWh/1000),0,TER_handel_gas_kWh/1000)*0.902</f>
        <v>3025.6054795999999</v>
      </c>
      <c r="E8" s="33">
        <f>$C$28*'E Balans VL '!I13/100/3.6*1000000</f>
        <v>162.75325651170937</v>
      </c>
      <c r="F8" s="33">
        <f>$C$28*('E Balans VL '!L13+'E Balans VL '!N13)/100/3.6*1000000</f>
        <v>578.74249846851774</v>
      </c>
      <c r="G8" s="34"/>
      <c r="H8" s="33"/>
      <c r="I8" s="33"/>
      <c r="J8" s="33">
        <f>$C$28*('E Balans VL '!D13+'E Balans VL '!E13)/100/3.6*1000000</f>
        <v>0</v>
      </c>
      <c r="K8" s="33"/>
      <c r="L8" s="33"/>
      <c r="M8" s="33"/>
      <c r="N8" s="33">
        <f>$C$28*'E Balans VL '!Y13/100/3.6*1000000</f>
        <v>2.404046250547891</v>
      </c>
      <c r="O8" s="33"/>
      <c r="P8" s="33"/>
      <c r="R8" s="32"/>
    </row>
    <row r="9" spans="1:18">
      <c r="A9" s="32" t="s">
        <v>50</v>
      </c>
      <c r="B9" s="37">
        <f t="shared" si="0"/>
        <v>1557.1859999999999</v>
      </c>
      <c r="C9" s="33"/>
      <c r="D9" s="37">
        <f>IF(ISERROR(TER_gezond_gas_kWh/1000),0,TER_gezond_gas_kWh/1000)*0.902</f>
        <v>2482.8587299999999</v>
      </c>
      <c r="E9" s="33">
        <f>$C$29*'E Balans VL '!I10/100/3.6*1000000</f>
        <v>2.9186736057792797</v>
      </c>
      <c r="F9" s="33">
        <f>$C$29*('E Balans VL '!L10+'E Balans VL '!N10)/100/3.6*1000000</f>
        <v>128.01489742745898</v>
      </c>
      <c r="G9" s="34"/>
      <c r="H9" s="33"/>
      <c r="I9" s="33"/>
      <c r="J9" s="33">
        <f>$C$29*('E Balans VL '!D10+'E Balans VL '!E10)/100/3.6*1000000</f>
        <v>0</v>
      </c>
      <c r="K9" s="33"/>
      <c r="L9" s="33"/>
      <c r="M9" s="33"/>
      <c r="N9" s="33">
        <f>$C$29*'E Balans VL '!Y10/100/3.6*1000000</f>
        <v>12.116068907695482</v>
      </c>
      <c r="O9" s="33"/>
      <c r="P9" s="33"/>
      <c r="R9" s="32"/>
    </row>
    <row r="10" spans="1:18">
      <c r="A10" s="32" t="s">
        <v>49</v>
      </c>
      <c r="B10" s="37">
        <f t="shared" si="0"/>
        <v>2235.6161499999998</v>
      </c>
      <c r="C10" s="33"/>
      <c r="D10" s="37">
        <f>IF(ISERROR(TER_ander_gas_kWh/1000),0,TER_ander_gas_kWh/1000)*0.902</f>
        <v>3089.416854436</v>
      </c>
      <c r="E10" s="33">
        <f>$C$30*'E Balans VL '!I14/100/3.6*1000000</f>
        <v>3.4462249483734277</v>
      </c>
      <c r="F10" s="33">
        <f>$C$30*('E Balans VL '!L14+'E Balans VL '!N14)/100/3.6*1000000</f>
        <v>347.08002446326975</v>
      </c>
      <c r="G10" s="34"/>
      <c r="H10" s="33"/>
      <c r="I10" s="33"/>
      <c r="J10" s="33">
        <f>$C$30*('E Balans VL '!D14+'E Balans VL '!E14)/100/3.6*1000000</f>
        <v>3.7951941882484699E-2</v>
      </c>
      <c r="K10" s="33"/>
      <c r="L10" s="33"/>
      <c r="M10" s="33"/>
      <c r="N10" s="33">
        <f>$C$30*'E Balans VL '!Y14/100/3.6*1000000</f>
        <v>1479.0119938802313</v>
      </c>
      <c r="O10" s="33"/>
      <c r="P10" s="33"/>
      <c r="R10" s="32"/>
    </row>
    <row r="11" spans="1:18">
      <c r="A11" s="32" t="s">
        <v>54</v>
      </c>
      <c r="B11" s="37">
        <f t="shared" si="0"/>
        <v>6086.8934429999999</v>
      </c>
      <c r="C11" s="33"/>
      <c r="D11" s="37">
        <f>IF(ISERROR(TER_onderwijs_gas_kWh/1000),0,TER_onderwijs_gas_kWh/1000)*0.902</f>
        <v>12593.254058</v>
      </c>
      <c r="E11" s="33">
        <f>$C$31*'E Balans VL '!I11/100/3.6*1000000</f>
        <v>155.25735662221945</v>
      </c>
      <c r="F11" s="33">
        <f>$C$31*('E Balans VL '!L11+'E Balans VL '!N11)/100/3.6*1000000</f>
        <v>732.00622854359199</v>
      </c>
      <c r="G11" s="34"/>
      <c r="H11" s="33"/>
      <c r="I11" s="33"/>
      <c r="J11" s="33">
        <f>$C$31*('E Balans VL '!D11+'E Balans VL '!E11)/100/3.6*1000000</f>
        <v>0</v>
      </c>
      <c r="K11" s="33"/>
      <c r="L11" s="33"/>
      <c r="M11" s="33"/>
      <c r="N11" s="33">
        <f>$C$31*'E Balans VL '!Y11/100/3.6*1000000</f>
        <v>13.537102495752228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22886.906414999998</v>
      </c>
      <c r="C16" s="21">
        <f t="shared" ca="1" si="1"/>
        <v>321.42857142857144</v>
      </c>
      <c r="D16" s="21">
        <f t="shared" ca="1" si="1"/>
        <v>27796.292304378858</v>
      </c>
      <c r="E16" s="21">
        <f t="shared" si="1"/>
        <v>383.11348038014006</v>
      </c>
      <c r="F16" s="21">
        <f t="shared" ca="1" si="1"/>
        <v>2603.6974561025518</v>
      </c>
      <c r="G16" s="21">
        <f t="shared" si="1"/>
        <v>0</v>
      </c>
      <c r="H16" s="21">
        <f t="shared" si="1"/>
        <v>0</v>
      </c>
      <c r="I16" s="21">
        <f t="shared" si="1"/>
        <v>0</v>
      </c>
      <c r="J16" s="21">
        <f t="shared" si="1"/>
        <v>3.7951941882484699E-2</v>
      </c>
      <c r="K16" s="21">
        <f t="shared" si="1"/>
        <v>0</v>
      </c>
      <c r="L16" s="21">
        <f t="shared" ca="1" si="1"/>
        <v>0</v>
      </c>
      <c r="M16" s="21">
        <f t="shared" si="1"/>
        <v>0</v>
      </c>
      <c r="N16" s="21">
        <f t="shared" ca="1" si="1"/>
        <v>1510.0052204340468</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0.19067049214085552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4363.857709729753</v>
      </c>
      <c r="C20" s="23">
        <f t="shared" ref="C20:P20" ca="1" si="2">C16*C18</f>
        <v>76.386554621848759</v>
      </c>
      <c r="D20" s="23">
        <f t="shared" ca="1" si="2"/>
        <v>5614.85104548453</v>
      </c>
      <c r="E20" s="23">
        <f t="shared" si="2"/>
        <v>86.966760046291796</v>
      </c>
      <c r="F20" s="23">
        <f t="shared" ca="1" si="2"/>
        <v>695.18722077938139</v>
      </c>
      <c r="G20" s="23">
        <f t="shared" si="2"/>
        <v>0</v>
      </c>
      <c r="H20" s="23">
        <f t="shared" si="2"/>
        <v>0</v>
      </c>
      <c r="I20" s="23">
        <f t="shared" si="2"/>
        <v>0</v>
      </c>
      <c r="J20" s="23">
        <f t="shared" si="2"/>
        <v>1.3434987426399583E-2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4977.3928699999997</v>
      </c>
      <c r="C26" s="39">
        <f>IF(ISERROR(B26*3.6/1000000/'E Balans VL '!Z12*100),0,B26*3.6/1000000/'E Balans VL '!Z12*100)</f>
        <v>0.10559083594550253</v>
      </c>
      <c r="D26" s="237" t="s">
        <v>708</v>
      </c>
      <c r="F26" s="6"/>
    </row>
    <row r="27" spans="1:18">
      <c r="A27" s="231" t="s">
        <v>52</v>
      </c>
      <c r="B27" s="33">
        <f>IF(ISERROR(TER_horeca_ele_kWh/1000),0,TER_horeca_ele_kWh/1000)</f>
        <v>1740.2940000000001</v>
      </c>
      <c r="C27" s="39">
        <f>IF(ISERROR(B27*3.6/1000000/'E Balans VL '!Z9*100),0,B27*3.6/1000000/'E Balans VL '!Z9*100)</f>
        <v>0.13105955460581115</v>
      </c>
      <c r="D27" s="237" t="s">
        <v>708</v>
      </c>
      <c r="F27" s="6"/>
    </row>
    <row r="28" spans="1:18">
      <c r="A28" s="171" t="s">
        <v>51</v>
      </c>
      <c r="B28" s="33">
        <f>IF(ISERROR(TER_handel_ele_kWh/1000),0,TER_handel_ele_kWh/1000)</f>
        <v>6064.5239519999996</v>
      </c>
      <c r="C28" s="39">
        <f>IF(ISERROR(B28*3.6/1000000/'E Balans VL '!Z13*100),0,B28*3.6/1000000/'E Balans VL '!Z13*100)</f>
        <v>0.17603164204164332</v>
      </c>
      <c r="D28" s="237" t="s">
        <v>708</v>
      </c>
      <c r="F28" s="6"/>
    </row>
    <row r="29" spans="1:18">
      <c r="A29" s="231" t="s">
        <v>50</v>
      </c>
      <c r="B29" s="33">
        <f>IF(ISERROR(TER_gezond_ele_kWh/1000),0,TER_gezond_ele_kWh/1000)</f>
        <v>1557.1859999999999</v>
      </c>
      <c r="C29" s="39">
        <f>IF(ISERROR(B29*3.6/1000000/'E Balans VL '!Z10*100),0,B29*3.6/1000000/'E Balans VL '!Z10*100)</f>
        <v>0.15704406511993976</v>
      </c>
      <c r="D29" s="237" t="s">
        <v>708</v>
      </c>
      <c r="F29" s="6"/>
    </row>
    <row r="30" spans="1:18">
      <c r="A30" s="231" t="s">
        <v>49</v>
      </c>
      <c r="B30" s="33">
        <f>IF(ISERROR(TER_ander_ele_kWh/1000),0,TER_ander_ele_kWh/1000)</f>
        <v>2235.6161499999998</v>
      </c>
      <c r="C30" s="39">
        <f>IF(ISERROR(B30*3.6/1000000/'E Balans VL '!Z14*100),0,B30*3.6/1000000/'E Balans VL '!Z14*100)</f>
        <v>0.16222445107900541</v>
      </c>
      <c r="D30" s="237" t="s">
        <v>708</v>
      </c>
      <c r="F30" s="6"/>
    </row>
    <row r="31" spans="1:18">
      <c r="A31" s="231" t="s">
        <v>54</v>
      </c>
      <c r="B31" s="33">
        <f>IF(ISERROR(TER_onderwijs_ele_kWh/1000),0,TER_onderwijs_ele_kWh/1000)</f>
        <v>6086.8934429999999</v>
      </c>
      <c r="C31" s="39">
        <f>IF(ISERROR(B31*3.6/1000000/'E Balans VL '!Z11*100),0,B31*3.6/1000000/'E Balans VL '!Z11*100)</f>
        <v>1.7350125010977175</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12747.462448999999</v>
      </c>
      <c r="C5" s="17">
        <f>IF(ISERROR('Eigen informatie GS &amp; warmtenet'!B61),0,'Eigen informatie GS &amp; warmtenet'!B61)</f>
        <v>0</v>
      </c>
      <c r="D5" s="30">
        <f>SUM(D6:D15)</f>
        <v>10798.136093492001</v>
      </c>
      <c r="E5" s="17">
        <f>SUM(E6:E15)</f>
        <v>1385.4484525983717</v>
      </c>
      <c r="F5" s="17">
        <f>SUM(F6:F15)</f>
        <v>4578.9338798411791</v>
      </c>
      <c r="G5" s="18"/>
      <c r="H5" s="17"/>
      <c r="I5" s="17"/>
      <c r="J5" s="17">
        <f>SUM(J6:J15)</f>
        <v>36.807594033711212</v>
      </c>
      <c r="K5" s="17"/>
      <c r="L5" s="17"/>
      <c r="M5" s="17"/>
      <c r="N5" s="17">
        <f>SUM(N6:N15)</f>
        <v>593.54905735003467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2881.252</v>
      </c>
      <c r="C8" s="33"/>
      <c r="D8" s="37">
        <f>IF( ISERROR(IND_metaal_Gas_kWH/1000),0,IND_metaal_Gas_kWH/1000)*0.902</f>
        <v>0</v>
      </c>
      <c r="E8" s="33">
        <f>C30*'E Balans VL '!I18/100/3.6*1000000</f>
        <v>20.786210928347643</v>
      </c>
      <c r="F8" s="33">
        <f>C30*'E Balans VL '!L18/100/3.6*1000000+C30*'E Balans VL '!N18/100/3.6*1000000</f>
        <v>272.51331263464721</v>
      </c>
      <c r="G8" s="34"/>
      <c r="H8" s="33"/>
      <c r="I8" s="33"/>
      <c r="J8" s="40">
        <f>C30*'E Balans VL '!D18/100/3.6*1000000+C30*'E Balans VL '!E18/100/3.6*1000000</f>
        <v>2.8979800051261972</v>
      </c>
      <c r="K8" s="33"/>
      <c r="L8" s="33"/>
      <c r="M8" s="33"/>
      <c r="N8" s="33">
        <f>C30*'E Balans VL '!Y18/100/3.6*1000000</f>
        <v>36.426648320196293</v>
      </c>
      <c r="O8" s="33"/>
      <c r="P8" s="33"/>
      <c r="R8" s="32"/>
    </row>
    <row r="9" spans="1:18">
      <c r="A9" s="6" t="s">
        <v>32</v>
      </c>
      <c r="B9" s="37">
        <f t="shared" si="0"/>
        <v>4214.6443320000008</v>
      </c>
      <c r="C9" s="33"/>
      <c r="D9" s="37">
        <f>IF( ISERROR(IND_andere_gas_kWh/1000),0,IND_andere_gas_kWh/1000)*0.902</f>
        <v>2111.403127086</v>
      </c>
      <c r="E9" s="33">
        <f>C31*'E Balans VL '!I19/100/3.6*1000000</f>
        <v>1167.9343012524316</v>
      </c>
      <c r="F9" s="33">
        <f>C31*'E Balans VL '!L19/100/3.6*1000000+C31*'E Balans VL '!N19/100/3.6*1000000</f>
        <v>3493.1063302781963</v>
      </c>
      <c r="G9" s="34"/>
      <c r="H9" s="33"/>
      <c r="I9" s="33"/>
      <c r="J9" s="40">
        <f>C31*'E Balans VL '!D19/100/3.6*1000000+C31*'E Balans VL '!E19/100/3.6*1000000</f>
        <v>0</v>
      </c>
      <c r="K9" s="33"/>
      <c r="L9" s="33"/>
      <c r="M9" s="33"/>
      <c r="N9" s="33">
        <f>C31*'E Balans VL '!Y19/100/3.6*1000000</f>
        <v>305.93162782223249</v>
      </c>
      <c r="O9" s="33"/>
      <c r="P9" s="33"/>
      <c r="R9" s="32"/>
    </row>
    <row r="10" spans="1:18">
      <c r="A10" s="6" t="s">
        <v>40</v>
      </c>
      <c r="B10" s="37">
        <f t="shared" si="0"/>
        <v>1546.8889999999999</v>
      </c>
      <c r="C10" s="33"/>
      <c r="D10" s="37">
        <f>IF( ISERROR(IND_voed_gas_kWh/1000),0,IND_voed_gas_kWh/1000)*0.902</f>
        <v>2392.7606559999999</v>
      </c>
      <c r="E10" s="33">
        <f>C32*'E Balans VL '!I20/100/3.6*1000000</f>
        <v>2.7385174948971902</v>
      </c>
      <c r="F10" s="33">
        <f>C32*'E Balans VL '!L20/100/3.6*1000000+C32*'E Balans VL '!N20/100/3.6*1000000</f>
        <v>83.545715954226694</v>
      </c>
      <c r="G10" s="34"/>
      <c r="H10" s="33"/>
      <c r="I10" s="33"/>
      <c r="J10" s="40">
        <f>C32*'E Balans VL '!D20/100/3.6*1000000+C32*'E Balans VL '!E20/100/3.6*1000000</f>
        <v>0</v>
      </c>
      <c r="K10" s="33"/>
      <c r="L10" s="33"/>
      <c r="M10" s="33"/>
      <c r="N10" s="33">
        <f>C32*'E Balans VL '!Y20/100/3.6*1000000</f>
        <v>89.88606463850266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4104.6771170000002</v>
      </c>
      <c r="C15" s="33"/>
      <c r="D15" s="37">
        <f>IF( ISERROR(IND_rest_gas_kWh/1000),0,IND_rest_gas_kWh/1000)*0.902</f>
        <v>6293.9723104060004</v>
      </c>
      <c r="E15" s="33">
        <f>C37*'E Balans VL '!I15/100/3.6*1000000</f>
        <v>193.98942292269513</v>
      </c>
      <c r="F15" s="33">
        <f>C37*'E Balans VL '!L15/100/3.6*1000000+C37*'E Balans VL '!N15/100/3.6*1000000</f>
        <v>729.76852097410847</v>
      </c>
      <c r="G15" s="34"/>
      <c r="H15" s="33"/>
      <c r="I15" s="33"/>
      <c r="J15" s="40">
        <f>C37*'E Balans VL '!D15/100/3.6*1000000+C37*'E Balans VL '!E15/100/3.6*1000000</f>
        <v>33.909614028585011</v>
      </c>
      <c r="K15" s="33"/>
      <c r="L15" s="33"/>
      <c r="M15" s="33"/>
      <c r="N15" s="33">
        <f>C37*'E Balans VL '!Y15/100/3.6*1000000</f>
        <v>161.30471656910325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12747.462448999999</v>
      </c>
      <c r="C18" s="21">
        <f>C5+C16</f>
        <v>0</v>
      </c>
      <c r="D18" s="21">
        <f>MAX((D5+D16),0)</f>
        <v>10798.136093492001</v>
      </c>
      <c r="E18" s="21">
        <f>MAX((E5+E16),0)</f>
        <v>1385.4484525983717</v>
      </c>
      <c r="F18" s="21">
        <f>MAX((F5+F16),0)</f>
        <v>4578.9338798411791</v>
      </c>
      <c r="G18" s="21"/>
      <c r="H18" s="21"/>
      <c r="I18" s="21"/>
      <c r="J18" s="21">
        <f>MAX((J5+J16),0)</f>
        <v>36.807594033711212</v>
      </c>
      <c r="K18" s="21"/>
      <c r="L18" s="21">
        <f>MAX((L5+L16),0)</f>
        <v>0</v>
      </c>
      <c r="M18" s="21"/>
      <c r="N18" s="21">
        <f>MAX((N5+N16),0)</f>
        <v>593.54905735003467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0.19067049214085552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2430.5649386979053</v>
      </c>
      <c r="C22" s="23">
        <f ca="1">C18*C20</f>
        <v>0</v>
      </c>
      <c r="D22" s="23">
        <f>D18*D20</f>
        <v>2181.2234908853843</v>
      </c>
      <c r="E22" s="23">
        <f>E18*E20</f>
        <v>314.49679873983035</v>
      </c>
      <c r="F22" s="23">
        <f>F18*F20</f>
        <v>1222.5753459175949</v>
      </c>
      <c r="G22" s="23"/>
      <c r="H22" s="23"/>
      <c r="I22" s="23"/>
      <c r="J22" s="23">
        <f>J18*J20</f>
        <v>13.029888287933769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2881.252</v>
      </c>
      <c r="C30" s="39">
        <f>IF(ISERROR(B30*3.6/1000000/'E Balans VL '!Z18*100),0,B30*3.6/1000000/'E Balans VL '!Z18*100)</f>
        <v>0.16633018220516146</v>
      </c>
      <c r="D30" s="237" t="s">
        <v>708</v>
      </c>
    </row>
    <row r="31" spans="1:18">
      <c r="A31" s="6" t="s">
        <v>32</v>
      </c>
      <c r="B31" s="37">
        <f>IF( ISERROR(IND_ander_ele_kWh/1000),0,IND_ander_ele_kWh/1000)</f>
        <v>4214.6443320000008</v>
      </c>
      <c r="C31" s="39">
        <f>IF(ISERROR(B31*3.6/1000000/'E Balans VL '!Z19*100),0,B31*3.6/1000000/'E Balans VL '!Z19*100)</f>
        <v>0.21198294865897443</v>
      </c>
      <c r="D31" s="237" t="s">
        <v>708</v>
      </c>
    </row>
    <row r="32" spans="1:18">
      <c r="A32" s="171" t="s">
        <v>40</v>
      </c>
      <c r="B32" s="37">
        <f>IF( ISERROR(IND_voed_ele_kWh/1000),0,IND_voed_ele_kWh/1000)</f>
        <v>1546.8889999999999</v>
      </c>
      <c r="C32" s="39">
        <f>IF(ISERROR(B32*3.6/1000000/'E Balans VL '!Z20*100),0,B32*3.6/1000000/'E Balans VL '!Z20*100)</f>
        <v>5.152058951064252E-2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4104.6771170000002</v>
      </c>
      <c r="C37" s="39">
        <f>IF(ISERROR(B37*3.6/1000000/'E Balans VL '!Z15*100),0,B37*3.6/1000000/'E Balans VL '!Z15*100)</f>
        <v>3.2027706290681794E-2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629.96340699999996</v>
      </c>
      <c r="C5" s="17">
        <f>'Eigen informatie GS &amp; warmtenet'!B62</f>
        <v>0</v>
      </c>
      <c r="D5" s="30">
        <f>IF(ISERROR(SUM(LB_lb_gas_kWh,LB_rest_gas_kWh)/1000),0,SUM(LB_lb_gas_kWh,LB_rest_gas_kWh)/1000)*0.902</f>
        <v>22.356972000000003</v>
      </c>
      <c r="E5" s="17">
        <f>B17*'E Balans VL '!I25/3.6*1000000/100</f>
        <v>19.660950196166361</v>
      </c>
      <c r="F5" s="17">
        <f>B17*('E Balans VL '!L25/3.6*1000000+'E Balans VL '!N25/3.6*1000000)/100</f>
        <v>2226.3604658016952</v>
      </c>
      <c r="G5" s="18"/>
      <c r="H5" s="17"/>
      <c r="I5" s="17"/>
      <c r="J5" s="17">
        <f>('E Balans VL '!D25+'E Balans VL '!E25)/3.6*1000000*landbouw!B17/100</f>
        <v>173.55928738644005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629.96340699999996</v>
      </c>
      <c r="C8" s="21">
        <f>C5+C6</f>
        <v>0</v>
      </c>
      <c r="D8" s="21">
        <f>MAX((D5+D6),0)</f>
        <v>22.356972000000003</v>
      </c>
      <c r="E8" s="21">
        <f>MAX((E5+E6),0)</f>
        <v>19.660950196166361</v>
      </c>
      <c r="F8" s="21">
        <f>MAX((F5+F6),0)</f>
        <v>2226.3604658016952</v>
      </c>
      <c r="G8" s="21"/>
      <c r="H8" s="21"/>
      <c r="I8" s="21"/>
      <c r="J8" s="21">
        <f>MAX((J5+J6),0)</f>
        <v>173.55928738644005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0.19067049214085552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120.11543284342005</v>
      </c>
      <c r="C12" s="23">
        <f ca="1">C8*C10</f>
        <v>0</v>
      </c>
      <c r="D12" s="23">
        <f>D8*D10</f>
        <v>4.5161083440000009</v>
      </c>
      <c r="E12" s="23">
        <f>E8*E10</f>
        <v>4.463035694529764</v>
      </c>
      <c r="F12" s="23">
        <f>F8*F10</f>
        <v>594.43824436905265</v>
      </c>
      <c r="G12" s="23"/>
      <c r="H12" s="23"/>
      <c r="I12" s="23"/>
      <c r="J12" s="23">
        <f>J8*J10</f>
        <v>61.439987734799772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9.3648576456017249E-2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180.791217896023</v>
      </c>
      <c r="C26" s="247">
        <f>B26*'GWP N2O_CH4'!B5</f>
        <v>3796.6155758164832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40.090977116236722</v>
      </c>
      <c r="C27" s="247">
        <f>B27*'GWP N2O_CH4'!B5</f>
        <v>841.91051944097114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2.0568661626089759</v>
      </c>
      <c r="C28" s="247">
        <f>B28*'GWP N2O_CH4'!B4</f>
        <v>637.62851040878252</v>
      </c>
      <c r="D28" s="50"/>
    </row>
    <row r="29" spans="1:4">
      <c r="A29" s="41" t="s">
        <v>276</v>
      </c>
      <c r="B29" s="247">
        <f>B34*'ha_N2O bodem landbouw'!B4</f>
        <v>9.9928182913921777</v>
      </c>
      <c r="C29" s="247">
        <f>B29*'GWP N2O_CH4'!B4</f>
        <v>3097.773670331575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2.1912451346543607E-3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3.8297246857616038E-4</v>
      </c>
      <c r="C5" s="437" t="s">
        <v>210</v>
      </c>
      <c r="D5" s="422">
        <f>SUM(D6:D11)</f>
        <v>1.361791039512659E-3</v>
      </c>
      <c r="E5" s="422">
        <f>SUM(E6:E11)</f>
        <v>1.2393131617099476E-3</v>
      </c>
      <c r="F5" s="435" t="s">
        <v>210</v>
      </c>
      <c r="G5" s="422">
        <f>SUM(G6:G11)</f>
        <v>0.56522847261778031</v>
      </c>
      <c r="H5" s="422">
        <f>SUM(H6:H11)</f>
        <v>0.12878927202112225</v>
      </c>
      <c r="I5" s="437" t="s">
        <v>210</v>
      </c>
      <c r="J5" s="437" t="s">
        <v>210</v>
      </c>
      <c r="K5" s="437" t="s">
        <v>210</v>
      </c>
      <c r="L5" s="437" t="s">
        <v>210</v>
      </c>
      <c r="M5" s="422">
        <f>SUM(M6:M11)</f>
        <v>4.1107957175317615E-2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1.9668542729889911E-4</v>
      </c>
      <c r="C6" s="423"/>
      <c r="D6" s="890">
        <f>vkm_GW_PW*SUMIFS(TableVerdeelsleutelVkm[CNG],TableVerdeelsleutelVkm[Voertuigtype],"Lichte voertuigen")*SUMIFS(TableECFTransport[EnergieConsumptieFactor (PJ per km)],TableECFTransport[Index],CONCATENATE($A6,"_CNG_CNG"))</f>
        <v>6.3360290843593426E-4</v>
      </c>
      <c r="E6" s="890">
        <f>vkm_GW_PW*SUMIFS(TableVerdeelsleutelVkm[LPG],TableVerdeelsleutelVkm[Voertuigtype],"Lichte voertuigen")*SUMIFS(TableECFTransport[EnergieConsumptieFactor (PJ per km)],TableECFTransport[Index],CONCATENATE($A6,"_LPG_LPG"))</f>
        <v>5.4184238566974859E-4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0.17504187890343342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5.9355627602193817E-2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1.4019709336852249E-2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9.7392176890769344E-2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1.3926206823653468E-6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5.6139194321216069E-3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5.6826973292092999E-5</v>
      </c>
      <c r="C8" s="423"/>
      <c r="D8" s="425">
        <f>vkm_NGW_PW*SUMIFS(TableVerdeelsleutelVkm[CNG],TableVerdeelsleutelVkm[Voertuigtype],"Lichte voertuigen")*SUMIFS(TableECFTransport[EnergieConsumptieFactor (PJ per km)],TableECFTransport[Index],CONCATENATE($A8,"_CNG_CNG"))</f>
        <v>3.1015967981604423E-4</v>
      </c>
      <c r="E8" s="425">
        <f>vkm_NGW_PW*SUMIFS(TableVerdeelsleutelVkm[LPG],TableVerdeelsleutelVkm[Voertuigtype],"Lichte voertuigen")*SUMIFS(TableECFTransport[EnergieConsumptieFactor (PJ per km)],TableECFTransport[Index],CONCATENATE($A8,"_LPG_LPG"))</f>
        <v>2.5202300048272414E-4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7.6078211382741096E-2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2.8569999803820547E-2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6.2769288183010955E-3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2.9083870941513647E-4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5.2728642031829017E-9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1.6764716828499469E-5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1.2946006798516822E-4</v>
      </c>
      <c r="C10" s="423"/>
      <c r="D10" s="425">
        <f>vkm_SW_PW*SUMIFS(TableVerdeelsleutelVkm[CNG],TableVerdeelsleutelVkm[Voertuigtype],"Lichte voertuigen")*SUMIFS(TableECFTransport[EnergieConsumptieFactor (PJ per km)],TableECFTransport[Index],CONCATENATE($A10,"_CNG_CNG"))</f>
        <v>4.1802845126068055E-4</v>
      </c>
      <c r="E10" s="425">
        <f>vkm_SW_PW*SUMIFS(TableVerdeelsleutelVkm[LPG],TableVerdeelsleutelVkm[Voertuigtype],"Lichte voertuigen")*SUMIFS(TableECFTransport[EnergieConsumptieFactor (PJ per km)],TableECFTransport[Index],CONCATENATE($A10,"_LPG_LPG"))</f>
        <v>4.4544777555747492E-4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0.12821544441147459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4.0860898995445545E-2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1.0095996967018291E-2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8.8209922319946718E-2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1.3477261157898042E-6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5.084637904195873E-3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106.38124127115566</v>
      </c>
      <c r="C14" s="21"/>
      <c r="D14" s="21">
        <f t="shared" ref="D14:M14" si="0">((D5)*10^9/3600)+D12</f>
        <v>378.27528875351635</v>
      </c>
      <c r="E14" s="21">
        <f t="shared" si="0"/>
        <v>344.25365603054104</v>
      </c>
      <c r="F14" s="21"/>
      <c r="G14" s="21">
        <f t="shared" si="0"/>
        <v>157007.90906049454</v>
      </c>
      <c r="H14" s="21">
        <f t="shared" si="0"/>
        <v>35774.797783645066</v>
      </c>
      <c r="I14" s="21"/>
      <c r="J14" s="21"/>
      <c r="K14" s="21"/>
      <c r="L14" s="21"/>
      <c r="M14" s="21">
        <f t="shared" si="0"/>
        <v>11418.876993143782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0.19067049214085552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20.283763627726341</v>
      </c>
      <c r="C18" s="23"/>
      <c r="D18" s="23">
        <f t="shared" ref="D18:M18" si="1">D14*D16</f>
        <v>76.411608328210306</v>
      </c>
      <c r="E18" s="23">
        <f t="shared" si="1"/>
        <v>78.145579918932825</v>
      </c>
      <c r="F18" s="23"/>
      <c r="G18" s="23">
        <f t="shared" si="1"/>
        <v>41921.111719152046</v>
      </c>
      <c r="H18" s="23">
        <f t="shared" si="1"/>
        <v>8907.9246481276223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1.216879190525889E-2</v>
      </c>
      <c r="H50" s="319">
        <f t="shared" si="2"/>
        <v>0</v>
      </c>
      <c r="I50" s="319">
        <f t="shared" si="2"/>
        <v>0</v>
      </c>
      <c r="J50" s="319">
        <f t="shared" si="2"/>
        <v>0</v>
      </c>
      <c r="K50" s="319">
        <f t="shared" si="2"/>
        <v>0</v>
      </c>
      <c r="L50" s="319">
        <f t="shared" si="2"/>
        <v>0</v>
      </c>
      <c r="M50" s="319">
        <f t="shared" si="2"/>
        <v>6.762363917305655E-4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1.216879190525889E-2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6.762363917305655E-4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3380.2199736830253</v>
      </c>
      <c r="H54" s="21">
        <f t="shared" si="3"/>
        <v>0</v>
      </c>
      <c r="I54" s="21">
        <f t="shared" si="3"/>
        <v>0</v>
      </c>
      <c r="J54" s="21">
        <f t="shared" si="3"/>
        <v>0</v>
      </c>
      <c r="K54" s="21">
        <f t="shared" si="3"/>
        <v>0</v>
      </c>
      <c r="L54" s="21">
        <f t="shared" si="3"/>
        <v>0</v>
      </c>
      <c r="M54" s="21">
        <f t="shared" si="3"/>
        <v>187.84344214737931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0.19067049214085552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902.51873297336783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23811.277414999997</v>
      </c>
      <c r="D10" s="686">
        <f ca="1">tertiair!C16</f>
        <v>321.42857142857144</v>
      </c>
      <c r="E10" s="686">
        <f ca="1">tertiair!D16</f>
        <v>27796.292304378858</v>
      </c>
      <c r="F10" s="686">
        <f>tertiair!E16</f>
        <v>383.11348038014006</v>
      </c>
      <c r="G10" s="686">
        <f ca="1">tertiair!F16</f>
        <v>2603.6974561025518</v>
      </c>
      <c r="H10" s="686">
        <f>tertiair!G16</f>
        <v>0</v>
      </c>
      <c r="I10" s="686">
        <f>tertiair!H16</f>
        <v>0</v>
      </c>
      <c r="J10" s="686">
        <f>tertiair!I16</f>
        <v>0</v>
      </c>
      <c r="K10" s="686">
        <f>tertiair!J16</f>
        <v>3.7951941882484699E-2</v>
      </c>
      <c r="L10" s="686">
        <f>tertiair!K16</f>
        <v>0</v>
      </c>
      <c r="M10" s="686">
        <f ca="1">tertiair!L16</f>
        <v>0</v>
      </c>
      <c r="N10" s="686">
        <f>tertiair!M16</f>
        <v>0</v>
      </c>
      <c r="O10" s="686">
        <f ca="1">tertiair!N16</f>
        <v>1510.0052204340468</v>
      </c>
      <c r="P10" s="686">
        <f>tertiair!O16</f>
        <v>29.383564595046927</v>
      </c>
      <c r="Q10" s="687">
        <f>tertiair!P16</f>
        <v>210.15655322598008</v>
      </c>
      <c r="R10" s="689">
        <f ca="1">SUM(C10:Q10)</f>
        <v>56665.392517487075</v>
      </c>
      <c r="S10" s="67"/>
    </row>
    <row r="11" spans="1:19" s="448" customFormat="1">
      <c r="A11" s="808" t="s">
        <v>224</v>
      </c>
      <c r="B11" s="813"/>
      <c r="C11" s="686">
        <f>huishoudens!B8</f>
        <v>33275.877133353977</v>
      </c>
      <c r="D11" s="686">
        <f>huishoudens!C8</f>
        <v>0</v>
      </c>
      <c r="E11" s="686">
        <f>huishoudens!D8</f>
        <v>56543.688747699998</v>
      </c>
      <c r="F11" s="686">
        <f>huishoudens!E8</f>
        <v>7273.5914059688521</v>
      </c>
      <c r="G11" s="686">
        <f>huishoudens!F8</f>
        <v>37599.800548302068</v>
      </c>
      <c r="H11" s="686">
        <f>huishoudens!G8</f>
        <v>0</v>
      </c>
      <c r="I11" s="686">
        <f>huishoudens!H8</f>
        <v>0</v>
      </c>
      <c r="J11" s="686">
        <f>huishoudens!I8</f>
        <v>0</v>
      </c>
      <c r="K11" s="686">
        <f>huishoudens!J8</f>
        <v>0</v>
      </c>
      <c r="L11" s="686">
        <f>huishoudens!K8</f>
        <v>0</v>
      </c>
      <c r="M11" s="686">
        <f>huishoudens!L8</f>
        <v>0</v>
      </c>
      <c r="N11" s="686">
        <f>huishoudens!M8</f>
        <v>0</v>
      </c>
      <c r="O11" s="686">
        <f>huishoudens!N8</f>
        <v>21262.161008206178</v>
      </c>
      <c r="P11" s="686">
        <f>huishoudens!O8</f>
        <v>611.05913157120574</v>
      </c>
      <c r="Q11" s="687">
        <f>huishoudens!P8</f>
        <v>1401.0165879221083</v>
      </c>
      <c r="R11" s="689">
        <f>SUM(C11:Q11)</f>
        <v>157967.19456302439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12747.462448999999</v>
      </c>
      <c r="D13" s="686">
        <f>industrie!C18</f>
        <v>0</v>
      </c>
      <c r="E13" s="686">
        <f>industrie!D18</f>
        <v>10798.136093492001</v>
      </c>
      <c r="F13" s="686">
        <f>industrie!E18</f>
        <v>1385.4484525983717</v>
      </c>
      <c r="G13" s="686">
        <f>industrie!F18</f>
        <v>4578.9338798411791</v>
      </c>
      <c r="H13" s="686">
        <f>industrie!G18</f>
        <v>0</v>
      </c>
      <c r="I13" s="686">
        <f>industrie!H18</f>
        <v>0</v>
      </c>
      <c r="J13" s="686">
        <f>industrie!I18</f>
        <v>0</v>
      </c>
      <c r="K13" s="686">
        <f>industrie!J18</f>
        <v>36.807594033711212</v>
      </c>
      <c r="L13" s="686">
        <f>industrie!K18</f>
        <v>0</v>
      </c>
      <c r="M13" s="686">
        <f>industrie!L18</f>
        <v>0</v>
      </c>
      <c r="N13" s="686">
        <f>industrie!M18</f>
        <v>0</v>
      </c>
      <c r="O13" s="686">
        <f>industrie!N18</f>
        <v>593.54905735003467</v>
      </c>
      <c r="P13" s="686">
        <f>industrie!O18</f>
        <v>0</v>
      </c>
      <c r="Q13" s="687">
        <f>industrie!P18</f>
        <v>0</v>
      </c>
      <c r="R13" s="689">
        <f>SUM(C13:Q13)</f>
        <v>30140.337526315296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69834.616997353965</v>
      </c>
      <c r="D16" s="722">
        <f t="shared" ref="D16:R16" ca="1" si="0">SUM(D9:D15)</f>
        <v>321.42857142857144</v>
      </c>
      <c r="E16" s="722">
        <f t="shared" ca="1" si="0"/>
        <v>95138.117145570868</v>
      </c>
      <c r="F16" s="722">
        <f t="shared" si="0"/>
        <v>9042.1533389473625</v>
      </c>
      <c r="G16" s="722">
        <f t="shared" ca="1" si="0"/>
        <v>44782.431884245794</v>
      </c>
      <c r="H16" s="722">
        <f t="shared" si="0"/>
        <v>0</v>
      </c>
      <c r="I16" s="722">
        <f t="shared" si="0"/>
        <v>0</v>
      </c>
      <c r="J16" s="722">
        <f t="shared" si="0"/>
        <v>0</v>
      </c>
      <c r="K16" s="722">
        <f t="shared" si="0"/>
        <v>36.845545975593694</v>
      </c>
      <c r="L16" s="722">
        <f t="shared" si="0"/>
        <v>0</v>
      </c>
      <c r="M16" s="722">
        <f t="shared" ca="1" si="0"/>
        <v>0</v>
      </c>
      <c r="N16" s="722">
        <f t="shared" si="0"/>
        <v>0</v>
      </c>
      <c r="O16" s="722">
        <f t="shared" ca="1" si="0"/>
        <v>23365.71528599026</v>
      </c>
      <c r="P16" s="722">
        <f t="shared" si="0"/>
        <v>640.44269616625263</v>
      </c>
      <c r="Q16" s="722">
        <f t="shared" si="0"/>
        <v>1611.1731411480885</v>
      </c>
      <c r="R16" s="722">
        <f t="shared" ca="1" si="0"/>
        <v>244772.92460682677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3380.2199736830253</v>
      </c>
      <c r="I19" s="686">
        <f>transport!H54</f>
        <v>0</v>
      </c>
      <c r="J19" s="686">
        <f>transport!I54</f>
        <v>0</v>
      </c>
      <c r="K19" s="686">
        <f>transport!J54</f>
        <v>0</v>
      </c>
      <c r="L19" s="686">
        <f>transport!K54</f>
        <v>0</v>
      </c>
      <c r="M19" s="686">
        <f>transport!L54</f>
        <v>0</v>
      </c>
      <c r="N19" s="686">
        <f>transport!M54</f>
        <v>187.84344214737931</v>
      </c>
      <c r="O19" s="686">
        <f>transport!N54</f>
        <v>0</v>
      </c>
      <c r="P19" s="686">
        <f>transport!O54</f>
        <v>0</v>
      </c>
      <c r="Q19" s="687">
        <f>transport!P54</f>
        <v>0</v>
      </c>
      <c r="R19" s="689">
        <f>SUM(C19:Q19)</f>
        <v>3568.0634158304047</v>
      </c>
      <c r="S19" s="67"/>
    </row>
    <row r="20" spans="1:19" s="448" customFormat="1">
      <c r="A20" s="808" t="s">
        <v>306</v>
      </c>
      <c r="B20" s="813"/>
      <c r="C20" s="686">
        <f>transport!B14</f>
        <v>106.38124127115566</v>
      </c>
      <c r="D20" s="686">
        <f>transport!C14</f>
        <v>0</v>
      </c>
      <c r="E20" s="686">
        <f>transport!D14</f>
        <v>378.27528875351635</v>
      </c>
      <c r="F20" s="686">
        <f>transport!E14</f>
        <v>344.25365603054104</v>
      </c>
      <c r="G20" s="686">
        <f>transport!F14</f>
        <v>0</v>
      </c>
      <c r="H20" s="686">
        <f>transport!G14</f>
        <v>157007.90906049454</v>
      </c>
      <c r="I20" s="686">
        <f>transport!H14</f>
        <v>35774.797783645066</v>
      </c>
      <c r="J20" s="686">
        <f>transport!I14</f>
        <v>0</v>
      </c>
      <c r="K20" s="686">
        <f>transport!J14</f>
        <v>0</v>
      </c>
      <c r="L20" s="686">
        <f>transport!K14</f>
        <v>0</v>
      </c>
      <c r="M20" s="686">
        <f>transport!L14</f>
        <v>0</v>
      </c>
      <c r="N20" s="686">
        <f>transport!M14</f>
        <v>11418.876993143782</v>
      </c>
      <c r="O20" s="686">
        <f>transport!N14</f>
        <v>0</v>
      </c>
      <c r="P20" s="686">
        <f>transport!O14</f>
        <v>0</v>
      </c>
      <c r="Q20" s="687">
        <f>transport!P14</f>
        <v>0</v>
      </c>
      <c r="R20" s="689">
        <f>SUM(C20:Q20)</f>
        <v>205030.4940233386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106.38124127115566</v>
      </c>
      <c r="D22" s="811">
        <f t="shared" ref="D22:R22" si="1">SUM(D18:D21)</f>
        <v>0</v>
      </c>
      <c r="E22" s="811">
        <f t="shared" si="1"/>
        <v>378.27528875351635</v>
      </c>
      <c r="F22" s="811">
        <f t="shared" si="1"/>
        <v>344.25365603054104</v>
      </c>
      <c r="G22" s="811">
        <f t="shared" si="1"/>
        <v>0</v>
      </c>
      <c r="H22" s="811">
        <f t="shared" si="1"/>
        <v>160388.12903417757</v>
      </c>
      <c r="I22" s="811">
        <f t="shared" si="1"/>
        <v>35774.797783645066</v>
      </c>
      <c r="J22" s="811">
        <f t="shared" si="1"/>
        <v>0</v>
      </c>
      <c r="K22" s="811">
        <f t="shared" si="1"/>
        <v>0</v>
      </c>
      <c r="L22" s="811">
        <f t="shared" si="1"/>
        <v>0</v>
      </c>
      <c r="M22" s="811">
        <f t="shared" si="1"/>
        <v>0</v>
      </c>
      <c r="N22" s="811">
        <f t="shared" si="1"/>
        <v>11606.720435291161</v>
      </c>
      <c r="O22" s="811">
        <f t="shared" si="1"/>
        <v>0</v>
      </c>
      <c r="P22" s="811">
        <f t="shared" si="1"/>
        <v>0</v>
      </c>
      <c r="Q22" s="811">
        <f t="shared" si="1"/>
        <v>0</v>
      </c>
      <c r="R22" s="811">
        <f t="shared" si="1"/>
        <v>208598.557439169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629.96340699999996</v>
      </c>
      <c r="D24" s="686">
        <f>+landbouw!C8</f>
        <v>0</v>
      </c>
      <c r="E24" s="686">
        <f>+landbouw!D8</f>
        <v>22.356972000000003</v>
      </c>
      <c r="F24" s="686">
        <f>+landbouw!E8</f>
        <v>19.660950196166361</v>
      </c>
      <c r="G24" s="686">
        <f>+landbouw!F8</f>
        <v>2226.3604658016952</v>
      </c>
      <c r="H24" s="686">
        <f>+landbouw!G8</f>
        <v>0</v>
      </c>
      <c r="I24" s="686">
        <f>+landbouw!H8</f>
        <v>0</v>
      </c>
      <c r="J24" s="686">
        <f>+landbouw!I8</f>
        <v>0</v>
      </c>
      <c r="K24" s="686">
        <f>+landbouw!J8</f>
        <v>173.55928738644005</v>
      </c>
      <c r="L24" s="686">
        <f>+landbouw!K8</f>
        <v>0</v>
      </c>
      <c r="M24" s="686">
        <f>+landbouw!L8</f>
        <v>0</v>
      </c>
      <c r="N24" s="686">
        <f>+landbouw!M8</f>
        <v>0</v>
      </c>
      <c r="O24" s="686">
        <f>+landbouw!N8</f>
        <v>0</v>
      </c>
      <c r="P24" s="686">
        <f>+landbouw!O8</f>
        <v>0</v>
      </c>
      <c r="Q24" s="687">
        <f>+landbouw!P8</f>
        <v>0</v>
      </c>
      <c r="R24" s="689">
        <f>SUM(C24:Q24)</f>
        <v>3071.9010823843018</v>
      </c>
      <c r="S24" s="67"/>
    </row>
    <row r="25" spans="1:19" s="448" customFormat="1" ht="15" thickBot="1">
      <c r="A25" s="830" t="s">
        <v>724</v>
      </c>
      <c r="B25" s="949"/>
      <c r="C25" s="950">
        <f>IF(Onbekend_ele_kWh="---",0,Onbekend_ele_kWh)/1000+IF(REST_rest_ele_kWh="---",0,REST_rest_ele_kWh)/1000</f>
        <v>949.46530000000007</v>
      </c>
      <c r="D25" s="950"/>
      <c r="E25" s="950">
        <f>IF(onbekend_gas_kWh="---",0,onbekend_gas_kWh)/1000+IF(REST_rest_gas_kWh="---",0,REST_rest_gas_kWh)/1000</f>
        <v>810.23739999999998</v>
      </c>
      <c r="F25" s="950"/>
      <c r="G25" s="950"/>
      <c r="H25" s="950"/>
      <c r="I25" s="950"/>
      <c r="J25" s="950"/>
      <c r="K25" s="950"/>
      <c r="L25" s="950"/>
      <c r="M25" s="950"/>
      <c r="N25" s="950"/>
      <c r="O25" s="950"/>
      <c r="P25" s="950"/>
      <c r="Q25" s="951"/>
      <c r="R25" s="689">
        <f>SUM(C25:Q25)</f>
        <v>1759.7027</v>
      </c>
      <c r="S25" s="67"/>
    </row>
    <row r="26" spans="1:19" s="448" customFormat="1" ht="15.75" thickBot="1">
      <c r="A26" s="694" t="s">
        <v>725</v>
      </c>
      <c r="B26" s="816"/>
      <c r="C26" s="811">
        <f>SUM(C24:C25)</f>
        <v>1579.428707</v>
      </c>
      <c r="D26" s="811">
        <f t="shared" ref="D26:R26" si="2">SUM(D24:D25)</f>
        <v>0</v>
      </c>
      <c r="E26" s="811">
        <f t="shared" si="2"/>
        <v>832.59437200000002</v>
      </c>
      <c r="F26" s="811">
        <f t="shared" si="2"/>
        <v>19.660950196166361</v>
      </c>
      <c r="G26" s="811">
        <f t="shared" si="2"/>
        <v>2226.3604658016952</v>
      </c>
      <c r="H26" s="811">
        <f t="shared" si="2"/>
        <v>0</v>
      </c>
      <c r="I26" s="811">
        <f t="shared" si="2"/>
        <v>0</v>
      </c>
      <c r="J26" s="811">
        <f t="shared" si="2"/>
        <v>0</v>
      </c>
      <c r="K26" s="811">
        <f t="shared" si="2"/>
        <v>173.55928738644005</v>
      </c>
      <c r="L26" s="811">
        <f t="shared" si="2"/>
        <v>0</v>
      </c>
      <c r="M26" s="811">
        <f t="shared" si="2"/>
        <v>0</v>
      </c>
      <c r="N26" s="811">
        <f t="shared" si="2"/>
        <v>0</v>
      </c>
      <c r="O26" s="811">
        <f t="shared" si="2"/>
        <v>0</v>
      </c>
      <c r="P26" s="811">
        <f t="shared" si="2"/>
        <v>0</v>
      </c>
      <c r="Q26" s="811">
        <f t="shared" si="2"/>
        <v>0</v>
      </c>
      <c r="R26" s="811">
        <f t="shared" si="2"/>
        <v>4831.6037823843017</v>
      </c>
      <c r="S26" s="67"/>
    </row>
    <row r="27" spans="1:19" s="448" customFormat="1" ht="17.25" thickTop="1" thickBot="1">
      <c r="A27" s="695" t="s">
        <v>115</v>
      </c>
      <c r="B27" s="803"/>
      <c r="C27" s="696">
        <f ca="1">C22+C16+C26</f>
        <v>71520.42694562512</v>
      </c>
      <c r="D27" s="696">
        <f t="shared" ref="D27:R27" ca="1" si="3">D22+D16+D26</f>
        <v>321.42857142857144</v>
      </c>
      <c r="E27" s="696">
        <f t="shared" ca="1" si="3"/>
        <v>96348.986806324392</v>
      </c>
      <c r="F27" s="696">
        <f t="shared" si="3"/>
        <v>9406.0679451740707</v>
      </c>
      <c r="G27" s="696">
        <f t="shared" ca="1" si="3"/>
        <v>47008.792350047486</v>
      </c>
      <c r="H27" s="696">
        <f t="shared" si="3"/>
        <v>160388.12903417757</v>
      </c>
      <c r="I27" s="696">
        <f t="shared" si="3"/>
        <v>35774.797783645066</v>
      </c>
      <c r="J27" s="696">
        <f t="shared" si="3"/>
        <v>0</v>
      </c>
      <c r="K27" s="696">
        <f t="shared" si="3"/>
        <v>210.40483336203374</v>
      </c>
      <c r="L27" s="696">
        <f t="shared" si="3"/>
        <v>0</v>
      </c>
      <c r="M27" s="696">
        <f t="shared" ca="1" si="3"/>
        <v>0</v>
      </c>
      <c r="N27" s="696">
        <f t="shared" si="3"/>
        <v>11606.720435291161</v>
      </c>
      <c r="O27" s="696">
        <f t="shared" ca="1" si="3"/>
        <v>23365.71528599026</v>
      </c>
      <c r="P27" s="696">
        <f t="shared" si="3"/>
        <v>640.44269616625263</v>
      </c>
      <c r="Q27" s="696">
        <f t="shared" si="3"/>
        <v>1611.1731411480885</v>
      </c>
      <c r="R27" s="696">
        <f t="shared" ca="1" si="3"/>
        <v>458203.08582838008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4540.1079832204878</v>
      </c>
      <c r="D40" s="686">
        <f ca="1">tertiair!C20</f>
        <v>76.386554621848759</v>
      </c>
      <c r="E40" s="686">
        <f ca="1">tertiair!D20</f>
        <v>5614.85104548453</v>
      </c>
      <c r="F40" s="686">
        <f>tertiair!E20</f>
        <v>86.966760046291796</v>
      </c>
      <c r="G40" s="686">
        <f ca="1">tertiair!F20</f>
        <v>695.18722077938139</v>
      </c>
      <c r="H40" s="686">
        <f>tertiair!G20</f>
        <v>0</v>
      </c>
      <c r="I40" s="686">
        <f>tertiair!H20</f>
        <v>0</v>
      </c>
      <c r="J40" s="686">
        <f>tertiair!I20</f>
        <v>0</v>
      </c>
      <c r="K40" s="686">
        <f>tertiair!J20</f>
        <v>1.3434987426399583E-2</v>
      </c>
      <c r="L40" s="686">
        <f>tertiair!K20</f>
        <v>0</v>
      </c>
      <c r="M40" s="686">
        <f ca="1">tertiair!L20</f>
        <v>0</v>
      </c>
      <c r="N40" s="686">
        <f>tertiair!M20</f>
        <v>0</v>
      </c>
      <c r="O40" s="686">
        <f ca="1">tertiair!N20</f>
        <v>0</v>
      </c>
      <c r="P40" s="686">
        <f>tertiair!O20</f>
        <v>0</v>
      </c>
      <c r="Q40" s="769">
        <f>tertiair!P20</f>
        <v>0</v>
      </c>
      <c r="R40" s="849">
        <f t="shared" ca="1" si="4"/>
        <v>11013.512999139968</v>
      </c>
    </row>
    <row r="41" spans="1:18">
      <c r="A41" s="821" t="s">
        <v>224</v>
      </c>
      <c r="B41" s="828"/>
      <c r="C41" s="686">
        <f ca="1">huishoudens!B12</f>
        <v>6344.7278694352435</v>
      </c>
      <c r="D41" s="686">
        <f ca="1">huishoudens!C12</f>
        <v>0</v>
      </c>
      <c r="E41" s="686">
        <f>huishoudens!D12</f>
        <v>11421.825127035401</v>
      </c>
      <c r="F41" s="686">
        <f>huishoudens!E12</f>
        <v>1651.1052491549294</v>
      </c>
      <c r="G41" s="686">
        <f>huishoudens!F12</f>
        <v>10039.146746396653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29456.804992022226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2430.5649386979053</v>
      </c>
      <c r="D43" s="686">
        <f ca="1">industrie!C22</f>
        <v>0</v>
      </c>
      <c r="E43" s="686">
        <f>industrie!D22</f>
        <v>2181.2234908853843</v>
      </c>
      <c r="F43" s="686">
        <f>industrie!E22</f>
        <v>314.49679873983035</v>
      </c>
      <c r="G43" s="686">
        <f>industrie!F22</f>
        <v>1222.5753459175949</v>
      </c>
      <c r="H43" s="686">
        <f>industrie!G22</f>
        <v>0</v>
      </c>
      <c r="I43" s="686">
        <f>industrie!H22</f>
        <v>0</v>
      </c>
      <c r="J43" s="686">
        <f>industrie!I22</f>
        <v>0</v>
      </c>
      <c r="K43" s="686">
        <f>industrie!J22</f>
        <v>13.029888287933769</v>
      </c>
      <c r="L43" s="686">
        <f>industrie!K22</f>
        <v>0</v>
      </c>
      <c r="M43" s="686">
        <f>industrie!L22</f>
        <v>0</v>
      </c>
      <c r="N43" s="686">
        <f>industrie!M22</f>
        <v>0</v>
      </c>
      <c r="O43" s="686">
        <f>industrie!N22</f>
        <v>0</v>
      </c>
      <c r="P43" s="686">
        <f>industrie!O22</f>
        <v>0</v>
      </c>
      <c r="Q43" s="769">
        <f>industrie!P22</f>
        <v>0</v>
      </c>
      <c r="R43" s="848">
        <f t="shared" ca="1" si="4"/>
        <v>6161.8904625286486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13315.400791353637</v>
      </c>
      <c r="D46" s="722">
        <f t="shared" ref="D46:Q46" ca="1" si="5">SUM(D39:D45)</f>
        <v>76.386554621848759</v>
      </c>
      <c r="E46" s="722">
        <f t="shared" ca="1" si="5"/>
        <v>19217.899663405318</v>
      </c>
      <c r="F46" s="722">
        <f t="shared" si="5"/>
        <v>2052.5688079410515</v>
      </c>
      <c r="G46" s="722">
        <f t="shared" ca="1" si="5"/>
        <v>11956.909313093631</v>
      </c>
      <c r="H46" s="722">
        <f t="shared" si="5"/>
        <v>0</v>
      </c>
      <c r="I46" s="722">
        <f t="shared" si="5"/>
        <v>0</v>
      </c>
      <c r="J46" s="722">
        <f t="shared" si="5"/>
        <v>0</v>
      </c>
      <c r="K46" s="722">
        <f t="shared" si="5"/>
        <v>13.043323275360169</v>
      </c>
      <c r="L46" s="722">
        <f t="shared" si="5"/>
        <v>0</v>
      </c>
      <c r="M46" s="722">
        <f t="shared" ca="1" si="5"/>
        <v>0</v>
      </c>
      <c r="N46" s="722">
        <f t="shared" si="5"/>
        <v>0</v>
      </c>
      <c r="O46" s="722">
        <f t="shared" ca="1" si="5"/>
        <v>0</v>
      </c>
      <c r="P46" s="722">
        <f t="shared" si="5"/>
        <v>0</v>
      </c>
      <c r="Q46" s="722">
        <f t="shared" si="5"/>
        <v>0</v>
      </c>
      <c r="R46" s="722">
        <f ca="1">SUM(R39:R45)</f>
        <v>46632.208453690837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902.51873297336783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902.51873297336783</v>
      </c>
    </row>
    <row r="50" spans="1:18">
      <c r="A50" s="824" t="s">
        <v>306</v>
      </c>
      <c r="B50" s="834"/>
      <c r="C50" s="692">
        <f ca="1">transport!B18</f>
        <v>20.283763627726341</v>
      </c>
      <c r="D50" s="692">
        <f>transport!C18</f>
        <v>0</v>
      </c>
      <c r="E50" s="692">
        <f>transport!D18</f>
        <v>76.411608328210306</v>
      </c>
      <c r="F50" s="692">
        <f>transport!E18</f>
        <v>78.145579918932825</v>
      </c>
      <c r="G50" s="692">
        <f>transport!F18</f>
        <v>0</v>
      </c>
      <c r="H50" s="692">
        <f>transport!G18</f>
        <v>41921.111719152046</v>
      </c>
      <c r="I50" s="692">
        <f>transport!H18</f>
        <v>8907.9246481276223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51003.877319154533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20.283763627726341</v>
      </c>
      <c r="D52" s="722">
        <f t="shared" ref="D52:Q52" ca="1" si="6">SUM(D48:D51)</f>
        <v>0</v>
      </c>
      <c r="E52" s="722">
        <f t="shared" si="6"/>
        <v>76.411608328210306</v>
      </c>
      <c r="F52" s="722">
        <f t="shared" si="6"/>
        <v>78.145579918932825</v>
      </c>
      <c r="G52" s="722">
        <f t="shared" si="6"/>
        <v>0</v>
      </c>
      <c r="H52" s="722">
        <f t="shared" si="6"/>
        <v>42823.630452125413</v>
      </c>
      <c r="I52" s="722">
        <f t="shared" si="6"/>
        <v>8907.9246481276223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51906.3960521279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120.11543284342005</v>
      </c>
      <c r="D54" s="692">
        <f ca="1">+landbouw!C12</f>
        <v>0</v>
      </c>
      <c r="E54" s="692">
        <f>+landbouw!D12</f>
        <v>4.5161083440000009</v>
      </c>
      <c r="F54" s="692">
        <f>+landbouw!E12</f>
        <v>4.463035694529764</v>
      </c>
      <c r="G54" s="692">
        <f>+landbouw!F12</f>
        <v>594.43824436905265</v>
      </c>
      <c r="H54" s="692">
        <f>+landbouw!G12</f>
        <v>0</v>
      </c>
      <c r="I54" s="692">
        <f>+landbouw!H12</f>
        <v>0</v>
      </c>
      <c r="J54" s="692">
        <f>+landbouw!I12</f>
        <v>0</v>
      </c>
      <c r="K54" s="692">
        <f>+landbouw!J12</f>
        <v>61.439987734799772</v>
      </c>
      <c r="L54" s="692">
        <f>+landbouw!K12</f>
        <v>0</v>
      </c>
      <c r="M54" s="692">
        <f>+landbouw!L12</f>
        <v>0</v>
      </c>
      <c r="N54" s="692">
        <f>+landbouw!M12</f>
        <v>0</v>
      </c>
      <c r="O54" s="692">
        <f>+landbouw!N12</f>
        <v>0</v>
      </c>
      <c r="P54" s="692">
        <f>+landbouw!O12</f>
        <v>0</v>
      </c>
      <c r="Q54" s="693">
        <f>+landbouw!P12</f>
        <v>0</v>
      </c>
      <c r="R54" s="721">
        <f ca="1">SUM(C54:Q54)</f>
        <v>784.9728089858022</v>
      </c>
    </row>
    <row r="55" spans="1:18" ht="15" thickBot="1">
      <c r="A55" s="824" t="s">
        <v>724</v>
      </c>
      <c r="B55" s="834"/>
      <c r="C55" s="692">
        <f ca="1">C25*'EF ele_warmte'!B12</f>
        <v>181.03501602166503</v>
      </c>
      <c r="D55" s="692"/>
      <c r="E55" s="692">
        <f>E25*EF_CO2_aardgas</f>
        <v>163.66795480000002</v>
      </c>
      <c r="F55" s="692"/>
      <c r="G55" s="692"/>
      <c r="H55" s="692"/>
      <c r="I55" s="692"/>
      <c r="J55" s="692"/>
      <c r="K55" s="692"/>
      <c r="L55" s="692"/>
      <c r="M55" s="692"/>
      <c r="N55" s="692"/>
      <c r="O55" s="692"/>
      <c r="P55" s="692"/>
      <c r="Q55" s="693"/>
      <c r="R55" s="721">
        <f ca="1">SUM(C55:Q55)</f>
        <v>344.70297082166508</v>
      </c>
    </row>
    <row r="56" spans="1:18" ht="15.75" thickBot="1">
      <c r="A56" s="822" t="s">
        <v>725</v>
      </c>
      <c r="B56" s="835"/>
      <c r="C56" s="722">
        <f ca="1">SUM(C54:C55)</f>
        <v>301.15044886508508</v>
      </c>
      <c r="D56" s="722">
        <f t="shared" ref="D56:Q56" ca="1" si="7">SUM(D54:D55)</f>
        <v>0</v>
      </c>
      <c r="E56" s="722">
        <f t="shared" si="7"/>
        <v>168.18406314400002</v>
      </c>
      <c r="F56" s="722">
        <f t="shared" si="7"/>
        <v>4.463035694529764</v>
      </c>
      <c r="G56" s="722">
        <f t="shared" si="7"/>
        <v>594.43824436905265</v>
      </c>
      <c r="H56" s="722">
        <f t="shared" si="7"/>
        <v>0</v>
      </c>
      <c r="I56" s="722">
        <f t="shared" si="7"/>
        <v>0</v>
      </c>
      <c r="J56" s="722">
        <f t="shared" si="7"/>
        <v>0</v>
      </c>
      <c r="K56" s="722">
        <f t="shared" si="7"/>
        <v>61.439987734799772</v>
      </c>
      <c r="L56" s="722">
        <f t="shared" si="7"/>
        <v>0</v>
      </c>
      <c r="M56" s="722">
        <f t="shared" si="7"/>
        <v>0</v>
      </c>
      <c r="N56" s="722">
        <f t="shared" si="7"/>
        <v>0</v>
      </c>
      <c r="O56" s="722">
        <f t="shared" si="7"/>
        <v>0</v>
      </c>
      <c r="P56" s="722">
        <f t="shared" si="7"/>
        <v>0</v>
      </c>
      <c r="Q56" s="723">
        <f t="shared" si="7"/>
        <v>0</v>
      </c>
      <c r="R56" s="724">
        <f ca="1">SUM(R54:R55)</f>
        <v>1129.6757798074673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13636.835003846449</v>
      </c>
      <c r="D61" s="730">
        <f t="shared" ref="D61:Q61" ca="1" si="8">D46+D52+D56</f>
        <v>76.386554621848759</v>
      </c>
      <c r="E61" s="730">
        <f t="shared" ca="1" si="8"/>
        <v>19462.495334877527</v>
      </c>
      <c r="F61" s="730">
        <f t="shared" si="8"/>
        <v>2135.1774235545145</v>
      </c>
      <c r="G61" s="730">
        <f t="shared" ca="1" si="8"/>
        <v>12551.347557462683</v>
      </c>
      <c r="H61" s="730">
        <f t="shared" si="8"/>
        <v>42823.630452125413</v>
      </c>
      <c r="I61" s="730">
        <f t="shared" si="8"/>
        <v>8907.9246481276223</v>
      </c>
      <c r="J61" s="730">
        <f t="shared" si="8"/>
        <v>0</v>
      </c>
      <c r="K61" s="730">
        <f t="shared" si="8"/>
        <v>74.483311010159937</v>
      </c>
      <c r="L61" s="730">
        <f t="shared" si="8"/>
        <v>0</v>
      </c>
      <c r="M61" s="730">
        <f t="shared" ca="1" si="8"/>
        <v>0</v>
      </c>
      <c r="N61" s="730">
        <f t="shared" si="8"/>
        <v>0</v>
      </c>
      <c r="O61" s="730">
        <f t="shared" ca="1" si="8"/>
        <v>0</v>
      </c>
      <c r="P61" s="730">
        <f t="shared" si="8"/>
        <v>0</v>
      </c>
      <c r="Q61" s="730">
        <f t="shared" si="8"/>
        <v>0</v>
      </c>
      <c r="R61" s="730">
        <f ca="1">R46+R52+R56</f>
        <v>99668.280285626213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0.19067049214085555</v>
      </c>
      <c r="D63" s="776">
        <f t="shared" ca="1" si="9"/>
        <v>0.23764705882352946</v>
      </c>
      <c r="E63" s="975">
        <f t="shared" ca="1" si="9"/>
        <v>0.20199999999999999</v>
      </c>
      <c r="F63" s="776">
        <f t="shared" si="9"/>
        <v>0.22700000000000004</v>
      </c>
      <c r="G63" s="776">
        <f t="shared" ca="1" si="9"/>
        <v>0.26700000000000007</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9832.239544669681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225</v>
      </c>
      <c r="D76" s="958">
        <f>'lokale energieproductie'!C8</f>
        <v>264.70588235294116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53.470588235294116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9832.239544669681</v>
      </c>
      <c r="C78" s="748">
        <f>SUM(C72:C77)</f>
        <v>225</v>
      </c>
      <c r="D78" s="749">
        <f t="shared" ref="D78:H78" si="10">SUM(D76:D77)</f>
        <v>264.70588235294116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53.470588235294116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321.42857142857144</v>
      </c>
      <c r="D87" s="772">
        <f>'lokale energieproductie'!C17</f>
        <v>378.15126050420173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76.386554621848759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321.42857142857144</v>
      </c>
      <c r="D90" s="748">
        <f t="shared" ref="D90:H90" si="12">SUM(D87:D89)</f>
        <v>378.15126050420173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76.386554621848759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9832.239544669681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225</v>
      </c>
      <c r="C8" s="548">
        <f>B48</f>
        <v>264.70588235294116</v>
      </c>
      <c r="D8" s="549"/>
      <c r="E8" s="549">
        <f>E48</f>
        <v>0</v>
      </c>
      <c r="F8" s="550"/>
      <c r="G8" s="551"/>
      <c r="H8" s="549">
        <f>I48</f>
        <v>0</v>
      </c>
      <c r="I8" s="549">
        <f>G48+F48</f>
        <v>0</v>
      </c>
      <c r="J8" s="549">
        <f>H48+D48+C48</f>
        <v>0</v>
      </c>
      <c r="K8" s="549"/>
      <c r="L8" s="549"/>
      <c r="M8" s="549"/>
      <c r="N8" s="552"/>
      <c r="O8" s="553">
        <f>C8*$C$12+D8*$D$12+E8*$E$12+F8*$F$12+G8*$G$12+H8*$H$12+I8*$I$12+J8*$J$12</f>
        <v>53.470588235294116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10057.239544669681</v>
      </c>
      <c r="C10" s="563">
        <f t="shared" ref="C10:L10" si="0">SUM(C8:C9)</f>
        <v>264.70588235294116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53.470588235294116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321.42857142857144</v>
      </c>
      <c r="C17" s="579">
        <f>B49</f>
        <v>378.15126050420173</v>
      </c>
      <c r="D17" s="580"/>
      <c r="E17" s="580">
        <f>E49</f>
        <v>0</v>
      </c>
      <c r="F17" s="581"/>
      <c r="G17" s="582"/>
      <c r="H17" s="579">
        <f>I49</f>
        <v>0</v>
      </c>
      <c r="I17" s="580">
        <f>G49+F49</f>
        <v>0</v>
      </c>
      <c r="J17" s="580">
        <f>H49+D49+C49</f>
        <v>0</v>
      </c>
      <c r="K17" s="580"/>
      <c r="L17" s="580"/>
      <c r="M17" s="580"/>
      <c r="N17" s="972"/>
      <c r="O17" s="583">
        <f>C17*$C$22+E17*$E$22+H17*$H$22+I17*$I$22+J17*$J$22+D17*$D$22+F17*$F$22+G17*$G$22+K17*$K$22+L17*$L$22</f>
        <v>76.386554621848759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321.42857142857144</v>
      </c>
      <c r="C20" s="562">
        <f>SUM(C17:C19)</f>
        <v>378.15126050420173</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76.386554621848759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71011</v>
      </c>
      <c r="C28" s="791">
        <v>3590</v>
      </c>
      <c r="D28" s="640" t="s">
        <v>888</v>
      </c>
      <c r="E28" s="639" t="s">
        <v>889</v>
      </c>
      <c r="F28" s="639" t="s">
        <v>890</v>
      </c>
      <c r="G28" s="639" t="s">
        <v>891</v>
      </c>
      <c r="H28" s="639" t="s">
        <v>892</v>
      </c>
      <c r="I28" s="639" t="s">
        <v>889</v>
      </c>
      <c r="J28" s="790">
        <v>39736</v>
      </c>
      <c r="K28" s="790">
        <v>39753</v>
      </c>
      <c r="L28" s="639" t="s">
        <v>893</v>
      </c>
      <c r="M28" s="639">
        <v>50</v>
      </c>
      <c r="N28" s="639">
        <v>225</v>
      </c>
      <c r="O28" s="639">
        <v>321.42857142857144</v>
      </c>
      <c r="P28" s="639">
        <v>642.85714285714289</v>
      </c>
      <c r="Q28" s="639">
        <v>0</v>
      </c>
      <c r="R28" s="639">
        <v>0</v>
      </c>
      <c r="S28" s="639">
        <v>0</v>
      </c>
      <c r="T28" s="639">
        <v>0</v>
      </c>
      <c r="U28" s="639">
        <v>0</v>
      </c>
      <c r="V28" s="639">
        <v>0</v>
      </c>
      <c r="W28" s="639">
        <v>0</v>
      </c>
      <c r="X28" s="639">
        <v>1400</v>
      </c>
      <c r="Y28" s="639" t="s">
        <v>54</v>
      </c>
      <c r="Z28" s="641" t="s">
        <v>155</v>
      </c>
    </row>
    <row r="29" spans="1:26" s="573" customFormat="1">
      <c r="A29" s="595" t="s">
        <v>279</v>
      </c>
      <c r="B29" s="596"/>
      <c r="C29" s="596"/>
      <c r="D29" s="596"/>
      <c r="E29" s="596"/>
      <c r="F29" s="596"/>
      <c r="G29" s="596"/>
      <c r="H29" s="596"/>
      <c r="I29" s="596"/>
      <c r="J29" s="596"/>
      <c r="K29" s="596"/>
      <c r="L29" s="597"/>
      <c r="M29" s="597">
        <f>SUM(M28:M28)</f>
        <v>50</v>
      </c>
      <c r="N29" s="597">
        <f>SUM(N28:N28)</f>
        <v>225</v>
      </c>
      <c r="O29" s="597">
        <f>SUM(O28:O28)</f>
        <v>321.42857142857144</v>
      </c>
      <c r="P29" s="597">
        <f>SUM(P28:P28)</f>
        <v>642.85714285714289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50</v>
      </c>
      <c r="N31" s="597">
        <f ca="1">SUMIF($Z$28:AD28,"tertiair",N28:N28)</f>
        <v>225</v>
      </c>
      <c r="O31" s="597">
        <f ca="1">SUMIF($Z$28:AE28,"tertiair",O28:O28)</f>
        <v>321.42857142857144</v>
      </c>
      <c r="P31" s="597">
        <f ca="1">SUMIF($Z$28:AF28,"tertiair",P28:P28)</f>
        <v>642.85714285714289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264.70588235294116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378.15126050420173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33275.877133353977</v>
      </c>
      <c r="C4" s="452">
        <f>huishoudens!C8</f>
        <v>0</v>
      </c>
      <c r="D4" s="452">
        <f>huishoudens!D8</f>
        <v>56543.688747699998</v>
      </c>
      <c r="E4" s="452">
        <f>huishoudens!E8</f>
        <v>7273.5914059688521</v>
      </c>
      <c r="F4" s="452">
        <f>huishoudens!F8</f>
        <v>37599.800548302068</v>
      </c>
      <c r="G4" s="452">
        <f>huishoudens!G8</f>
        <v>0</v>
      </c>
      <c r="H4" s="452">
        <f>huishoudens!H8</f>
        <v>0</v>
      </c>
      <c r="I4" s="452">
        <f>huishoudens!I8</f>
        <v>0</v>
      </c>
      <c r="J4" s="452">
        <f>huishoudens!J8</f>
        <v>0</v>
      </c>
      <c r="K4" s="452">
        <f>huishoudens!K8</f>
        <v>0</v>
      </c>
      <c r="L4" s="452">
        <f>huishoudens!L8</f>
        <v>0</v>
      </c>
      <c r="M4" s="452">
        <f>huishoudens!M8</f>
        <v>0</v>
      </c>
      <c r="N4" s="452">
        <f>huishoudens!N8</f>
        <v>21262.161008206178</v>
      </c>
      <c r="O4" s="452">
        <f>huishoudens!O8</f>
        <v>611.05913157120574</v>
      </c>
      <c r="P4" s="453">
        <f>huishoudens!P8</f>
        <v>1401.0165879221083</v>
      </c>
      <c r="Q4" s="454">
        <f>SUM(B4:P4)</f>
        <v>157967.19456302439</v>
      </c>
    </row>
    <row r="5" spans="1:17">
      <c r="A5" s="451" t="s">
        <v>155</v>
      </c>
      <c r="B5" s="452">
        <f ca="1">tertiair!B16</f>
        <v>22886.906414999998</v>
      </c>
      <c r="C5" s="452">
        <f ca="1">tertiair!C16</f>
        <v>321.42857142857144</v>
      </c>
      <c r="D5" s="452">
        <f ca="1">tertiair!D16</f>
        <v>27796.292304378858</v>
      </c>
      <c r="E5" s="452">
        <f>tertiair!E16</f>
        <v>383.11348038014006</v>
      </c>
      <c r="F5" s="452">
        <f ca="1">tertiair!F16</f>
        <v>2603.6974561025518</v>
      </c>
      <c r="G5" s="452">
        <f>tertiair!G16</f>
        <v>0</v>
      </c>
      <c r="H5" s="452">
        <f>tertiair!H16</f>
        <v>0</v>
      </c>
      <c r="I5" s="452">
        <f>tertiair!I16</f>
        <v>0</v>
      </c>
      <c r="J5" s="452">
        <f>tertiair!J16</f>
        <v>3.7951941882484699E-2</v>
      </c>
      <c r="K5" s="452">
        <f>tertiair!K16</f>
        <v>0</v>
      </c>
      <c r="L5" s="452">
        <f ca="1">tertiair!L16</f>
        <v>0</v>
      </c>
      <c r="M5" s="452">
        <f>tertiair!M16</f>
        <v>0</v>
      </c>
      <c r="N5" s="452">
        <f ca="1">tertiair!N16</f>
        <v>1510.0052204340468</v>
      </c>
      <c r="O5" s="452">
        <f>tertiair!O16</f>
        <v>29.383564595046927</v>
      </c>
      <c r="P5" s="453">
        <f>tertiair!P16</f>
        <v>210.15655322598008</v>
      </c>
      <c r="Q5" s="451">
        <f t="shared" ref="Q5:Q14" ca="1" si="0">SUM(B5:P5)</f>
        <v>55741.021517487075</v>
      </c>
    </row>
    <row r="6" spans="1:17">
      <c r="A6" s="451" t="s">
        <v>193</v>
      </c>
      <c r="B6" s="452">
        <f>'openbare verlichting'!B8</f>
        <v>924.37099999999998</v>
      </c>
      <c r="C6" s="452"/>
      <c r="D6" s="452"/>
      <c r="E6" s="452"/>
      <c r="F6" s="452"/>
      <c r="G6" s="452"/>
      <c r="H6" s="452"/>
      <c r="I6" s="452"/>
      <c r="J6" s="452"/>
      <c r="K6" s="452"/>
      <c r="L6" s="452"/>
      <c r="M6" s="452"/>
      <c r="N6" s="452"/>
      <c r="O6" s="452"/>
      <c r="P6" s="453"/>
      <c r="Q6" s="451">
        <f t="shared" si="0"/>
        <v>924.37099999999998</v>
      </c>
    </row>
    <row r="7" spans="1:17">
      <c r="A7" s="451" t="s">
        <v>111</v>
      </c>
      <c r="B7" s="452">
        <f>landbouw!B8</f>
        <v>629.96340699999996</v>
      </c>
      <c r="C7" s="452">
        <f>landbouw!C8</f>
        <v>0</v>
      </c>
      <c r="D7" s="452">
        <f>landbouw!D8</f>
        <v>22.356972000000003</v>
      </c>
      <c r="E7" s="452">
        <f>landbouw!E8</f>
        <v>19.660950196166361</v>
      </c>
      <c r="F7" s="452">
        <f>landbouw!F8</f>
        <v>2226.3604658016952</v>
      </c>
      <c r="G7" s="452">
        <f>landbouw!G8</f>
        <v>0</v>
      </c>
      <c r="H7" s="452">
        <f>landbouw!H8</f>
        <v>0</v>
      </c>
      <c r="I7" s="452">
        <f>landbouw!I8</f>
        <v>0</v>
      </c>
      <c r="J7" s="452">
        <f>landbouw!J8</f>
        <v>173.55928738644005</v>
      </c>
      <c r="K7" s="452">
        <f>landbouw!K8</f>
        <v>0</v>
      </c>
      <c r="L7" s="452">
        <f>landbouw!L8</f>
        <v>0</v>
      </c>
      <c r="M7" s="452">
        <f>landbouw!M8</f>
        <v>0</v>
      </c>
      <c r="N7" s="452">
        <f>landbouw!N8</f>
        <v>0</v>
      </c>
      <c r="O7" s="452">
        <f>landbouw!O8</f>
        <v>0</v>
      </c>
      <c r="P7" s="453">
        <f>landbouw!P8</f>
        <v>0</v>
      </c>
      <c r="Q7" s="451">
        <f t="shared" si="0"/>
        <v>3071.9010823843018</v>
      </c>
    </row>
    <row r="8" spans="1:17">
      <c r="A8" s="451" t="s">
        <v>625</v>
      </c>
      <c r="B8" s="452">
        <f>industrie!B18</f>
        <v>12747.462448999999</v>
      </c>
      <c r="C8" s="452">
        <f>industrie!C18</f>
        <v>0</v>
      </c>
      <c r="D8" s="452">
        <f>industrie!D18</f>
        <v>10798.136093492001</v>
      </c>
      <c r="E8" s="452">
        <f>industrie!E18</f>
        <v>1385.4484525983717</v>
      </c>
      <c r="F8" s="452">
        <f>industrie!F18</f>
        <v>4578.9338798411791</v>
      </c>
      <c r="G8" s="452">
        <f>industrie!G18</f>
        <v>0</v>
      </c>
      <c r="H8" s="452">
        <f>industrie!H18</f>
        <v>0</v>
      </c>
      <c r="I8" s="452">
        <f>industrie!I18</f>
        <v>0</v>
      </c>
      <c r="J8" s="452">
        <f>industrie!J18</f>
        <v>36.807594033711212</v>
      </c>
      <c r="K8" s="452">
        <f>industrie!K18</f>
        <v>0</v>
      </c>
      <c r="L8" s="452">
        <f>industrie!L18</f>
        <v>0</v>
      </c>
      <c r="M8" s="452">
        <f>industrie!M18</f>
        <v>0</v>
      </c>
      <c r="N8" s="452">
        <f>industrie!N18</f>
        <v>593.54905735003467</v>
      </c>
      <c r="O8" s="452">
        <f>industrie!O18</f>
        <v>0</v>
      </c>
      <c r="P8" s="453">
        <f>industrie!P18</f>
        <v>0</v>
      </c>
      <c r="Q8" s="451">
        <f t="shared" si="0"/>
        <v>30140.337526315296</v>
      </c>
    </row>
    <row r="9" spans="1:17" s="457" customFormat="1">
      <c r="A9" s="455" t="s">
        <v>551</v>
      </c>
      <c r="B9" s="456">
        <f>transport!B14</f>
        <v>106.38124127115566</v>
      </c>
      <c r="C9" s="456">
        <f>transport!C14</f>
        <v>0</v>
      </c>
      <c r="D9" s="456">
        <f>transport!D14</f>
        <v>378.27528875351635</v>
      </c>
      <c r="E9" s="456">
        <f>transport!E14</f>
        <v>344.25365603054104</v>
      </c>
      <c r="F9" s="456">
        <f>transport!F14</f>
        <v>0</v>
      </c>
      <c r="G9" s="456">
        <f>transport!G14</f>
        <v>157007.90906049454</v>
      </c>
      <c r="H9" s="456">
        <f>transport!H14</f>
        <v>35774.797783645066</v>
      </c>
      <c r="I9" s="456">
        <f>transport!I14</f>
        <v>0</v>
      </c>
      <c r="J9" s="456">
        <f>transport!J14</f>
        <v>0</v>
      </c>
      <c r="K9" s="456">
        <f>transport!K14</f>
        <v>0</v>
      </c>
      <c r="L9" s="456">
        <f>transport!L14</f>
        <v>0</v>
      </c>
      <c r="M9" s="456">
        <f>transport!M14</f>
        <v>11418.876993143782</v>
      </c>
      <c r="N9" s="456">
        <f>transport!N14</f>
        <v>0</v>
      </c>
      <c r="O9" s="456">
        <f>transport!O14</f>
        <v>0</v>
      </c>
      <c r="P9" s="456">
        <f>transport!P14</f>
        <v>0</v>
      </c>
      <c r="Q9" s="455">
        <f>SUM(B9:P9)</f>
        <v>205030.4940233386</v>
      </c>
    </row>
    <row r="10" spans="1:17">
      <c r="A10" s="451" t="s">
        <v>541</v>
      </c>
      <c r="B10" s="452">
        <f>transport!B54</f>
        <v>0</v>
      </c>
      <c r="C10" s="452">
        <f>transport!C54</f>
        <v>0</v>
      </c>
      <c r="D10" s="452">
        <f>transport!D54</f>
        <v>0</v>
      </c>
      <c r="E10" s="452">
        <f>transport!E54</f>
        <v>0</v>
      </c>
      <c r="F10" s="452">
        <f>transport!F54</f>
        <v>0</v>
      </c>
      <c r="G10" s="452">
        <f>transport!G54</f>
        <v>3380.2199736830253</v>
      </c>
      <c r="H10" s="452">
        <f>transport!H54</f>
        <v>0</v>
      </c>
      <c r="I10" s="452">
        <f>transport!I54</f>
        <v>0</v>
      </c>
      <c r="J10" s="452">
        <f>transport!J54</f>
        <v>0</v>
      </c>
      <c r="K10" s="452">
        <f>transport!K54</f>
        <v>0</v>
      </c>
      <c r="L10" s="452">
        <f>transport!L54</f>
        <v>0</v>
      </c>
      <c r="M10" s="452">
        <f>transport!M54</f>
        <v>187.84344214737931</v>
      </c>
      <c r="N10" s="452">
        <f>transport!N54</f>
        <v>0</v>
      </c>
      <c r="O10" s="452">
        <f>transport!O54</f>
        <v>0</v>
      </c>
      <c r="P10" s="453">
        <f>transport!P54</f>
        <v>0</v>
      </c>
      <c r="Q10" s="451">
        <f t="shared" si="0"/>
        <v>3568.0634158304047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949.46530000000007</v>
      </c>
      <c r="C14" s="459"/>
      <c r="D14" s="459">
        <f>'SEAP template'!E25</f>
        <v>810.23739999999998</v>
      </c>
      <c r="E14" s="459"/>
      <c r="F14" s="459"/>
      <c r="G14" s="459"/>
      <c r="H14" s="459"/>
      <c r="I14" s="459"/>
      <c r="J14" s="459"/>
      <c r="K14" s="459"/>
      <c r="L14" s="459"/>
      <c r="M14" s="459"/>
      <c r="N14" s="459"/>
      <c r="O14" s="459"/>
      <c r="P14" s="460"/>
      <c r="Q14" s="451">
        <f t="shared" si="0"/>
        <v>1759.7027</v>
      </c>
    </row>
    <row r="15" spans="1:17" s="463" customFormat="1">
      <c r="A15" s="461" t="s">
        <v>545</v>
      </c>
      <c r="B15" s="462">
        <f ca="1">SUM(B4:B14)</f>
        <v>71520.42694562512</v>
      </c>
      <c r="C15" s="462">
        <f t="shared" ref="C15:Q15" ca="1" si="1">SUM(C4:C14)</f>
        <v>321.42857142857144</v>
      </c>
      <c r="D15" s="462">
        <f t="shared" ca="1" si="1"/>
        <v>96348.986806324363</v>
      </c>
      <c r="E15" s="462">
        <f t="shared" si="1"/>
        <v>9406.0679451740725</v>
      </c>
      <c r="F15" s="462">
        <f t="shared" ca="1" si="1"/>
        <v>47008.792350047486</v>
      </c>
      <c r="G15" s="462">
        <f t="shared" si="1"/>
        <v>160388.12903417757</v>
      </c>
      <c r="H15" s="462">
        <f t="shared" si="1"/>
        <v>35774.797783645066</v>
      </c>
      <c r="I15" s="462">
        <f t="shared" si="1"/>
        <v>0</v>
      </c>
      <c r="J15" s="462">
        <f t="shared" si="1"/>
        <v>210.40483336203374</v>
      </c>
      <c r="K15" s="462">
        <f t="shared" si="1"/>
        <v>0</v>
      </c>
      <c r="L15" s="462">
        <f t="shared" ca="1" si="1"/>
        <v>0</v>
      </c>
      <c r="M15" s="462">
        <f t="shared" si="1"/>
        <v>11606.720435291161</v>
      </c>
      <c r="N15" s="462">
        <f t="shared" ca="1" si="1"/>
        <v>23365.71528599026</v>
      </c>
      <c r="O15" s="462">
        <f t="shared" si="1"/>
        <v>640.44269616625263</v>
      </c>
      <c r="P15" s="462">
        <f t="shared" si="1"/>
        <v>1611.1731411480885</v>
      </c>
      <c r="Q15" s="462">
        <f t="shared" ca="1" si="1"/>
        <v>458203.08582838014</v>
      </c>
    </row>
    <row r="17" spans="1:17">
      <c r="A17" s="464" t="s">
        <v>546</v>
      </c>
      <c r="B17" s="781">
        <f ca="1">huishoudens!B10</f>
        <v>0.19067049214085552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6344.7278694352435</v>
      </c>
      <c r="C22" s="452">
        <f t="shared" ref="C22:C32" ca="1" si="3">C4*$C$17</f>
        <v>0</v>
      </c>
      <c r="D22" s="452">
        <f t="shared" ref="D22:D32" si="4">D4*$D$17</f>
        <v>11421.825127035401</v>
      </c>
      <c r="E22" s="452">
        <f t="shared" ref="E22:E32" si="5">E4*$E$17</f>
        <v>1651.1052491549294</v>
      </c>
      <c r="F22" s="452">
        <f t="shared" ref="F22:F32" si="6">F4*$F$17</f>
        <v>10039.146746396653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29456.804992022226</v>
      </c>
    </row>
    <row r="23" spans="1:17">
      <c r="A23" s="451" t="s">
        <v>155</v>
      </c>
      <c r="B23" s="452">
        <f t="shared" ca="1" si="2"/>
        <v>4363.857709729753</v>
      </c>
      <c r="C23" s="452">
        <f t="shared" ca="1" si="3"/>
        <v>76.386554621848759</v>
      </c>
      <c r="D23" s="452">
        <f t="shared" ca="1" si="4"/>
        <v>5614.85104548453</v>
      </c>
      <c r="E23" s="452">
        <f t="shared" si="5"/>
        <v>86.966760046291796</v>
      </c>
      <c r="F23" s="452">
        <f t="shared" ca="1" si="6"/>
        <v>695.18722077938139</v>
      </c>
      <c r="G23" s="452">
        <f t="shared" si="7"/>
        <v>0</v>
      </c>
      <c r="H23" s="452">
        <f t="shared" si="8"/>
        <v>0</v>
      </c>
      <c r="I23" s="452">
        <f t="shared" si="9"/>
        <v>0</v>
      </c>
      <c r="J23" s="452">
        <f t="shared" si="10"/>
        <v>1.3434987426399583E-2</v>
      </c>
      <c r="K23" s="452">
        <f t="shared" si="11"/>
        <v>0</v>
      </c>
      <c r="L23" s="452">
        <f t="shared" ca="1" si="12"/>
        <v>0</v>
      </c>
      <c r="M23" s="452">
        <f t="shared" si="13"/>
        <v>0</v>
      </c>
      <c r="N23" s="452">
        <f t="shared" ca="1" si="14"/>
        <v>0</v>
      </c>
      <c r="O23" s="452">
        <f t="shared" si="15"/>
        <v>0</v>
      </c>
      <c r="P23" s="453">
        <f t="shared" si="16"/>
        <v>0</v>
      </c>
      <c r="Q23" s="451">
        <f t="shared" ref="Q23:Q31" ca="1" si="17">SUM(B23:P23)</f>
        <v>10837.262725649232</v>
      </c>
    </row>
    <row r="24" spans="1:17">
      <c r="A24" s="451" t="s">
        <v>193</v>
      </c>
      <c r="B24" s="452">
        <f t="shared" ca="1" si="2"/>
        <v>176.25027349073474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176.25027349073474</v>
      </c>
    </row>
    <row r="25" spans="1:17">
      <c r="A25" s="451" t="s">
        <v>111</v>
      </c>
      <c r="B25" s="452">
        <f t="shared" ca="1" si="2"/>
        <v>120.11543284342005</v>
      </c>
      <c r="C25" s="452">
        <f t="shared" ca="1" si="3"/>
        <v>0</v>
      </c>
      <c r="D25" s="452">
        <f t="shared" si="4"/>
        <v>4.5161083440000009</v>
      </c>
      <c r="E25" s="452">
        <f t="shared" si="5"/>
        <v>4.463035694529764</v>
      </c>
      <c r="F25" s="452">
        <f t="shared" si="6"/>
        <v>594.43824436905265</v>
      </c>
      <c r="G25" s="452">
        <f t="shared" si="7"/>
        <v>0</v>
      </c>
      <c r="H25" s="452">
        <f t="shared" si="8"/>
        <v>0</v>
      </c>
      <c r="I25" s="452">
        <f t="shared" si="9"/>
        <v>0</v>
      </c>
      <c r="J25" s="452">
        <f t="shared" si="10"/>
        <v>61.439987734799772</v>
      </c>
      <c r="K25" s="452">
        <f t="shared" si="11"/>
        <v>0</v>
      </c>
      <c r="L25" s="452">
        <f t="shared" si="12"/>
        <v>0</v>
      </c>
      <c r="M25" s="452">
        <f t="shared" si="13"/>
        <v>0</v>
      </c>
      <c r="N25" s="452">
        <f t="shared" si="14"/>
        <v>0</v>
      </c>
      <c r="O25" s="452">
        <f t="shared" si="15"/>
        <v>0</v>
      </c>
      <c r="P25" s="453">
        <f t="shared" si="16"/>
        <v>0</v>
      </c>
      <c r="Q25" s="451">
        <f t="shared" ca="1" si="17"/>
        <v>784.9728089858022</v>
      </c>
    </row>
    <row r="26" spans="1:17">
      <c r="A26" s="451" t="s">
        <v>625</v>
      </c>
      <c r="B26" s="452">
        <f t="shared" ca="1" si="2"/>
        <v>2430.5649386979053</v>
      </c>
      <c r="C26" s="452">
        <f t="shared" ca="1" si="3"/>
        <v>0</v>
      </c>
      <c r="D26" s="452">
        <f t="shared" si="4"/>
        <v>2181.2234908853843</v>
      </c>
      <c r="E26" s="452">
        <f t="shared" si="5"/>
        <v>314.49679873983035</v>
      </c>
      <c r="F26" s="452">
        <f t="shared" si="6"/>
        <v>1222.5753459175949</v>
      </c>
      <c r="G26" s="452">
        <f t="shared" si="7"/>
        <v>0</v>
      </c>
      <c r="H26" s="452">
        <f t="shared" si="8"/>
        <v>0</v>
      </c>
      <c r="I26" s="452">
        <f t="shared" si="9"/>
        <v>0</v>
      </c>
      <c r="J26" s="452">
        <f t="shared" si="10"/>
        <v>13.029888287933769</v>
      </c>
      <c r="K26" s="452">
        <f t="shared" si="11"/>
        <v>0</v>
      </c>
      <c r="L26" s="452">
        <f t="shared" si="12"/>
        <v>0</v>
      </c>
      <c r="M26" s="452">
        <f t="shared" si="13"/>
        <v>0</v>
      </c>
      <c r="N26" s="452">
        <f t="shared" si="14"/>
        <v>0</v>
      </c>
      <c r="O26" s="452">
        <f t="shared" si="15"/>
        <v>0</v>
      </c>
      <c r="P26" s="453">
        <f t="shared" si="16"/>
        <v>0</v>
      </c>
      <c r="Q26" s="451">
        <f t="shared" ca="1" si="17"/>
        <v>6161.8904625286486</v>
      </c>
    </row>
    <row r="27" spans="1:17" s="457" customFormat="1">
      <c r="A27" s="455" t="s">
        <v>551</v>
      </c>
      <c r="B27" s="775">
        <f t="shared" ca="1" si="2"/>
        <v>20.283763627726341</v>
      </c>
      <c r="C27" s="456">
        <f t="shared" ca="1" si="3"/>
        <v>0</v>
      </c>
      <c r="D27" s="456">
        <f t="shared" si="4"/>
        <v>76.411608328210306</v>
      </c>
      <c r="E27" s="456">
        <f t="shared" si="5"/>
        <v>78.145579918932825</v>
      </c>
      <c r="F27" s="456">
        <f t="shared" si="6"/>
        <v>0</v>
      </c>
      <c r="G27" s="456">
        <f t="shared" si="7"/>
        <v>41921.111719152046</v>
      </c>
      <c r="H27" s="456">
        <f t="shared" si="8"/>
        <v>8907.9246481276223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51003.877319154533</v>
      </c>
    </row>
    <row r="28" spans="1:17" ht="16.5" customHeight="1">
      <c r="A28" s="451" t="s">
        <v>541</v>
      </c>
      <c r="B28" s="452">
        <f t="shared" ca="1" si="2"/>
        <v>0</v>
      </c>
      <c r="C28" s="452">
        <f t="shared" ca="1" si="3"/>
        <v>0</v>
      </c>
      <c r="D28" s="452">
        <f t="shared" si="4"/>
        <v>0</v>
      </c>
      <c r="E28" s="452">
        <f t="shared" si="5"/>
        <v>0</v>
      </c>
      <c r="F28" s="452">
        <f t="shared" si="6"/>
        <v>0</v>
      </c>
      <c r="G28" s="452">
        <f t="shared" si="7"/>
        <v>902.51873297336783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902.51873297336783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181.03501602166503</v>
      </c>
      <c r="C32" s="452">
        <f t="shared" ca="1" si="3"/>
        <v>0</v>
      </c>
      <c r="D32" s="452">
        <f t="shared" si="4"/>
        <v>163.66795480000002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344.70297082166508</v>
      </c>
    </row>
    <row r="33" spans="1:17" s="463" customFormat="1">
      <c r="A33" s="461" t="s">
        <v>545</v>
      </c>
      <c r="B33" s="462">
        <f ca="1">SUM(B22:B32)</f>
        <v>13636.835003846449</v>
      </c>
      <c r="C33" s="462">
        <f t="shared" ref="C33:Q33" ca="1" si="19">SUM(C22:C32)</f>
        <v>76.386554621848759</v>
      </c>
      <c r="D33" s="462">
        <f t="shared" ca="1" si="19"/>
        <v>19462.495334877523</v>
      </c>
      <c r="E33" s="462">
        <f t="shared" si="19"/>
        <v>2135.177423554514</v>
      </c>
      <c r="F33" s="462">
        <f t="shared" ca="1" si="19"/>
        <v>12551.347557462683</v>
      </c>
      <c r="G33" s="462">
        <f t="shared" si="19"/>
        <v>42823.630452125413</v>
      </c>
      <c r="H33" s="462">
        <f t="shared" si="19"/>
        <v>8907.9246481276223</v>
      </c>
      <c r="I33" s="462">
        <f t="shared" si="19"/>
        <v>0</v>
      </c>
      <c r="J33" s="462">
        <f t="shared" si="19"/>
        <v>74.483311010159937</v>
      </c>
      <c r="K33" s="462">
        <f t="shared" si="19"/>
        <v>0</v>
      </c>
      <c r="L33" s="462">
        <f t="shared" ca="1" si="19"/>
        <v>0</v>
      </c>
      <c r="M33" s="462">
        <f t="shared" si="19"/>
        <v>0</v>
      </c>
      <c r="N33" s="462">
        <f t="shared" ca="1" si="19"/>
        <v>0</v>
      </c>
      <c r="O33" s="462">
        <f t="shared" si="19"/>
        <v>0</v>
      </c>
      <c r="P33" s="462">
        <f t="shared" si="19"/>
        <v>0</v>
      </c>
      <c r="Q33" s="462">
        <f t="shared" ca="1" si="19"/>
        <v>99668.280285626213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9832.239544669681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225</v>
      </c>
      <c r="D8" s="1029">
        <f>'SEAP template'!D76</f>
        <v>264.70588235294116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53.470588235294116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9832.239544669681</v>
      </c>
      <c r="C10" s="1031">
        <f>SUM(C4:C9)</f>
        <v>225</v>
      </c>
      <c r="D10" s="1031">
        <f t="shared" ref="D10:H10" si="0">SUM(D8:D9)</f>
        <v>264.70588235294116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53.470588235294116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0.19067049214085552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321.42857142857144</v>
      </c>
      <c r="D17" s="1030">
        <f>'SEAP template'!D87</f>
        <v>378.15126050420173</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76.386554621848759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321.42857142857144</v>
      </c>
      <c r="D20" s="1031">
        <f t="shared" ref="D20:H20" si="2">SUM(D17:D19)</f>
        <v>378.15126050420173</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76.386554621848759</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0.19067049214085552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2020-06-20T15:36:56Z</dcterms:modified>
</cp:coreProperties>
</file>