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<sst xmlns="http://schemas.openxmlformats.org/spreadsheetml/2006/main" count="2402" uniqueCount="888">
  <si>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</si>
  <si>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</si>
  <si>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</si>
  <si>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</si>
  <si>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</si>
  <si>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</si>
  <si>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</si>
  <si>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</si>
  <si>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</si>
  <si>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</si>
  <si>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</si>
  <si>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</si>
  <si>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</si>
  <si>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</si>
  <si>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</si>
  <si>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</si>
  <si>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</si>
  <si>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</si>
  <si>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</si>
  <si>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</si>
  <si>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</si>
  <si>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</si>
  <si>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</si>
  <si>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</si>
  <si>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</si>
  <si>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</si>
  <si>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</si>
  <si>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</si>
  <si>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</si>
  <si>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</si>
  <si>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</si>
  <si>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</si>
  <si>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</si>
  <si>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</si>
  <si>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</si>
  <si>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</si>
  <si>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</si>
  <si>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</si>
  <si>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</si>
  <si>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</si>
  <si>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</si>
  <si>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</si>
  <si>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</si>
  <si>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</si>
  <si>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</si>
  <si>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</si>
  <si>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</si>
  <si>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</si>
  <si>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</si>
  <si>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</si>
  <si>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</si>
  <si>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</si>
  <si>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</si>
  <si>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</si>
  <si>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</si>
  <si>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</si>
  <si>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</si>
  <si>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</si>
  <si>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</si>
  <si>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</si>
  <si>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</si>
  <si>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</si>
  <si>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</si>
  <si>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</si>
  <si>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</si>
  <si>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</si>
  <si>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</si>
  <si>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</si>
  <si>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</si>
  <si>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</si>
  <si>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</si>
  <si>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</si>
  <si>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</si>
  <si>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</si>
  <si>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</si>
  <si>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</si>
  <si>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</si>
  <si>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</si>
  <si>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</si>
  <si>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</si>
  <si>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</si>
  <si>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</si>
  <si>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</si>
  <si>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</si>
  <si>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</si>
  <si>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</si>
  <si>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</si>
  <si>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</si>
  <si>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</si>
  <si>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</si>
  <si>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</si>
  <si>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</si>
  <si>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</si>
  <si>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</si>
  <si>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</si>
  <si>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</si>
  <si>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</si>
  <si>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</si>
  <si>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</si>
  <si>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</si>
  <si>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</si>
  <si>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</si>
  <si>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</si>
  <si>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</si>
  <si>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</si>
  <si>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</si>
  <si>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</si>
  <si>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</si>
  <si>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</si>
  <si>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</si>
  <si>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</si>
  <si>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</si>
  <si>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</si>
  <si>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</si>
  <si>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</si>
  <si>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</si>
  <si>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</si>
  <si>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</si>
  <si>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</si>
  <si>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</si>
  <si>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</si>
  <si>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</si>
  <si>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</si>
  <si>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</si>
  <si>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</si>
  <si>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</si>
  <si>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</si>
  <si>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</si>
  <si>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</si>
  <si>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</si>
  <si>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</si>
  <si>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</si>
  <si>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</si>
  <si>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</si>
  <si>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</si>
  <si>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</si>
  <si>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</si>
  <si>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</si>
  <si>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</si>
  <si>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</si>
  <si>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</si>
  <si>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</si>
  <si>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</si>
  <si>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</si>
  <si>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</si>
  <si>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</si>
  <si>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</si>
  <si>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</si>
  <si>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</si>
  <si>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</si>
  <si>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</si>
  <si>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</si>
  <si>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</si>
  <si>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</si>
  <si>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</si>
  <si>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</si>
  <si>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</si>
  <si>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</si>
  <si>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</si>
  <si>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</si>
  <si>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</si>
  <si>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</si>
  <si>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</si>
  <si>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</si>
  <si>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</si>
  <si>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</si>
  <si>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</si>
  <si>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</si>
  <si>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</si>
  <si>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</si>
  <si>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</si>
  <si>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</si>
  <si>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</si>
  <si>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</si>
  <si>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</si>
  <si>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</si>
  <si>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</si>
  <si>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</si>
  <si>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</si>
  <si>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</si>
  <si>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</si>
  <si>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</si>
  <si>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</si>
  <si>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</si>
  <si>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</si>
  <si>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</si>
  <si>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</si>
  <si>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</si>
  <si>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</si>
  <si>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</si>
  <si>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</si>
  <si>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</si>
  <si>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</si>
  <si>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</si>
  <si>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</si>
  <si>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</si>
  <si>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</si>
  <si>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</si>
  <si>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</si>
  <si>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</si>
  <si>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</si>
  <si>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</si>
  <si>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</si>
  <si>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</si>
  <si>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</si>
  <si>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</si>
  <si>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</si>
  <si>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</si>
  <si>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</si>
  <si>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</si>
  <si>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</si>
  <si>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</si>
  <si>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</si>
  <si>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</si>
  <si>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</si>
  <si>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</si>
  <si>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</si>
  <si>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</si>
  <si>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</si>
  <si>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</si>
  <si>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</si>
  <si>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</si>
  <si>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</si>
  <si>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</si>
  <si>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</si>
  <si>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</si>
  <si>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</si>
  <si>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</si>
  <si>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</si>
  <si>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</si>
  <si>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</si>
  <si>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</si>
  <si>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</si>
  <si>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</si>
  <si>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</si>
  <si>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</si>
  <si>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</si>
  <si>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</si>
  <si>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</si>
  <si>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</si>
  <si>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</si>
  <si>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</si>
  <si>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</si>
  <si>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</si>
  <si>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</si>
  <si>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</si>
  <si>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</si>
  <si>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</si>
  <si>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</si>
  <si>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</si>
  <si>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</si>
  <si>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</si>
  <si>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</si>
  <si>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</si>
  <si>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</si>
  <si>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</si>
  <si>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</si>
  <si>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</si>
  <si>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</si>
  <si>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</si>
  <si>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</si>
  <si>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</si>
  <si>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</si>
  <si>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</si>
  <si>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</si>
  <si>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</si>
  <si>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</si>
  <si>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</si>
  <si>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</si>
  <si>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</si>
  <si>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</si>
  <si>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</si>
  <si>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</si>
  <si>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</si>
  <si>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</si>
  <si>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</si>
  <si>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</si>
  <si>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</si>
  <si>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</si>
  <si>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</si>
  <si>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</si>
  <si>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</si>
  <si>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</si>
  <si>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</si>
  <si>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</si>
  <si>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</si>
  <si>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</si>
  <si>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</si>
  <si>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</si>
  <si>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</si>
  <si>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</si>
  <si>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</si>
  <si>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</si>
  <si>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</si>
  <si>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</si>
  <si>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</si>
  <si>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</si>
  <si>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</si>
  <si>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</si>
  <si>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</si>
  <si>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</si>
  <si>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</si>
  <si>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</si>
  <si>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</si>
  <si>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</si>
  <si>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</si>
  <si>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</si>
  <si>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</si>
  <si>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</si>
  <si>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</si>
  <si>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</si>
  <si>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</si>
  <si>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</si>
  <si>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</si>
  <si>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</si>
  <si>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</si>
  <si>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</si>
  <si>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</si>
  <si>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</si>
  <si>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</si>
  <si>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</si>
  <si>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</si>
  <si>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</si>
  <si>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</si>
  <si>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</si>
  <si>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</si>
  <si>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</si>
  <si>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</si>
  <si>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</si>
  <si>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</si>
  <si>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</si>
  <si>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</si>
  <si>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</si>
  <si>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</si>
  <si>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</si>
  <si>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</si>
  <si>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</si>
  <si>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</si>
  <si>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</si>
  <si>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</si>
  <si>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</si>
  <si>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</si>
  <si>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</si>
  <si>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</si>
  <si>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</si>
  <si>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</si>
  <si>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</si>
  <si>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</si>
  <si>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</si>
  <si>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</si>
  <si>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</si>
  <si>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</si>
  <si>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</si>
  <si>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</si>
  <si>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</si>
  <si>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</si>
  <si>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</si>
  <si>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</si>
  <si>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</si>
  <si>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</si>
  <si>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</si>
  <si>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</si>
  <si>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</si>
  <si>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</si>
  <si>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</si>
  <si>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</si>
  <si>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</si>
  <si>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</si>
  <si>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</si>
  <si>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</si>
  <si>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</si>
  <si>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</si>
  <si>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</si>
  <si>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</si>
  <si>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</si>
  <si>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</si>
  <si>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</si>
  <si>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</si>
  <si>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</si>
  <si>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</si>
  <si>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</si>
  <si>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</si>
  <si>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</si>
  <si>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</si>
  <si>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</si>
  <si>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</si>
  <si>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</si>
  <si>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</si>
  <si>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</si>
  <si>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</si>
  <si>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</si>
  <si>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</si>
  <si>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</si>
  <si>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</si>
  <si>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</si>
  <si>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</si>
  <si>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</si>
  <si>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</si>
  <si>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</si>
  <si>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</si>
  <si>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</si>
  <si>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</si>
  <si>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</si>
  <si>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</si>
  <si>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</si>
  <si>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</si>
  <si>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</si>
  <si>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</si>
  <si>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</si>
  <si>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</si>
  <si>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</si>
  <si>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</si>
  <si>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</si>
  <si>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</si>
  <si>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</si>
  <si>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</si>
  <si>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</si>
  <si>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</si>
  <si>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</si>
  <si>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</si>
  <si>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</si>
  <si>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</si>
  <si>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</si>
  <si>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</si>
  <si>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</si>
  <si>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</si>
  <si>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</si>
  <si>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</si>
  <si>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</si>
  <si>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</si>
  <si>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</si>
  <si>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</si>
  <si>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</si>
  <si>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</si>
  <si>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</si>
  <si>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</si>
  <si>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</si>
  <si>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</si>
  <si>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</si>
  <si>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</si>
  <si>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</si>
  <si>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</si>
  <si>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</si>
  <si>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</si>
  <si>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</si>
  <si>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</si>
  <si>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</si>
  <si>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</si>
  <si>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</si>
  <si>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</si>
  <si>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</si>
  <si>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</si>
  <si>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</si>
  <si>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</si>
  <si>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</si>
  <si>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</si>
  <si>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</si>
  <si>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</si>
  <si>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</si>
  <si>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</si>
  <si>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</si>
  <si>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</si>
  <si>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</si>
  <si>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</si>
  <si>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</si>
  <si>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</si>
  <si>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</si>
  <si>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</si>
  <si>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</si>
  <si>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</si>
  <si>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</si>
  <si>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</si>
  <si>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</si>
  <si>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</si>
  <si>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</si>
  <si>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</si>
  <si>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</si>
  <si>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</si>
  <si>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</si>
  <si>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</si>
  <si>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</si>
  <si>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</si>
  <si>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</si>
  <si>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</si>
  <si>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</si>
  <si>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</si>
  <si>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</si>
  <si>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</si>
  <si>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</si>
  <si>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</si>
  <si>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</si>
  <si>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</si>
  <si>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</si>
  <si>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</si>
  <si>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</si>
  <si>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</si>
  <si>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</si>
  <si>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</si>
  <si>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</si>
  <si>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</si>
  <si>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</si>
  <si>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</si>
  <si>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</si>
  <si>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</si>
  <si>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</si>
  <si>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</si>
  <si>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</si>
  <si>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</si>
  <si>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</si>
  <si>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</si>
  <si>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</si>
  <si>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</si>
  <si>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</si>
  <si>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</si>
  <si>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</si>
  <si>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</si>
  <si>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</si>
  <si>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</si>
  <si>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</si>
  <si>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</si>
  <si>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</si>
  <si>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</si>
  <si>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</si>
  <si>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</si>
  <si>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</si>
  <si>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</si>
  <si>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</si>
  <si>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</si>
  <si>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</si>
  <si>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</si>
  <si>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</si>
  <si>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</si>
  <si>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</si>
  <si>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</si>
  <si>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</si>
  <si>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</si>
  <si>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</si>
  <si>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</si>
  <si>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</si>
  <si>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</si>
  <si>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</si>
  <si>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</si>
  <si>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</si>
  <si>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</si>
  <si>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</si>
  <si>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</si>
  <si>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</si>
  <si>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</si>
  <si>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</si>
  <si>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</si>
  <si>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</si>
  <si>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</si>
  <si>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</si>
  <si>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</si>
  <si>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</si>
  <si>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</si>
  <si>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</si>
  <si>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</si>
  <si>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</si>
  <si>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</si>
  <si>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</si>
  <si>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</si>
  <si>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</si>
  <si>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</si>
  <si>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</si>
  <si>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</si>
  <si>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</si>
  <si>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</si>
  <si>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</si>
  <si>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</si>
  <si>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</si>
  <si>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</si>
  <si>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</si>
  <si>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</si>
  <si>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</si>
  <si>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</si>
  <si>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</si>
  <si>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</si>
  <si>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</si>
  <si>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</si>
  <si>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</si>
  <si>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</si>
  <si>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</si>
  <si>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</si>
  <si>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</si>
  <si>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</si>
  <si>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</si>
  <si>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</si>
  <si>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</si>
  <si>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</si>
  <si>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</si>
  <si>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</si>
  <si>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</si>
  <si>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</si>
  <si>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</si>
  <si>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</si>
  <si>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</si>
  <si>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</si>
  <si>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</si>
  <si>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</si>
  <si>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</si>
  <si>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</si>
  <si>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</si>
  <si>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</si>
  <si>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</si>
  <si>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</si>
  <si>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</si>
  <si>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</si>
  <si>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</si>
  <si>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</si>
  <si>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</si>
  <si>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</si>
  <si>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</si>
  <si>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</si>
  <si>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</si>
  <si>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</si>
  <si>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</si>
  <si>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</si>
  <si>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</si>
  <si>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</si>
  <si>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</si>
  <si>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</si>
  <si>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</si>
  <si>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</si>
  <si>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</si>
  <si>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</si>
  <si>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</si>
  <si>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</si>
  <si>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</si>
  <si>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</si>
  <si>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</si>
  <si>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</si>
  <si>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</si>
  <si>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</si>
  <si>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</si>
  <si>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</si>
  <si>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</si>
  <si>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</si>
  <si>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</si>
  <si>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</si>
  <si>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</si>
  <si>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</si>
  <si>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</si>
  <si>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</si>
  <si>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</si>
  <si>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</si>
  <si>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</si>
  <si>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</si>
  <si>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</si>
  <si>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</si>
  <si>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</si>
  <si>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</si>
  <si>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</si>
  <si>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</si>
  <si>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</si>
  <si>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</si>
  <si>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</si>
  <si>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</si>
  <si>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</si>
  <si>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</si>
  <si>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</si>
  <si>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</si>
  <si>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</si>
  <si>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</si>
  <si>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</si>
  <si>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</si>
  <si>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</si>
  <si>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</si>
  <si>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</si>
  <si>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</si>
  <si>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</si>
  <si>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</si>
  <si>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</si>
  <si>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</si>
  <si>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</si>
  <si>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</si>
  <si>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</si>
  <si>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</si>
  <si>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</si>
  <si>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</si>
  <si>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</si>
  <si>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</si>
  <si>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</si>
  <si>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</si>
  <si>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</si>
  <si>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</si>
  <si>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</si>
  <si>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</si>
  <si>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</si>
  <si>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</si>
  <si>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</si>
  <si>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</si>
  <si>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</si>
  <si>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</si>
  <si>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</si>
  <si>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</si>
  <si>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</si>
  <si>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</si>
  <si>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</si>
  <si>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</si>
  <si>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</si>
  <si>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</si>
  <si>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</si>
  <si>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</si>
  <si>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</si>
  <si>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</si>
  <si>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</si>
  <si>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</si>
  <si>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</si>
  <si>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</si>
  <si>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</si>
  <si>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</si>
  <si>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</si>
  <si>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</si>
  <si>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</si>
  <si>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</si>
  <si>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</si>
  <si>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</si>
  <si>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</si>
  <si>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</si>
  <si>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</si>
  <si>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</si>
  <si>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</si>
  <si>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</si>
  <si>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</si>
  <si>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</si>
  <si>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</si>
  <si>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</si>
  <si>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</si>
  <si>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</si>
  <si>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</si>
  <si>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</si>
  <si>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</si>
  <si>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</si>
  <si>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</si>
  <si>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</si>
  <si>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</si>
  <si>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</si>
  <si>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</si>
  <si>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</si>
  <si>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</si>
  <si>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</si>
  <si>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</si>
  <si>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</si>
  <si>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</si>
  <si>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</si>
  <si>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</si>
  <si>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</si>
  <si>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</si>
  <si>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</si>
  <si>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</si>
  <si>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</si>
  <si>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</si>
  <si>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</si>
  <si>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</si>
  <si>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</si>
  <si>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</si>
  <si>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</si>
  <si>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</si>
  <si>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</si>
  <si>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</si>
  <si>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</si>
  <si>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</si>
  <si>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</si>
  <si>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</si>
  <si>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</si>
  <si>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</si>
  <si>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</si>
  <si>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</si>
  <si>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</si>
  <si>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</si>
  <si>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</si>
  <si>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</si>
  <si>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</si>
  <si>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</si>
  <si>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</si>
  <si>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</si>
  <si>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</si>
  <si>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</si>
  <si>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</si>
  <si>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</si>
  <si>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</si>
  <si>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</si>
  <si>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</si>
  <si>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</si>
  <si>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</si>
  <si>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</si>
  <si>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</si>
  <si>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</si>
  <si>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</si>
  <si>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</si>
  <si>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</si>
  <si>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</si>
  <si>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</si>
  <si>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</si>
  <si>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</si>
  <si>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</si>
  <si>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</si>
  <si>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</si>
  <si>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</si>
  <si>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</si>
  <si>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</si>
  <si>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</si>
  <si>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</si>
  <si>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</si>
  <si>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</si>
  <si>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</si>
  <si>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</si>
  <si>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</si>
  <si>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</si>
  <si>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</si>
  <si>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</si>
  <si>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</si>
  <si>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</si>
  <si>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</si>
  <si>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</si>
  <si>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</si>
  <si>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</si>
  <si>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</si>
  <si>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</si>
  <si>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</si>
  <si>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</si>
  <si>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</si>
  <si>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</si>
  <si>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</si>
  <si>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</si>
  <si>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</si>
  <si>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</si>
  <si>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</si>
  <si>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</si>
  <si>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</si>
  <si>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</si>
  <si>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</si>
  <si>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</si>
  <si>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</si>
  <si>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</si>
  <si>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</si>
  <si>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</si>
  <si>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</si>
  <si>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</si>
  <si>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</si>
  <si>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</si>
  <si>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</si>
  <si>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</si>
  <si>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</si>
  <si>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</si>
  <si>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</si>
  <si>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</si>
  <si>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</si>
  <si>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</si>
  <si>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</si>
  <si>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</si>
  <si>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</si>
  <si>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</si>
  <si>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</si>
  <si>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</si>
  <si>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</si>
  <si>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</si>
  <si>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</si>
  <si>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</si>
  <si>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</si>
  <si>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</si>
  <si>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</si>
  <si>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</si>
  <si>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</si>
  <si>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</si>
  <si>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</si>
  <si>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</si>
  <si>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</si>
  <si>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</si>
  <si>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</si>
  <si>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</si>
  <si>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</si>
  <si>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</si>
  <si>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</si>
  <si>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</si>
  <si>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</si>
  <si>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</si>
  <si>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</si>
  <si>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</si>
  <si>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</si>
  <si>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</si>
  <si>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</si>
  <si>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</si>
  <si>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</si>
  <si>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71002</t>
  </si>
  <si>
    <t>AS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</si>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</sst>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61656.436476604787</c:v>
                </c:pt>
                <c:pt idx="1">
                  <c:v>14743.383885969139</c:v>
                </c:pt>
                <c:pt idx="2">
                  <c:v>555.73800000000006</c:v>
                </c:pt>
                <c:pt idx="3">
                  <c:v>1191.5954994891924</c:v>
                </c:pt>
                <c:pt idx="4">
                  <c:v>1975.9328557834681</c:v>
                </c:pt>
                <c:pt idx="5">
                  <c:v>45832.982533780363</c:v>
                </c:pt>
                <c:pt idx="6">
                  <c:v>951.33834803607499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61656.436476604787</c:v>
                </c:pt>
                <c:pt idx="1">
                  <c:v>14743.383885969139</c:v>
                </c:pt>
                <c:pt idx="2">
                  <c:v>555.73800000000006</c:v>
                </c:pt>
                <c:pt idx="3">
                  <c:v>1191.5954994891924</c:v>
                </c:pt>
                <c:pt idx="4">
                  <c:v>1975.9328557834681</c:v>
                </c:pt>
                <c:pt idx="5">
                  <c:v>45832.982533780363</c:v>
                </c:pt>
                <c:pt idx="6">
                  <c:v>951.33834803607499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12164.90332484389</c:v>
                </c:pt>
                <c:pt idx="1">
                  <c:v>2583.9713760526843</c:v>
                </c:pt>
                <c:pt idx="2">
                  <c:v>106.00364445182201</c:v>
                </c:pt>
                <c:pt idx="3">
                  <c:v>301.59928342193297</c:v>
                </c:pt>
                <c:pt idx="4">
                  <c:v>405.77027733113692</c:v>
                </c:pt>
                <c:pt idx="5">
                  <c:v>11387.221618461268</c:v>
                </c:pt>
                <c:pt idx="6">
                  <c:v>240.63492725189437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12164.90332484389</c:v>
                </c:pt>
                <c:pt idx="1">
                  <c:v>2583.9713760526843</c:v>
                </c:pt>
                <c:pt idx="2">
                  <c:v>106.00364445182201</c:v>
                </c:pt>
                <c:pt idx="3">
                  <c:v>301.59928342193297</c:v>
                </c:pt>
                <c:pt idx="4">
                  <c:v>405.77027733113692</c:v>
                </c:pt>
                <c:pt idx="5">
                  <c:v>11387.221618461268</c:v>
                </c:pt>
                <c:pt idx="6">
                  <c:v>240.63492725189437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71002</v>
      </c>
      <c r="B6" s="390"/>
      <c r="C6" s="391"/>
    </row>
    <row r="7" spans="1:7" s="388" customFormat="1" ht="15.75" customHeight="1">
      <c r="A7" s="392" t="str">
        <f>txtMunicipality</f>
        <v>AS</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0.19074391971004681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0.19074391971004681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3293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252.16</v>
      </c>
      <c r="C14" s="330"/>
      <c r="D14" s="330"/>
      <c r="E14" s="330"/>
      <c r="F14" s="330"/>
    </row>
    <row r="15" spans="1:6">
      <c r="A15" s="1298" t="s">
        <v>183</v>
      </c>
      <c r="B15" s="1299">
        <v>1</v>
      </c>
      <c r="C15" s="330"/>
      <c r="D15" s="330"/>
      <c r="E15" s="330"/>
      <c r="F15" s="330"/>
    </row>
    <row r="16" spans="1:6">
      <c r="A16" s="1298" t="s">
        <v>6</v>
      </c>
      <c r="B16" s="1299">
        <v>74</v>
      </c>
      <c r="C16" s="330"/>
      <c r="D16" s="330"/>
      <c r="E16" s="330"/>
      <c r="F16" s="330"/>
    </row>
    <row r="17" spans="1:6">
      <c r="A17" s="1298" t="s">
        <v>7</v>
      </c>
      <c r="B17" s="1299">
        <v>41</v>
      </c>
      <c r="C17" s="330"/>
      <c r="D17" s="330"/>
      <c r="E17" s="330"/>
      <c r="F17" s="330"/>
    </row>
    <row r="18" spans="1:6">
      <c r="A18" s="1298" t="s">
        <v>8</v>
      </c>
      <c r="B18" s="1299">
        <v>79</v>
      </c>
      <c r="C18" s="330"/>
      <c r="D18" s="330"/>
      <c r="E18" s="330"/>
      <c r="F18" s="330"/>
    </row>
    <row r="19" spans="1:6">
      <c r="A19" s="1298" t="s">
        <v>9</v>
      </c>
      <c r="B19" s="1299">
        <v>71</v>
      </c>
      <c r="C19" s="330"/>
      <c r="D19" s="330"/>
      <c r="E19" s="330"/>
      <c r="F19" s="330"/>
    </row>
    <row r="20" spans="1:6">
      <c r="A20" s="1298" t="s">
        <v>10</v>
      </c>
      <c r="B20" s="1299">
        <v>25</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53693</v>
      </c>
      <c r="C28" s="336"/>
      <c r="D28" s="336"/>
      <c r="E28" s="336"/>
      <c r="F28" s="336"/>
    </row>
    <row r="29" spans="1:6">
      <c r="A29" s="1300" t="s">
        <v>705</v>
      </c>
      <c r="B29" s="1301">
        <v>79</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1659</v>
      </c>
      <c r="D39" s="1299">
        <v>26896835.199999999</v>
      </c>
      <c r="E39" s="1299">
        <v>3300</v>
      </c>
      <c r="F39" s="1299">
        <v>11755788.6</v>
      </c>
    </row>
    <row r="40" spans="1:6">
      <c r="A40" s="1298" t="s">
        <v>29</v>
      </c>
      <c r="B40" s="1298" t="s">
        <v>28</v>
      </c>
      <c r="C40" s="1299">
        <v>0</v>
      </c>
      <c r="D40" s="1299">
        <v>0</v>
      </c>
      <c r="E40" s="1299">
        <v>0</v>
      </c>
      <c r="F40" s="1299">
        <v>0</v>
      </c>
    </row>
    <row r="41" spans="1:6">
      <c r="A41" s="1298" t="s">
        <v>31</v>
      </c>
      <c r="B41" s="1298" t="s">
        <v>32</v>
      </c>
      <c r="C41" s="1299">
        <v>15</v>
      </c>
      <c r="D41" s="1299">
        <v>447430</v>
      </c>
      <c r="E41" s="1299">
        <v>32</v>
      </c>
      <c r="F41" s="1299">
        <v>335288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4</v>
      </c>
      <c r="D44" s="1299">
        <v>380921</v>
      </c>
      <c r="E44" s="1299">
        <v>10</v>
      </c>
      <c r="F44" s="1299">
        <v>157172</v>
      </c>
    </row>
    <row r="45" spans="1:6">
      <c r="A45" s="1298" t="s">
        <v>31</v>
      </c>
      <c r="B45" s="1298" t="s">
        <v>36</v>
      </c>
      <c r="C45" s="1299">
        <v>0</v>
      </c>
      <c r="D45" s="1299">
        <v>0</v>
      </c>
      <c r="E45" s="1299">
        <v>4</v>
      </c>
      <c r="F45" s="1299">
        <v>53829</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13272</v>
      </c>
    </row>
    <row r="48" spans="1:6">
      <c r="A48" s="1298" t="s">
        <v>31</v>
      </c>
      <c r="B48" s="1298" t="s">
        <v>28</v>
      </c>
      <c r="C48" s="1299">
        <v>1</v>
      </c>
      <c r="D48" s="1299">
        <v>52173</v>
      </c>
      <c r="E48" s="1299">
        <v>1</v>
      </c>
      <c r="F48" s="1299">
        <v>1759</v>
      </c>
    </row>
    <row r="49" spans="1:6">
      <c r="A49" s="1298" t="s">
        <v>31</v>
      </c>
      <c r="B49" s="1298" t="s">
        <v>39</v>
      </c>
      <c r="C49" s="1299">
        <v>0</v>
      </c>
      <c r="D49" s="1299">
        <v>0</v>
      </c>
      <c r="E49" s="1299">
        <v>0</v>
      </c>
      <c r="F49" s="1299">
        <v>0</v>
      </c>
    </row>
    <row r="50" spans="1:6">
      <c r="A50" s="1298" t="s">
        <v>31</v>
      </c>
      <c r="B50" s="1298" t="s">
        <v>40</v>
      </c>
      <c r="C50" s="1299">
        <v>3</v>
      </c>
      <c r="D50" s="1299">
        <v>52002</v>
      </c>
      <c r="E50" s="1299">
        <v>5</v>
      </c>
      <c r="F50" s="1299">
        <v>108940</v>
      </c>
    </row>
    <row r="51" spans="1:6">
      <c r="A51" s="1298" t="s">
        <v>41</v>
      </c>
      <c r="B51" s="1298" t="s">
        <v>42</v>
      </c>
      <c r="C51" s="1299">
        <v>0</v>
      </c>
      <c r="D51" s="1299">
        <v>0</v>
      </c>
      <c r="E51" s="1299">
        <v>9</v>
      </c>
      <c r="F51" s="1299">
        <v>233216</v>
      </c>
    </row>
    <row r="52" spans="1:6">
      <c r="A52" s="1298" t="s">
        <v>41</v>
      </c>
      <c r="B52" s="1298" t="s">
        <v>28</v>
      </c>
      <c r="C52" s="1299">
        <v>2</v>
      </c>
      <c r="D52" s="1299">
        <v>69442.462</v>
      </c>
      <c r="E52" s="1299">
        <v>0</v>
      </c>
      <c r="F52" s="1299">
        <v>0</v>
      </c>
    </row>
    <row r="53" spans="1:6">
      <c r="A53" s="1298" t="s">
        <v>43</v>
      </c>
      <c r="B53" s="1298" t="s">
        <v>44</v>
      </c>
      <c r="C53" s="1299">
        <v>16</v>
      </c>
      <c r="D53" s="1299">
        <v>279837.8</v>
      </c>
      <c r="E53" s="1299">
        <v>58</v>
      </c>
      <c r="F53" s="1299">
        <v>191927.7</v>
      </c>
    </row>
    <row r="54" spans="1:6">
      <c r="A54" s="1298" t="s">
        <v>45</v>
      </c>
      <c r="B54" s="1298" t="s">
        <v>46</v>
      </c>
      <c r="C54" s="1299">
        <v>0</v>
      </c>
      <c r="D54" s="1299">
        <v>0</v>
      </c>
      <c r="E54" s="1299">
        <v>3</v>
      </c>
      <c r="F54" s="1299">
        <v>555738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22</v>
      </c>
      <c r="D57" s="1299">
        <v>2281325.75</v>
      </c>
      <c r="E57" s="1299">
        <v>72</v>
      </c>
      <c r="F57" s="1299">
        <v>2730481.23</v>
      </c>
    </row>
    <row r="58" spans="1:6">
      <c r="A58" s="1298" t="s">
        <v>48</v>
      </c>
      <c r="B58" s="1298" t="s">
        <v>50</v>
      </c>
      <c r="C58" s="1299">
        <v>18</v>
      </c>
      <c r="D58" s="1299">
        <v>962754</v>
      </c>
      <c r="E58" s="1299">
        <v>20</v>
      </c>
      <c r="F58" s="1299">
        <v>215361</v>
      </c>
    </row>
    <row r="59" spans="1:6">
      <c r="A59" s="1298" t="s">
        <v>48</v>
      </c>
      <c r="B59" s="1298" t="s">
        <v>51</v>
      </c>
      <c r="C59" s="1299">
        <v>25</v>
      </c>
      <c r="D59" s="1299">
        <v>961028</v>
      </c>
      <c r="E59" s="1299">
        <v>63</v>
      </c>
      <c r="F59" s="1299">
        <v>1578107.5390000001</v>
      </c>
    </row>
    <row r="60" spans="1:6">
      <c r="A60" s="1298" t="s">
        <v>48</v>
      </c>
      <c r="B60" s="1298" t="s">
        <v>52</v>
      </c>
      <c r="C60" s="1299">
        <v>18</v>
      </c>
      <c r="D60" s="1299">
        <v>1020156</v>
      </c>
      <c r="E60" s="1299">
        <v>27</v>
      </c>
      <c r="F60" s="1299">
        <v>681183</v>
      </c>
    </row>
    <row r="61" spans="1:6">
      <c r="A61" s="1298" t="s">
        <v>48</v>
      </c>
      <c r="B61" s="1298" t="s">
        <v>53</v>
      </c>
      <c r="C61" s="1299">
        <v>43</v>
      </c>
      <c r="D61" s="1299">
        <v>715283.4</v>
      </c>
      <c r="E61" s="1299">
        <v>105</v>
      </c>
      <c r="F61" s="1299">
        <v>1027211.9</v>
      </c>
    </row>
    <row r="62" spans="1:6">
      <c r="A62" s="1298" t="s">
        <v>48</v>
      </c>
      <c r="B62" s="1298" t="s">
        <v>54</v>
      </c>
      <c r="C62" s="1299">
        <v>0</v>
      </c>
      <c r="D62" s="1299">
        <v>0</v>
      </c>
      <c r="E62" s="1299">
        <v>7</v>
      </c>
      <c r="F62" s="1299">
        <v>154353</v>
      </c>
    </row>
    <row r="63" spans="1:6">
      <c r="A63" s="1298" t="s">
        <v>48</v>
      </c>
      <c r="B63" s="1298" t="s">
        <v>28</v>
      </c>
      <c r="C63" s="1299">
        <v>1</v>
      </c>
      <c r="D63" s="1299">
        <v>273125</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6659</v>
      </c>
      <c r="E65" s="1299">
        <v>1</v>
      </c>
      <c r="F65" s="1299">
        <v>30908</v>
      </c>
    </row>
    <row r="66" spans="1:6">
      <c r="A66" s="1298" t="s">
        <v>55</v>
      </c>
      <c r="B66" s="1298" t="s">
        <v>57</v>
      </c>
      <c r="C66" s="1299">
        <v>0</v>
      </c>
      <c r="D66" s="1299">
        <v>0</v>
      </c>
      <c r="E66" s="1299">
        <v>5</v>
      </c>
      <c r="F66" s="1299">
        <v>259626</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21496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43383928</v>
      </c>
      <c r="E73" s="450"/>
      <c r="F73" s="330"/>
    </row>
    <row r="74" spans="1:6">
      <c r="A74" s="1298" t="s">
        <v>63</v>
      </c>
      <c r="B74" s="1298" t="s">
        <v>647</v>
      </c>
      <c r="C74" s="1312" t="s">
        <v>649</v>
      </c>
      <c r="D74" s="1313">
        <v>3514998</v>
      </c>
      <c r="E74" s="450"/>
      <c r="F74" s="330"/>
    </row>
    <row r="75" spans="1:6">
      <c r="A75" s="1298" t="s">
        <v>64</v>
      </c>
      <c r="B75" s="1298" t="s">
        <v>646</v>
      </c>
      <c r="C75" s="1312" t="s">
        <v>650</v>
      </c>
      <c r="D75" s="1313">
        <v>10048603</v>
      </c>
      <c r="E75" s="450"/>
      <c r="F75" s="330"/>
    </row>
    <row r="76" spans="1:6">
      <c r="A76" s="1298" t="s">
        <v>64</v>
      </c>
      <c r="B76" s="1298" t="s">
        <v>647</v>
      </c>
      <c r="C76" s="1312" t="s">
        <v>651</v>
      </c>
      <c r="D76" s="1313">
        <v>68273</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261150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2930.0659129534129</v>
      </c>
      <c r="C91" s="330"/>
      <c r="D91" s="330"/>
      <c r="E91" s="330"/>
      <c r="F91" s="330"/>
    </row>
    <row r="92" spans="1:6">
      <c r="A92" s="1293" t="s">
        <v>68</v>
      </c>
      <c r="B92" s="1294">
        <v>184.42771547896743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363</v>
      </c>
      <c r="C97" s="330"/>
      <c r="D97" s="330"/>
      <c r="E97" s="330"/>
      <c r="F97" s="330"/>
    </row>
    <row r="98" spans="1:6">
      <c r="A98" s="1298" t="s">
        <v>71</v>
      </c>
      <c r="B98" s="1299">
        <v>5</v>
      </c>
      <c r="C98" s="330"/>
      <c r="D98" s="330"/>
      <c r="E98" s="330"/>
      <c r="F98" s="330"/>
    </row>
    <row r="99" spans="1:6">
      <c r="A99" s="1298" t="s">
        <v>72</v>
      </c>
      <c r="B99" s="1299">
        <v>12</v>
      </c>
      <c r="C99" s="330"/>
      <c r="D99" s="330"/>
      <c r="E99" s="330"/>
      <c r="F99" s="330"/>
    </row>
    <row r="100" spans="1:6">
      <c r="A100" s="1298" t="s">
        <v>73</v>
      </c>
      <c r="B100" s="1299">
        <v>289</v>
      </c>
      <c r="C100" s="330"/>
      <c r="D100" s="330"/>
      <c r="E100" s="330"/>
      <c r="F100" s="330"/>
    </row>
    <row r="101" spans="1:6">
      <c r="A101" s="1298" t="s">
        <v>74</v>
      </c>
      <c r="B101" s="1299">
        <v>29</v>
      </c>
      <c r="C101" s="330"/>
      <c r="D101" s="330"/>
      <c r="E101" s="330"/>
      <c r="F101" s="330"/>
    </row>
    <row r="102" spans="1:6">
      <c r="A102" s="1298" t="s">
        <v>75</v>
      </c>
      <c r="B102" s="1299">
        <v>26</v>
      </c>
      <c r="C102" s="330"/>
      <c r="D102" s="330"/>
      <c r="E102" s="330"/>
      <c r="F102" s="330"/>
    </row>
    <row r="103" spans="1:6">
      <c r="A103" s="1298" t="s">
        <v>76</v>
      </c>
      <c r="B103" s="1299">
        <v>61</v>
      </c>
      <c r="C103" s="330"/>
      <c r="D103" s="330"/>
      <c r="E103" s="330"/>
      <c r="F103" s="330"/>
    </row>
    <row r="104" spans="1:6">
      <c r="A104" s="1298" t="s">
        <v>77</v>
      </c>
      <c r="B104" s="1299">
        <v>1902</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17</v>
      </c>
      <c r="C123" s="1299">
        <v>12</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100</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22749.248590278017</v>
      </c>
      <c r="C3" s="43" t="s">
        <v>169</v>
      </c>
      <c r="D3" s="43"/>
      <c r="E3" s="154"/>
      <c r="F3" s="43"/>
      <c r="G3" s="43"/>
      <c r="H3" s="43"/>
      <c r="I3" s="43"/>
      <c r="J3" s="43"/>
      <c r="K3" s="96"/>
    </row>
    <row r="4" spans="1:11">
      <c r="A4" s="358" t="s">
        <v>170</v>
      </c>
      <c r="B4" s="49">
        <f>IF(ISERROR('SEAP template'!B78+'SEAP template'!C78),0,'SEAP template'!B78+'SEAP template'!C78)</f>
        <v>3114.4936284323803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0.19074391971004681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555.73800000000006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555.73800000000006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0.19074391971004681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106.00364445182201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11755.7886</v>
      </c>
      <c r="C5" s="17">
        <f>IF(ISERROR('Eigen informatie GS &amp; warmtenet'!B59),0,'Eigen informatie GS &amp; warmtenet'!B59)</f>
        <v>0</v>
      </c>
      <c r="D5" s="30">
        <f>(SUM(HH_hh_gas_kWh,HH_rest_gas_kWh)/1000)*0.902</f>
        <v>24260.945350399998</v>
      </c>
      <c r="E5" s="17">
        <f>B46*B57</f>
        <v>1703.9003300496361</v>
      </c>
      <c r="F5" s="17">
        <f>B51*B62</f>
        <v>15266.552565728874</v>
      </c>
      <c r="G5" s="18"/>
      <c r="H5" s="17"/>
      <c r="I5" s="17"/>
      <c r="J5" s="17">
        <f>B50*B61+C50*C61</f>
        <v>0</v>
      </c>
      <c r="K5" s="17"/>
      <c r="L5" s="17"/>
      <c r="M5" s="17"/>
      <c r="N5" s="17">
        <f>B48*B59+C48*C59</f>
        <v>5137.757861824869</v>
      </c>
      <c r="O5" s="17">
        <f>B69*B70*B71</f>
        <v>222.20332057134758</v>
      </c>
      <c r="P5" s="17">
        <f>B77*B78*B79/1000-B77*B78*B79/1000/B80</f>
        <v>379.22253507666085</v>
      </c>
    </row>
    <row r="6" spans="1:16">
      <c r="A6" s="16" t="s">
        <v>611</v>
      </c>
      <c r="B6" s="783">
        <f>kWh_PV_kleiner_dan_10kW</f>
        <v>2930.0659129534129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14685.854512953412</v>
      </c>
      <c r="C8" s="21">
        <f>C5</f>
        <v>0</v>
      </c>
      <c r="D8" s="21">
        <f>D5</f>
        <v>24260.945350399998</v>
      </c>
      <c r="E8" s="21">
        <f>E5</f>
        <v>1703.9003300496361</v>
      </c>
      <c r="F8" s="21">
        <f>F5</f>
        <v>15266.552565728874</v>
      </c>
      <c r="G8" s="21"/>
      <c r="H8" s="21"/>
      <c r="I8" s="21"/>
      <c r="J8" s="21">
        <f>J5</f>
        <v>0</v>
      </c>
      <c r="K8" s="21"/>
      <c r="L8" s="21">
        <f>L5</f>
        <v>0</v>
      </c>
      <c r="M8" s="21">
        <f>M5</f>
        <v>0</v>
      </c>
      <c r="N8" s="21">
        <f>N5</f>
        <v>5137.757861824869</v>
      </c>
      <c r="O8" s="21">
        <f>O5</f>
        <v>222.20332057134758</v>
      </c>
      <c r="P8" s="21">
        <f>P5</f>
        <v>379.22253507666085</v>
      </c>
    </row>
    <row r="9" spans="1:16">
      <c r="B9" s="19"/>
      <c r="C9" s="19"/>
      <c r="D9" s="258"/>
      <c r="E9" s="19"/>
      <c r="F9" s="19"/>
      <c r="G9" s="19"/>
      <c r="H9" s="19"/>
      <c r="I9" s="19"/>
      <c r="J9" s="19"/>
      <c r="K9" s="19"/>
      <c r="L9" s="19"/>
      <c r="M9" s="19"/>
      <c r="N9" s="19"/>
      <c r="O9" s="19"/>
      <c r="P9" s="19"/>
    </row>
    <row r="10" spans="1:16">
      <c r="A10" s="24" t="s">
        <v>213</v>
      </c>
      <c r="B10" s="25">
        <f ca="1">'EF ele_warmte'!B12</f>
        <v>0.19074391971004681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2801.2374540922142</v>
      </c>
      <c r="C12" s="23">
        <f ca="1">C10*C8</f>
        <v>0</v>
      </c>
      <c r="D12" s="23">
        <f>D8*D10</f>
        <v>4900.7109607807997</v>
      </c>
      <c r="E12" s="23">
        <f>E10*E8</f>
        <v>386.78537492126742</v>
      </c>
      <c r="F12" s="23">
        <f>F10*F8</f>
        <v>4076.1695350496097</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3.6363636363636362</v>
      </c>
      <c r="D20" s="229"/>
      <c r="E20" s="15"/>
    </row>
    <row r="21" spans="1:7">
      <c r="A21" s="171" t="s">
        <v>73</v>
      </c>
      <c r="B21" s="37">
        <f>aantalw2001_elektriciteit</f>
        <v>289</v>
      </c>
      <c r="C21" s="167">
        <f>IF(ISERROR(B21/SUM($B$20,$B$21,$B$22)*100),0,B21/SUM($B$20,$B$21,$B$22)*100)</f>
        <v>87.575757575757578</v>
      </c>
      <c r="D21" s="229"/>
      <c r="E21" s="15"/>
    </row>
    <row r="22" spans="1:7">
      <c r="A22" s="171" t="s">
        <v>74</v>
      </c>
      <c r="B22" s="37">
        <f>aantalw2001_hout</f>
        <v>29</v>
      </c>
      <c r="C22" s="167">
        <f>IF(ISERROR(B22/SUM($B$20,$B$21,$B$22)*100),0,B22/SUM($B$20,$B$21,$B$22)*100)</f>
        <v>8.7878787878787872</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1902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3293</v>
      </c>
      <c r="C28" s="36"/>
      <c r="D28" s="228"/>
    </row>
    <row r="29" spans="1:7" s="15" customFormat="1">
      <c r="A29" s="230" t="s">
        <v>819</v>
      </c>
      <c r="B29" s="37">
        <f>SUM(HH_hh_gas_aantal,HH_rest_gas_aantal)</f>
        <v>1659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1659</v>
      </c>
      <c r="C32" s="167">
        <f>IF(ISERROR(B32/SUM($B$32,$B$34,$B$35,$B$36,$B$38,$B$39)*100),0,B32/SUM($B$32,$B$34,$B$35,$B$36,$B$38,$B$39)*100)</f>
        <v>50.936444580902673</v>
      </c>
      <c r="D32" s="233"/>
      <c r="G32" s="15"/>
    </row>
    <row r="33" spans="1:7">
      <c r="A33" s="171" t="s">
        <v>71</v>
      </c>
      <c r="B33" s="34" t="s">
        <v>110</v>
      </c>
      <c r="C33" s="167"/>
      <c r="D33" s="233"/>
      <c r="G33" s="15"/>
    </row>
    <row r="34" spans="1:7">
      <c r="A34" s="171" t="s">
        <v>72</v>
      </c>
      <c r="B34" s="33">
        <f>IF((($B$28-$B$32-$B$39-$B$77-$B$38)*C20/100)&lt;0,0,($B$28-$B$32-$B$39-$B$77-$B$38)*C20/100)</f>
        <v>31.36</v>
      </c>
      <c r="C34" s="167">
        <f>IF(ISERROR(B34/SUM($B$32,$B$34,$B$35,$B$36,$B$38,$B$39)*100),0,B34/SUM($B$32,$B$34,$B$35,$B$36,$B$38,$B$39)*100)</f>
        <v>0.96284924777402503</v>
      </c>
      <c r="D34" s="233"/>
      <c r="G34" s="15"/>
    </row>
    <row r="35" spans="1:7">
      <c r="A35" s="171" t="s">
        <v>73</v>
      </c>
      <c r="B35" s="33">
        <f>IF((($B$28-$B$32-$B$39-$B$77-$B$38)*C21/100)&lt;0,0,($B$28-$B$32-$B$39-$B$77-$B$38)*C21/100)</f>
        <v>755.25333333333344</v>
      </c>
      <c r="C35" s="167">
        <f>IF(ISERROR(B35/SUM($B$32,$B$34,$B$35,$B$36,$B$38,$B$39)*100),0,B35/SUM($B$32,$B$34,$B$35,$B$36,$B$38,$B$39)*100)</f>
        <v>23.188619383891108</v>
      </c>
      <c r="D35" s="233"/>
      <c r="G35" s="15"/>
    </row>
    <row r="36" spans="1:7">
      <c r="A36" s="171" t="s">
        <v>74</v>
      </c>
      <c r="B36" s="33">
        <f>IF((($B$28-$B$32-$B$39-$B$77-$B$38)*C22/100)&lt;0,0,($B$28-$B$32-$B$39-$B$77-$B$38)*C22/100)</f>
        <v>75.786666666666676</v>
      </c>
      <c r="C36" s="167">
        <f>IF(ISERROR(B36/SUM($B$32,$B$34,$B$35,$B$36,$B$38,$B$39)*100),0,B36/SUM($B$32,$B$34,$B$35,$B$36,$B$38,$B$39)*100)</f>
        <v>2.3268856821205612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735.59999999999991</v>
      </c>
      <c r="C39" s="167">
        <f>IF(ISERROR(B39/SUM($B$32,$B$34,$B$35,$B$36,$B$38,$B$39)*100),0,B39/SUM($B$32,$B$34,$B$35,$B$36,$B$38,$B$39)*100)</f>
        <v>22.585201105311633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1659</v>
      </c>
      <c r="C44" s="34" t="s">
        <v>110</v>
      </c>
      <c r="D44" s="174"/>
    </row>
    <row r="45" spans="1:7">
      <c r="A45" s="171" t="s">
        <v>71</v>
      </c>
      <c r="B45" s="33" t="str">
        <f t="shared" si="0"/>
        <v>-</v>
      </c>
      <c r="C45" s="34" t="s">
        <v>110</v>
      </c>
      <c r="D45" s="174"/>
    </row>
    <row r="46" spans="1:7">
      <c r="A46" s="171" t="s">
        <v>72</v>
      </c>
      <c r="B46" s="33">
        <f t="shared" si="0"/>
        <v>31.36</v>
      </c>
      <c r="C46" s="34" t="s">
        <v>110</v>
      </c>
      <c r="D46" s="174"/>
    </row>
    <row r="47" spans="1:7">
      <c r="A47" s="171" t="s">
        <v>73</v>
      </c>
      <c r="B47" s="33">
        <f t="shared" si="0"/>
        <v>755.25333333333344</v>
      </c>
      <c r="C47" s="34" t="s">
        <v>110</v>
      </c>
      <c r="D47" s="174"/>
    </row>
    <row r="48" spans="1:7">
      <c r="A48" s="171" t="s">
        <v>74</v>
      </c>
      <c r="B48" s="33">
        <f t="shared" si="0"/>
        <v>75.786666666666676</v>
      </c>
      <c r="C48" s="33">
        <f>B48*10</f>
        <v>757.86666666666679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735.59999999999991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6386.6976690000001</v>
      </c>
      <c r="C5" s="17">
        <f>IF(ISERROR('Eigen informatie GS &amp; warmtenet'!B60),0,'Eigen informatie GS &amp; warmtenet'!B60)</f>
        <v>0</v>
      </c>
      <c r="D5" s="30">
        <f>SUM(D6:D12)</f>
        <v>5604.7322793000012</v>
      </c>
      <c r="E5" s="17">
        <f>SUM(E6:E12)</f>
        <v>66.481229415472114</v>
      </c>
      <c r="F5" s="17">
        <f>SUM(F6:F12)</f>
        <v>818.29236059183199</v>
      </c>
      <c r="G5" s="18"/>
      <c r="H5" s="17"/>
      <c r="I5" s="17"/>
      <c r="J5" s="17">
        <f>SUM(J6:J12)</f>
        <v>4.6352798512470636E-2</v>
      </c>
      <c r="K5" s="17"/>
      <c r="L5" s="17"/>
      <c r="M5" s="17"/>
      <c r="N5" s="17">
        <f>SUM(N6:N12)</f>
        <v>1809.6975957909849</v>
      </c>
      <c r="O5" s="17">
        <f>B38*B39*B40</f>
        <v>4.8972607658411542</v>
      </c>
      <c r="P5" s="17">
        <f>B46*B47*B48/1000-B46*B47*B48/1000/B49</f>
        <v>52.539138306495019</v>
      </c>
      <c r="R5" s="32"/>
    </row>
    <row r="6" spans="1:18">
      <c r="A6" s="32" t="s">
        <v>53</v>
      </c>
      <c r="B6" s="37">
        <f>B26</f>
        <v>1027.2119</v>
      </c>
      <c r="C6" s="33"/>
      <c r="D6" s="37">
        <f>IF(ISERROR(TER_kantoor_gas_kWh/1000),0,TER_kantoor_gas_kWh/1000)*0.902</f>
        <v>645.18562680000002</v>
      </c>
      <c r="E6" s="33">
        <f>$C$26*'E Balans VL '!I12/100/3.6*1000000</f>
        <v>8.2656448092178731</v>
      </c>
      <c r="F6" s="33">
        <f>$C$26*('E Balans VL '!L12+'E Balans VL '!N12)/100/3.6*1000000</f>
        <v>125.58746069822926</v>
      </c>
      <c r="G6" s="34"/>
      <c r="H6" s="33"/>
      <c r="I6" s="33"/>
      <c r="J6" s="33">
        <f>$C$26*('E Balans VL '!D12+'E Balans VL '!E12)/100/3.6*1000000</f>
        <v>0</v>
      </c>
      <c r="K6" s="33"/>
      <c r="L6" s="33"/>
      <c r="M6" s="33"/>
      <c r="N6" s="33">
        <f>$C$26*'E Balans VL '!Y12/100/3.6*1000000</f>
        <v>0.55207581153893581</v>
      </c>
      <c r="O6" s="33"/>
      <c r="P6" s="33"/>
      <c r="R6" s="32"/>
    </row>
    <row r="7" spans="1:18">
      <c r="A7" s="32" t="s">
        <v>52</v>
      </c>
      <c r="B7" s="37">
        <f t="shared" ref="B7:B12" si="0">B27</f>
        <v>681.18299999999999</v>
      </c>
      <c r="C7" s="33"/>
      <c r="D7" s="37">
        <f>IF(ISERROR(TER_horeca_gas_kWh/1000),0,TER_horeca_gas_kWh/1000)*0.902</f>
        <v>920.18071199999997</v>
      </c>
      <c r="E7" s="33">
        <f>$C$27*'E Balans VL '!I9/100/3.6*1000000</f>
        <v>7.314232726986023</v>
      </c>
      <c r="F7" s="33">
        <f>$C$27*('E Balans VL '!L9+'E Balans VL '!N9)/100/3.6*1000000</f>
        <v>81.929797102756822</v>
      </c>
      <c r="G7" s="34"/>
      <c r="H7" s="33"/>
      <c r="I7" s="33"/>
      <c r="J7" s="33">
        <f>$C$27*('E Balans VL '!D9+'E Balans VL '!E9)/100/3.6*1000000</f>
        <v>0</v>
      </c>
      <c r="K7" s="33"/>
      <c r="L7" s="33"/>
      <c r="M7" s="33"/>
      <c r="N7" s="33">
        <f>$C$27*'E Balans VL '!Y9/100/3.6*1000000</f>
        <v>0.10212313767655636</v>
      </c>
      <c r="O7" s="33"/>
      <c r="P7" s="33"/>
      <c r="R7" s="32"/>
    </row>
    <row r="8" spans="1:18">
      <c r="A8" s="6" t="s">
        <v>51</v>
      </c>
      <c r="B8" s="37">
        <f t="shared" si="0"/>
        <v>1578.1075390000001</v>
      </c>
      <c r="C8" s="33"/>
      <c r="D8" s="37">
        <f>IF(ISERROR(TER_handel_gas_kWh/1000),0,TER_handel_gas_kWh/1000)*0.902</f>
        <v>866.84725600000002</v>
      </c>
      <c r="E8" s="33">
        <f>$C$28*'E Balans VL '!I13/100/3.6*1000000</f>
        <v>42.351575017397082</v>
      </c>
      <c r="F8" s="33">
        <f>$C$28*('E Balans VL '!L13+'E Balans VL '!N13)/100/3.6*1000000</f>
        <v>150.60009774908443</v>
      </c>
      <c r="G8" s="34"/>
      <c r="H8" s="33"/>
      <c r="I8" s="33"/>
      <c r="J8" s="33">
        <f>$C$28*('E Balans VL '!D13+'E Balans VL '!E13)/100/3.6*1000000</f>
        <v>0</v>
      </c>
      <c r="K8" s="33"/>
      <c r="L8" s="33"/>
      <c r="M8" s="33"/>
      <c r="N8" s="33">
        <f>$C$28*'E Balans VL '!Y13/100/3.6*1000000</f>
        <v>0.62557977215064842</v>
      </c>
      <c r="O8" s="33"/>
      <c r="P8" s="33"/>
      <c r="R8" s="32"/>
    </row>
    <row r="9" spans="1:18">
      <c r="A9" s="32" t="s">
        <v>50</v>
      </c>
      <c r="B9" s="37">
        <f t="shared" si="0"/>
        <v>215.36099999999999</v>
      </c>
      <c r="C9" s="33"/>
      <c r="D9" s="37">
        <f>IF(ISERROR(TER_gezond_gas_kWh/1000),0,TER_gezond_gas_kWh/1000)*0.902</f>
        <v>868.40410800000006</v>
      </c>
      <c r="E9" s="33">
        <f>$C$29*'E Balans VL '!I10/100/3.6*1000000</f>
        <v>0.40365663858667583</v>
      </c>
      <c r="F9" s="33">
        <f>$C$29*('E Balans VL '!L10+'E Balans VL '!N10)/100/3.6*1000000</f>
        <v>17.704639217713869</v>
      </c>
      <c r="G9" s="34"/>
      <c r="H9" s="33"/>
      <c r="I9" s="33"/>
      <c r="J9" s="33">
        <f>$C$29*('E Balans VL '!D10+'E Balans VL '!E10)/100/3.6*1000000</f>
        <v>0</v>
      </c>
      <c r="K9" s="33"/>
      <c r="L9" s="33"/>
      <c r="M9" s="33"/>
      <c r="N9" s="33">
        <f>$C$29*'E Balans VL '!Y10/100/3.6*1000000</f>
        <v>1.6756692623939633</v>
      </c>
      <c r="O9" s="33"/>
      <c r="P9" s="33"/>
      <c r="R9" s="32"/>
    </row>
    <row r="10" spans="1:18">
      <c r="A10" s="32" t="s">
        <v>49</v>
      </c>
      <c r="B10" s="37">
        <f t="shared" si="0"/>
        <v>2730.4812299999999</v>
      </c>
      <c r="C10" s="33"/>
      <c r="D10" s="37">
        <f>IF(ISERROR(TER_ander_gas_kWh/1000),0,TER_ander_gas_kWh/1000)*0.902</f>
        <v>2057.7558265000002</v>
      </c>
      <c r="E10" s="33">
        <f>$C$30*'E Balans VL '!I14/100/3.6*1000000</f>
        <v>4.2090644835838047</v>
      </c>
      <c r="F10" s="33">
        <f>$C$30*('E Balans VL '!L14+'E Balans VL '!N14)/100/3.6*1000000</f>
        <v>423.90796474828602</v>
      </c>
      <c r="G10" s="34"/>
      <c r="H10" s="33"/>
      <c r="I10" s="33"/>
      <c r="J10" s="33">
        <f>$C$30*('E Balans VL '!D14+'E Balans VL '!E14)/100/3.6*1000000</f>
        <v>4.6352798512470636E-2</v>
      </c>
      <c r="K10" s="33"/>
      <c r="L10" s="33"/>
      <c r="M10" s="33"/>
      <c r="N10" s="33">
        <f>$C$30*'E Balans VL '!Y14/100/3.6*1000000</f>
        <v>1806.3988705014706</v>
      </c>
      <c r="O10" s="33"/>
      <c r="P10" s="33"/>
      <c r="R10" s="32"/>
    </row>
    <row r="11" spans="1:18">
      <c r="A11" s="32" t="s">
        <v>54</v>
      </c>
      <c r="B11" s="37">
        <f t="shared" si="0"/>
        <v>154.35300000000001</v>
      </c>
      <c r="C11" s="33"/>
      <c r="D11" s="37">
        <f>IF(ISERROR(TER_onderwijs_gas_kWh/1000),0,TER_onderwijs_gas_kWh/1000)*0.902</f>
        <v>0</v>
      </c>
      <c r="E11" s="33">
        <f>$C$31*'E Balans VL '!I11/100/3.6*1000000</f>
        <v>3.9370557397006567</v>
      </c>
      <c r="F11" s="33">
        <f>$C$31*('E Balans VL '!L11+'E Balans VL '!N11)/100/3.6*1000000</f>
        <v>18.562401075761549</v>
      </c>
      <c r="G11" s="34"/>
      <c r="H11" s="33"/>
      <c r="I11" s="33"/>
      <c r="J11" s="33">
        <f>$C$31*('E Balans VL '!D11+'E Balans VL '!E11)/100/3.6*1000000</f>
        <v>0</v>
      </c>
      <c r="K11" s="33"/>
      <c r="L11" s="33"/>
      <c r="M11" s="33"/>
      <c r="N11" s="33">
        <f>$C$31*'E Balans VL '!Y11/100/3.6*1000000</f>
        <v>0.34327730575434756</v>
      </c>
      <c r="O11" s="33"/>
      <c r="P11" s="33"/>
      <c r="R11" s="32"/>
    </row>
    <row r="12" spans="1:18">
      <c r="A12" s="32" t="s">
        <v>259</v>
      </c>
      <c r="B12" s="37">
        <f t="shared" si="0"/>
        <v>0</v>
      </c>
      <c r="C12" s="33"/>
      <c r="D12" s="37">
        <f>IF(ISERROR(TER_rest_gas_kWh/1000),0,TER_rest_gas_kWh/1000)*0.902</f>
        <v>246.35875000000001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6386.6976690000001</v>
      </c>
      <c r="C16" s="21">
        <f t="shared" ca="1" si="1"/>
        <v>0</v>
      </c>
      <c r="D16" s="21">
        <f t="shared" ca="1" si="1"/>
        <v>5604.7322793000012</v>
      </c>
      <c r="E16" s="21">
        <f t="shared" si="1"/>
        <v>66.481229415472114</v>
      </c>
      <c r="F16" s="21">
        <f t="shared" ca="1" si="1"/>
        <v>818.29236059183199</v>
      </c>
      <c r="G16" s="21">
        <f t="shared" si="1"/>
        <v>0</v>
      </c>
      <c r="H16" s="21">
        <f t="shared" si="1"/>
        <v>0</v>
      </c>
      <c r="I16" s="21">
        <f t="shared" si="1"/>
        <v>0</v>
      </c>
      <c r="J16" s="21">
        <f t="shared" si="1"/>
        <v>4.6352798512470636E-2</v>
      </c>
      <c r="K16" s="21">
        <f t="shared" si="1"/>
        <v>0</v>
      </c>
      <c r="L16" s="21">
        <f t="shared" ca="1" si="1"/>
        <v>0</v>
      </c>
      <c r="M16" s="21">
        <f t="shared" si="1"/>
        <v>0</v>
      </c>
      <c r="N16" s="21">
        <f t="shared" ca="1" si="1"/>
        <v>1809.6975957909849</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0.19074391971004681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1218.2237473880791</v>
      </c>
      <c r="C20" s="23">
        <f t="shared" ref="C20:P20" ca="1" si="2">C16*C18</f>
        <v>0</v>
      </c>
      <c r="D20" s="23">
        <f t="shared" ca="1" si="2"/>
        <v>1132.1559204186003</v>
      </c>
      <c r="E20" s="23">
        <f t="shared" si="2"/>
        <v>15.091239077312171</v>
      </c>
      <c r="F20" s="23">
        <f t="shared" ca="1" si="2"/>
        <v>218.48406027801914</v>
      </c>
      <c r="G20" s="23">
        <f t="shared" si="2"/>
        <v>0</v>
      </c>
      <c r="H20" s="23">
        <f t="shared" si="2"/>
        <v>0</v>
      </c>
      <c r="I20" s="23">
        <f t="shared" si="2"/>
        <v>0</v>
      </c>
      <c r="J20" s="23">
        <f t="shared" si="2"/>
        <v>1.6408890673414604E-2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1027.2119</v>
      </c>
      <c r="C26" s="39">
        <f>IF(ISERROR(B26*3.6/1000000/'E Balans VL '!Z12*100),0,B26*3.6/1000000/'E Balans VL '!Z12*100)</f>
        <v>2.1791360667531144E-2</v>
      </c>
      <c r="D26" s="237" t="s">
        <v>708</v>
      </c>
      <c r="F26" s="6"/>
    </row>
    <row r="27" spans="1:18">
      <c r="A27" s="231" t="s">
        <v>52</v>
      </c>
      <c r="B27" s="33">
        <f>IF(ISERROR(TER_horeca_ele_kWh/1000),0,TER_horeca_ele_kWh/1000)</f>
        <v>681.18299999999999</v>
      </c>
      <c r="C27" s="39">
        <f>IF(ISERROR(B27*3.6/1000000/'E Balans VL '!Z9*100),0,B27*3.6/1000000/'E Balans VL '!Z9*100)</f>
        <v>5.1299114164072415E-2</v>
      </c>
      <c r="D27" s="237" t="s">
        <v>708</v>
      </c>
      <c r="F27" s="6"/>
    </row>
    <row r="28" spans="1:18">
      <c r="A28" s="171" t="s">
        <v>51</v>
      </c>
      <c r="B28" s="33">
        <f>IF(ISERROR(TER_handel_ele_kWh/1000),0,TER_handel_ele_kWh/1000)</f>
        <v>1578.1075390000001</v>
      </c>
      <c r="C28" s="39">
        <f>IF(ISERROR(B28*3.6/1000000/'E Balans VL '!Z13*100),0,B28*3.6/1000000/'E Balans VL '!Z13*100)</f>
        <v>4.5806870185887048E-2</v>
      </c>
      <c r="D28" s="237" t="s">
        <v>708</v>
      </c>
      <c r="F28" s="6"/>
    </row>
    <row r="29" spans="1:18">
      <c r="A29" s="231" t="s">
        <v>50</v>
      </c>
      <c r="B29" s="33">
        <f>IF(ISERROR(TER_gezond_ele_kWh/1000),0,TER_gezond_ele_kWh/1000)</f>
        <v>215.36099999999999</v>
      </c>
      <c r="C29" s="39">
        <f>IF(ISERROR(B29*3.6/1000000/'E Balans VL '!Z10*100),0,B29*3.6/1000000/'E Balans VL '!Z10*100)</f>
        <v>2.1719413678452891E-2</v>
      </c>
      <c r="D29" s="237" t="s">
        <v>708</v>
      </c>
      <c r="F29" s="6"/>
    </row>
    <row r="30" spans="1:18">
      <c r="A30" s="231" t="s">
        <v>49</v>
      </c>
      <c r="B30" s="33">
        <f>IF(ISERROR(TER_ander_ele_kWh/1000),0,TER_ander_ele_kWh/1000)</f>
        <v>2730.4812299999999</v>
      </c>
      <c r="C30" s="39">
        <f>IF(ISERROR(B30*3.6/1000000/'E Balans VL '!Z14*100),0,B30*3.6/1000000/'E Balans VL '!Z14*100)</f>
        <v>0.19813366383056299</v>
      </c>
      <c r="D30" s="237" t="s">
        <v>708</v>
      </c>
      <c r="F30" s="6"/>
    </row>
    <row r="31" spans="1:18">
      <c r="A31" s="231" t="s">
        <v>54</v>
      </c>
      <c r="B31" s="33">
        <f>IF(ISERROR(TER_onderwijs_ele_kWh/1000),0,TER_onderwijs_ele_kWh/1000)</f>
        <v>154.35300000000001</v>
      </c>
      <c r="C31" s="39">
        <f>IF(ISERROR(B31*3.6/1000000/'E Balans VL '!Z11*100),0,B31*3.6/1000000/'E Balans VL '!Z11*100)</f>
        <v>4.3996890546837863E-2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670.2600000000001</v>
      </c>
      <c r="C5" s="17">
        <f>IF(ISERROR('Eigen informatie GS &amp; warmtenet'!B61),0,'Eigen informatie GS &amp; warmtenet'!B61)</f>
        <v>0</v>
      </c>
      <c r="D5" s="30">
        <f>SUM(D6:D15)</f>
        <v>841.13845199999992</v>
      </c>
      <c r="E5" s="17">
        <f>SUM(E6:E15)</f>
        <v>96.712630709370856</v>
      </c>
      <c r="F5" s="17">
        <f>SUM(F6:F15)</f>
        <v>320.14086967015152</v>
      </c>
      <c r="G5" s="18"/>
      <c r="H5" s="17"/>
      <c r="I5" s="17"/>
      <c r="J5" s="17">
        <f>SUM(J6:J15)</f>
        <v>1.6409916082578153</v>
      </c>
      <c r="K5" s="17"/>
      <c r="L5" s="17"/>
      <c r="M5" s="17"/>
      <c r="N5" s="17">
        <f>SUM(N6:N15)</f>
        <v>46.039911795688077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157.172</v>
      </c>
      <c r="C8" s="33"/>
      <c r="D8" s="37">
        <f>IF( ISERROR(IND_metaal_Gas_kWH/1000),0,IND_metaal_Gas_kWH/1000)*0.902</f>
        <v>343.59074199999998</v>
      </c>
      <c r="E8" s="33">
        <f>C30*'E Balans VL '!I18/100/3.6*1000000</f>
        <v>1.1338856663805372</v>
      </c>
      <c r="F8" s="33">
        <f>C30*'E Balans VL '!L18/100/3.6*1000000+C30*'E Balans VL '!N18/100/3.6*1000000</f>
        <v>14.865573151328924</v>
      </c>
      <c r="G8" s="34"/>
      <c r="H8" s="33"/>
      <c r="I8" s="33"/>
      <c r="J8" s="40">
        <f>C30*'E Balans VL '!D18/100/3.6*1000000+C30*'E Balans VL '!E18/100/3.6*1000000</f>
        <v>0.15808451095763043</v>
      </c>
      <c r="K8" s="33"/>
      <c r="L8" s="33"/>
      <c r="M8" s="33"/>
      <c r="N8" s="33">
        <f>C30*'E Balans VL '!Y18/100/3.6*1000000</f>
        <v>1.9870699160579817</v>
      </c>
      <c r="O8" s="33"/>
      <c r="P8" s="33"/>
      <c r="R8" s="32"/>
    </row>
    <row r="9" spans="1:18">
      <c r="A9" s="6" t="s">
        <v>32</v>
      </c>
      <c r="B9" s="37">
        <f t="shared" si="0"/>
        <v>335.28800000000001</v>
      </c>
      <c r="C9" s="33"/>
      <c r="D9" s="37">
        <f>IF( ISERROR(IND_andere_gas_kWh/1000),0,IND_andere_gas_kWh/1000)*0.902</f>
        <v>403.58186000000001</v>
      </c>
      <c r="E9" s="33">
        <f>C31*'E Balans VL '!I19/100/3.6*1000000</f>
        <v>92.912788162245633</v>
      </c>
      <c r="F9" s="33">
        <f>C31*'E Balans VL '!L19/100/3.6*1000000+C31*'E Balans VL '!N19/100/3.6*1000000</f>
        <v>277.88741896295221</v>
      </c>
      <c r="G9" s="34"/>
      <c r="H9" s="33"/>
      <c r="I9" s="33"/>
      <c r="J9" s="40">
        <f>C31*'E Balans VL '!D19/100/3.6*1000000+C31*'E Balans VL '!E19/100/3.6*1000000</f>
        <v>0</v>
      </c>
      <c r="K9" s="33"/>
      <c r="L9" s="33"/>
      <c r="M9" s="33"/>
      <c r="N9" s="33">
        <f>C31*'E Balans VL '!Y19/100/3.6*1000000</f>
        <v>24.337807783791106</v>
      </c>
      <c r="O9" s="33"/>
      <c r="P9" s="33"/>
      <c r="R9" s="32"/>
    </row>
    <row r="10" spans="1:18">
      <c r="A10" s="6" t="s">
        <v>40</v>
      </c>
      <c r="B10" s="37">
        <f t="shared" si="0"/>
        <v>108.94</v>
      </c>
      <c r="C10" s="33"/>
      <c r="D10" s="37">
        <f>IF( ISERROR(IND_voed_gas_kWh/1000),0,IND_voed_gas_kWh/1000)*0.902</f>
        <v>46.905804000000003</v>
      </c>
      <c r="E10" s="33">
        <f>C32*'E Balans VL '!I20/100/3.6*1000000</f>
        <v>0.19286070034378669</v>
      </c>
      <c r="F10" s="33">
        <f>C32*'E Balans VL '!L20/100/3.6*1000000+C32*'E Balans VL '!N20/100/3.6*1000000</f>
        <v>5.8837255265590844</v>
      </c>
      <c r="G10" s="34"/>
      <c r="H10" s="33"/>
      <c r="I10" s="33"/>
      <c r="J10" s="40">
        <f>C32*'E Balans VL '!D20/100/3.6*1000000+C32*'E Balans VL '!E20/100/3.6*1000000</f>
        <v>0</v>
      </c>
      <c r="K10" s="33"/>
      <c r="L10" s="33"/>
      <c r="M10" s="33"/>
      <c r="N10" s="33">
        <f>C32*'E Balans VL '!Y20/100/3.6*1000000</f>
        <v>6.3302459851472728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53.829000000000001</v>
      </c>
      <c r="C12" s="33"/>
      <c r="D12" s="37">
        <f>IF( ISERROR(IND_min_gas_kWh/1000),0,IND_min_gas_kWh/1000)*0.902</f>
        <v>0</v>
      </c>
      <c r="E12" s="33">
        <f>C34*'E Balans VL '!I22/100/3.6*1000000</f>
        <v>2.3704371501275978</v>
      </c>
      <c r="F12" s="33">
        <f>C34*'E Balans VL '!L22/100/3.6*1000000+C34*'E Balans VL '!N22/100/3.6*1000000</f>
        <v>21.049312914286709</v>
      </c>
      <c r="G12" s="34"/>
      <c r="H12" s="33"/>
      <c r="I12" s="33"/>
      <c r="J12" s="40">
        <f>C34*'E Balans VL '!D22/100/3.6*1000000+C34*'E Balans VL '!E22/100/3.6*1000000</f>
        <v>1.6344397265243733E-2</v>
      </c>
      <c r="K12" s="33"/>
      <c r="L12" s="33"/>
      <c r="M12" s="33"/>
      <c r="N12" s="33">
        <f>C34*'E Balans VL '!Y22/100/3.6*1000000</f>
        <v>13.315663307849144</v>
      </c>
      <c r="O12" s="33"/>
      <c r="P12" s="33"/>
      <c r="R12" s="32"/>
    </row>
    <row r="13" spans="1:18">
      <c r="A13" s="6" t="s">
        <v>38</v>
      </c>
      <c r="B13" s="37">
        <f t="shared" si="0"/>
        <v>13.272</v>
      </c>
      <c r="C13" s="33"/>
      <c r="D13" s="37">
        <f>IF( ISERROR(IND_papier_gas_kWh/1000),0,IND_papier_gas_kWh/1000)*0.902</f>
        <v>0</v>
      </c>
      <c r="E13" s="33">
        <f>C35*'E Balans VL '!I23/100/3.6*1000000</f>
        <v>1.9527669341696991E-2</v>
      </c>
      <c r="F13" s="33">
        <f>C35*'E Balans VL '!L23/100/3.6*1000000+C35*'E Balans VL '!N23/100/3.6*1000000</f>
        <v>0.1421073722336805</v>
      </c>
      <c r="G13" s="34"/>
      <c r="H13" s="33"/>
      <c r="I13" s="33"/>
      <c r="J13" s="40">
        <f>C35*'E Balans VL '!D23/100/3.6*1000000+C35*'E Balans VL '!E23/100/3.6*1000000</f>
        <v>1.4520312254813774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1.7589999999999999</v>
      </c>
      <c r="C15" s="33"/>
      <c r="D15" s="37">
        <f>IF( ISERROR(IND_rest_gas_kWh/1000),0,IND_rest_gas_kWh/1000)*0.902</f>
        <v>47.060046</v>
      </c>
      <c r="E15" s="33">
        <f>C37*'E Balans VL '!I15/100/3.6*1000000</f>
        <v>8.3131360931603518E-2</v>
      </c>
      <c r="F15" s="33">
        <f>C37*'E Balans VL '!L15/100/3.6*1000000+C37*'E Balans VL '!N15/100/3.6*1000000</f>
        <v>0.31273174279092913</v>
      </c>
      <c r="G15" s="34"/>
      <c r="H15" s="33"/>
      <c r="I15" s="33"/>
      <c r="J15" s="40">
        <f>C37*'E Balans VL '!D15/100/3.6*1000000+C37*'E Balans VL '!E15/100/3.6*1000000</f>
        <v>1.4531474553563777E-2</v>
      </c>
      <c r="K15" s="33"/>
      <c r="L15" s="33"/>
      <c r="M15" s="33"/>
      <c r="N15" s="33">
        <f>C37*'E Balans VL '!Y15/100/3.6*1000000</f>
        <v>6.912480284257462E-2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670.2600000000001</v>
      </c>
      <c r="C18" s="21">
        <f>C5+C16</f>
        <v>0</v>
      </c>
      <c r="D18" s="21">
        <f>MAX((D5+D16),0)</f>
        <v>841.13845199999992</v>
      </c>
      <c r="E18" s="21">
        <f>MAX((E5+E16),0)</f>
        <v>96.712630709370856</v>
      </c>
      <c r="F18" s="21">
        <f>MAX((F5+F16),0)</f>
        <v>320.14086967015152</v>
      </c>
      <c r="G18" s="21"/>
      <c r="H18" s="21"/>
      <c r="I18" s="21"/>
      <c r="J18" s="21">
        <f>MAX((J5+J16),0)</f>
        <v>1.6409916082578153</v>
      </c>
      <c r="K18" s="21"/>
      <c r="L18" s="21">
        <f>MAX((L5+L16),0)</f>
        <v>0</v>
      </c>
      <c r="M18" s="21"/>
      <c r="N18" s="21">
        <f>MAX((N5+N16),0)</f>
        <v>46.039911795688077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0.19074391971004681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127.84801962485599</v>
      </c>
      <c r="C22" s="23">
        <f ca="1">C18*C20</f>
        <v>0</v>
      </c>
      <c r="D22" s="23">
        <f>D18*D20</f>
        <v>169.90996730399999</v>
      </c>
      <c r="E22" s="23">
        <f>E18*E20</f>
        <v>21.953767171027184</v>
      </c>
      <c r="F22" s="23">
        <f>F18*F20</f>
        <v>85.477612201930455</v>
      </c>
      <c r="G22" s="23"/>
      <c r="H22" s="23"/>
      <c r="I22" s="23"/>
      <c r="J22" s="23">
        <f>J18*J20</f>
        <v>0.58091102932326655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157.172</v>
      </c>
      <c r="C30" s="39">
        <f>IF(ISERROR(B30*3.6/1000000/'E Balans VL '!Z18*100),0,B30*3.6/1000000/'E Balans VL '!Z18*100)</f>
        <v>9.0732943170363563E-3</v>
      </c>
      <c r="D30" s="237" t="s">
        <v>708</v>
      </c>
    </row>
    <row r="31" spans="1:18">
      <c r="A31" s="6" t="s">
        <v>32</v>
      </c>
      <c r="B31" s="37">
        <f>IF( ISERROR(IND_ander_ele_kWh/1000),0,IND_ander_ele_kWh/1000)</f>
        <v>335.28800000000001</v>
      </c>
      <c r="C31" s="39">
        <f>IF(ISERROR(B31*3.6/1000000/'E Balans VL '!Z19*100),0,B31*3.6/1000000/'E Balans VL '!Z19*100)</f>
        <v>1.6863899606029725E-2</v>
      </c>
      <c r="D31" s="237" t="s">
        <v>708</v>
      </c>
    </row>
    <row r="32" spans="1:18">
      <c r="A32" s="171" t="s">
        <v>40</v>
      </c>
      <c r="B32" s="37">
        <f>IF( ISERROR(IND_voed_ele_kWh/1000),0,IND_voed_ele_kWh/1000)</f>
        <v>108.94</v>
      </c>
      <c r="C32" s="39">
        <f>IF(ISERROR(B32*3.6/1000000/'E Balans VL '!Z20*100),0,B32*3.6/1000000/'E Balans VL '!Z20*100)</f>
        <v>3.6283489127464197E-3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53.829000000000001</v>
      </c>
      <c r="C34" s="39">
        <f>IF(ISERROR(B34*3.6/1000000/'E Balans VL '!Z22*100),0,B34*3.6/1000000/'E Balans VL '!Z22*100)</f>
        <v>1.0040926647589477E-2</v>
      </c>
      <c r="D34" s="237" t="s">
        <v>708</v>
      </c>
    </row>
    <row r="35" spans="1:5">
      <c r="A35" s="171" t="s">
        <v>38</v>
      </c>
      <c r="B35" s="37">
        <f>IF( ISERROR(IND_papier_ele_kWh/1000),0,IND_papier_ele_kWh/1000)</f>
        <v>13.272</v>
      </c>
      <c r="C35" s="39">
        <f>IF(ISERROR(B35*3.6/1000000/'E Balans VL '!Z22*100),0,B35*3.6/1000000/'E Balans VL '!Z22*100)</f>
        <v>2.4756762798269993E-3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1.7589999999999999</v>
      </c>
      <c r="C37" s="39">
        <f>IF(ISERROR(B37*3.6/1000000/'E Balans VL '!Z15*100),0,B37*3.6/1000000/'E Balans VL '!Z15*100)</f>
        <v>1.3725010216268679E-5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233.21600000000001</v>
      </c>
      <c r="C5" s="17">
        <f>'Eigen informatie GS &amp; warmtenet'!B62</f>
        <v>0</v>
      </c>
      <c r="D5" s="30">
        <f>IF(ISERROR(SUM(LB_lb_gas_kWh,LB_rest_gas_kWh)/1000),0,SUM(LB_lb_gas_kWh,LB_rest_gas_kWh)/1000)*0.902</f>
        <v>62.637100724000007</v>
      </c>
      <c r="E5" s="17">
        <f>B17*'E Balans VL '!I25/3.6*1000000/100</f>
        <v>7.2785944548508246</v>
      </c>
      <c r="F5" s="17">
        <f>B17*('E Balans VL '!L25/3.6*1000000+'E Balans VL '!N25/3.6*1000000)/100</f>
        <v>824.2111789715558</v>
      </c>
      <c r="G5" s="18"/>
      <c r="H5" s="17"/>
      <c r="I5" s="17"/>
      <c r="J5" s="17">
        <f>('E Balans VL '!D25+'E Balans VL '!E25)/3.6*1000000*landbouw!B17/100</f>
        <v>64.252625338785734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233.21600000000001</v>
      </c>
      <c r="C8" s="21">
        <f>C5+C6</f>
        <v>0</v>
      </c>
      <c r="D8" s="21">
        <f>MAX((D5+D6),0)</f>
        <v>62.637100724000007</v>
      </c>
      <c r="E8" s="21">
        <f>MAX((E5+E6),0)</f>
        <v>7.2785944548508246</v>
      </c>
      <c r="F8" s="21">
        <f>MAX((F5+F6),0)</f>
        <v>824.2111789715558</v>
      </c>
      <c r="G8" s="21"/>
      <c r="H8" s="21"/>
      <c r="I8" s="21"/>
      <c r="J8" s="21">
        <f>MAX((J5+J6),0)</f>
        <v>64.252625338785734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0.19074391971004681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44.484533979098281</v>
      </c>
      <c r="C12" s="23">
        <f ca="1">C8*C10</f>
        <v>0</v>
      </c>
      <c r="D12" s="23">
        <f>D8*D10</f>
        <v>12.652694346248003</v>
      </c>
      <c r="E12" s="23">
        <f>E8*E10</f>
        <v>1.6522409412511372</v>
      </c>
      <c r="F12" s="23">
        <f>F8*F10</f>
        <v>220.06438478540542</v>
      </c>
      <c r="G12" s="23"/>
      <c r="H12" s="23"/>
      <c r="I12" s="23"/>
      <c r="J12" s="23">
        <f>J8*J10</f>
        <v>22.74542936993015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3.466923025064933E-2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23.909032046454112</v>
      </c>
      <c r="C26" s="247">
        <f>B26*'GWP N2O_CH4'!B5</f>
        <v>502.08967297553636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4.897752036579571</v>
      </c>
      <c r="C27" s="247">
        <f>B27*'GWP N2O_CH4'!B5</f>
        <v>102.85279276817099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0.322444322436721</v>
      </c>
      <c r="C28" s="247">
        <f>B28*'GWP N2O_CH4'!B4</f>
        <v>99.957739955383516</v>
      </c>
      <c r="D28" s="50"/>
    </row>
    <row r="29" spans="1:4">
      <c r="A29" s="41" t="s">
        <v>276</v>
      </c>
      <c r="B29" s="247">
        <f>B34*'ha_N2O bodem landbouw'!B4</f>
        <v>1.7025486722099521</v>
      </c>
      <c r="C29" s="247">
        <f>B29*'GWP N2O_CH4'!B4</f>
        <v>527.79008838508514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3.7333827011604213E-4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9.1996949968578957E-5</v>
      </c>
      <c r="C5" s="437" t="s">
        <v>210</v>
      </c>
      <c r="D5" s="422">
        <f>SUM(D6:D11)</f>
        <v>3.3505417298373687E-4</v>
      </c>
      <c r="E5" s="422">
        <f>SUM(E6:E11)</f>
        <v>2.8250615225288621E-4</v>
      </c>
      <c r="F5" s="435" t="s">
        <v>210</v>
      </c>
      <c r="G5" s="422">
        <f>SUM(G6:G11)</f>
        <v>0.12384190664707748</v>
      </c>
      <c r="H5" s="422">
        <f>SUM(H6:H11)</f>
        <v>3.1240365676097934E-2</v>
      </c>
      <c r="I5" s="437" t="s">
        <v>210</v>
      </c>
      <c r="J5" s="437" t="s">
        <v>210</v>
      </c>
      <c r="K5" s="437" t="s">
        <v>210</v>
      </c>
      <c r="L5" s="437" t="s">
        <v>210</v>
      </c>
      <c r="M5" s="422">
        <f>SUM(M6:M11)</f>
        <v>9.2069075232287089E-3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7.4695863717487603E-5</v>
      </c>
      <c r="C6" s="423"/>
      <c r="D6" s="890">
        <f>vkm_GW_PW*SUMIFS(TableVerdeelsleutelVkm[CNG],TableVerdeelsleutelVkm[Voertuigtype],"Lichte voertuigen")*SUMIFS(TableECFTransport[EnergieConsumptieFactor (PJ per km)],TableECFTransport[Index],CONCATENATE($A6,"_CNG_CNG"))</f>
        <v>2.4062543498767496E-4</v>
      </c>
      <c r="E6" s="890">
        <f>vkm_GW_PW*SUMIFS(TableVerdeelsleutelVkm[LPG],TableVerdeelsleutelVkm[Voertuigtype],"Lichte voertuigen")*SUMIFS(TableECFTransport[EnergieConsumptieFactor (PJ per km)],TableECFTransport[Index],CONCATENATE($A6,"_LPG_LPG"))</f>
        <v>2.0577724314490908E-4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6.6476223027718995E-2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2.2541679529219656E-2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5.3243105621285924E-3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3.3369162815406889E-2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4.7714906652175573E-7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1.923478841356481E-3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1.7301086251091351E-5</v>
      </c>
      <c r="C8" s="423"/>
      <c r="D8" s="425">
        <f>vkm_NGW_PW*SUMIFS(TableVerdeelsleutelVkm[CNG],TableVerdeelsleutelVkm[Voertuigtype],"Lichte voertuigen")*SUMIFS(TableECFTransport[EnergieConsumptieFactor (PJ per km)],TableECFTransport[Index],CONCATENATE($A8,"_CNG_CNG"))</f>
        <v>9.4428737996061924E-5</v>
      </c>
      <c r="E8" s="425">
        <f>vkm_NGW_PW*SUMIFS(TableVerdeelsleutelVkm[LPG],TableVerdeelsleutelVkm[Voertuigtype],"Lichte voertuigen")*SUMIFS(TableECFTransport[EnergieConsumptieFactor (PJ per km)],TableECFTransport[Index],CONCATENATE($A8,"_LPG_LPG"))</f>
        <v>7.6728909107977132E-5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2.3162164386198388E-2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8.6981938710492413E-3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1.9110235964740117E-3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8.3435641775320352E-4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1.5126762516289101E-8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4.809452326962389E-5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25.554708324605269</v>
      </c>
      <c r="C14" s="21"/>
      <c r="D14" s="21">
        <f t="shared" ref="D14:M14" si="0">((D5)*10^9/3600)+D12</f>
        <v>93.070603606593565</v>
      </c>
      <c r="E14" s="21">
        <f t="shared" si="0"/>
        <v>78.473931181357287</v>
      </c>
      <c r="F14" s="21"/>
      <c r="G14" s="21">
        <f t="shared" si="0"/>
        <v>34400.529624188188</v>
      </c>
      <c r="H14" s="21">
        <f t="shared" si="0"/>
        <v>8677.8793544716482</v>
      </c>
      <c r="I14" s="21"/>
      <c r="J14" s="21"/>
      <c r="K14" s="21"/>
      <c r="L14" s="21"/>
      <c r="M14" s="21">
        <f t="shared" si="0"/>
        <v>2557.4743120079747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0.19074391971004681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4.8744052328821725</v>
      </c>
      <c r="C18" s="23"/>
      <c r="D18" s="23">
        <f t="shared" ref="D18:M18" si="1">D14*D16</f>
        <v>18.800261928531903</v>
      </c>
      <c r="E18" s="23">
        <f t="shared" si="1"/>
        <v>17.813582378168103</v>
      </c>
      <c r="F18" s="23"/>
      <c r="G18" s="23">
        <f t="shared" si="1"/>
        <v>9184.9414096582459</v>
      </c>
      <c r="H18" s="23">
        <f t="shared" si="1"/>
        <v>2160.7919592634403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3.2445158730592498E-3</v>
      </c>
      <c r="H50" s="319">
        <f t="shared" si="2"/>
        <v>0</v>
      </c>
      <c r="I50" s="319">
        <f t="shared" si="2"/>
        <v>0</v>
      </c>
      <c r="J50" s="319">
        <f t="shared" si="2"/>
        <v>0</v>
      </c>
      <c r="K50" s="319">
        <f t="shared" si="2"/>
        <v>0</v>
      </c>
      <c r="L50" s="319">
        <f t="shared" si="2"/>
        <v>0</v>
      </c>
      <c r="M50" s="319">
        <f t="shared" si="2"/>
        <v>1.8030217987061999E-4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3.2445158730592498E-3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1.8030217987061999E-4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901.25440918312495</v>
      </c>
      <c r="H54" s="21">
        <f t="shared" si="3"/>
        <v>0</v>
      </c>
      <c r="I54" s="21">
        <f t="shared" si="3"/>
        <v>0</v>
      </c>
      <c r="J54" s="21">
        <f t="shared" si="3"/>
        <v>0</v>
      </c>
      <c r="K54" s="21">
        <f t="shared" si="3"/>
        <v>0</v>
      </c>
      <c r="L54" s="21">
        <f t="shared" si="3"/>
        <v>0</v>
      </c>
      <c r="M54" s="21">
        <f t="shared" si="3"/>
        <v>50.083938852949998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0.19074391971004681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240.63492725189437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6942.4356690000004</v>
      </c>
      <c r="D10" s="686">
        <f ca="1">tertiair!C16</f>
        <v>0</v>
      </c>
      <c r="E10" s="686">
        <f ca="1">tertiair!D16</f>
        <v>5604.7322793000012</v>
      </c>
      <c r="F10" s="686">
        <f>tertiair!E16</f>
        <v>66.481229415472114</v>
      </c>
      <c r="G10" s="686">
        <f ca="1">tertiair!F16</f>
        <v>818.29236059183199</v>
      </c>
      <c r="H10" s="686">
        <f>tertiair!G16</f>
        <v>0</v>
      </c>
      <c r="I10" s="686">
        <f>tertiair!H16</f>
        <v>0</v>
      </c>
      <c r="J10" s="686">
        <f>tertiair!I16</f>
        <v>0</v>
      </c>
      <c r="K10" s="686">
        <f>tertiair!J16</f>
        <v>4.6352798512470636E-2</v>
      </c>
      <c r="L10" s="686">
        <f>tertiair!K16</f>
        <v>0</v>
      </c>
      <c r="M10" s="686">
        <f ca="1">tertiair!L16</f>
        <v>0</v>
      </c>
      <c r="N10" s="686">
        <f>tertiair!M16</f>
        <v>0</v>
      </c>
      <c r="O10" s="686">
        <f ca="1">tertiair!N16</f>
        <v>1809.6975957909849</v>
      </c>
      <c r="P10" s="686">
        <f>tertiair!O16</f>
        <v>4.8972607658411542</v>
      </c>
      <c r="Q10" s="687">
        <f>tertiair!P16</f>
        <v>52.539138306495019</v>
      </c>
      <c r="R10" s="689">
        <f ca="1">SUM(C10:Q10)</f>
        <v>15299.121885969138</v>
      </c>
      <c r="S10" s="67"/>
    </row>
    <row r="11" spans="1:19" s="448" customFormat="1">
      <c r="A11" s="808" t="s">
        <v>224</v>
      </c>
      <c r="B11" s="813"/>
      <c r="C11" s="686">
        <f>huishoudens!B8</f>
        <v>14685.854512953412</v>
      </c>
      <c r="D11" s="686">
        <f>huishoudens!C8</f>
        <v>0</v>
      </c>
      <c r="E11" s="686">
        <f>huishoudens!D8</f>
        <v>24260.945350399998</v>
      </c>
      <c r="F11" s="686">
        <f>huishoudens!E8</f>
        <v>1703.9003300496361</v>
      </c>
      <c r="G11" s="686">
        <f>huishoudens!F8</f>
        <v>15266.552565728874</v>
      </c>
      <c r="H11" s="686">
        <f>huishoudens!G8</f>
        <v>0</v>
      </c>
      <c r="I11" s="686">
        <f>huishoudens!H8</f>
        <v>0</v>
      </c>
      <c r="J11" s="686">
        <f>huishoudens!I8</f>
        <v>0</v>
      </c>
      <c r="K11" s="686">
        <f>huishoudens!J8</f>
        <v>0</v>
      </c>
      <c r="L11" s="686">
        <f>huishoudens!K8</f>
        <v>0</v>
      </c>
      <c r="M11" s="686">
        <f>huishoudens!L8</f>
        <v>0</v>
      </c>
      <c r="N11" s="686">
        <f>huishoudens!M8</f>
        <v>0</v>
      </c>
      <c r="O11" s="686">
        <f>huishoudens!N8</f>
        <v>5137.757861824869</v>
      </c>
      <c r="P11" s="686">
        <f>huishoudens!O8</f>
        <v>222.20332057134758</v>
      </c>
      <c r="Q11" s="687">
        <f>huishoudens!P8</f>
        <v>379.22253507666085</v>
      </c>
      <c r="R11" s="689">
        <f>SUM(C11:Q11)</f>
        <v>61656.436476604787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670.2600000000001</v>
      </c>
      <c r="D13" s="686">
        <f>industrie!C18</f>
        <v>0</v>
      </c>
      <c r="E13" s="686">
        <f>industrie!D18</f>
        <v>841.13845199999992</v>
      </c>
      <c r="F13" s="686">
        <f>industrie!E18</f>
        <v>96.712630709370856</v>
      </c>
      <c r="G13" s="686">
        <f>industrie!F18</f>
        <v>320.14086967015152</v>
      </c>
      <c r="H13" s="686">
        <f>industrie!G18</f>
        <v>0</v>
      </c>
      <c r="I13" s="686">
        <f>industrie!H18</f>
        <v>0</v>
      </c>
      <c r="J13" s="686">
        <f>industrie!I18</f>
        <v>0</v>
      </c>
      <c r="K13" s="686">
        <f>industrie!J18</f>
        <v>1.6409916082578153</v>
      </c>
      <c r="L13" s="686">
        <f>industrie!K18</f>
        <v>0</v>
      </c>
      <c r="M13" s="686">
        <f>industrie!L18</f>
        <v>0</v>
      </c>
      <c r="N13" s="686">
        <f>industrie!M18</f>
        <v>0</v>
      </c>
      <c r="O13" s="686">
        <f>industrie!N18</f>
        <v>46.039911795688077</v>
      </c>
      <c r="P13" s="686">
        <f>industrie!O18</f>
        <v>0</v>
      </c>
      <c r="Q13" s="687">
        <f>industrie!P18</f>
        <v>0</v>
      </c>
      <c r="R13" s="689">
        <f>SUM(C13:Q13)</f>
        <v>1975.9328557834681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22298.550181953411</v>
      </c>
      <c r="D16" s="722">
        <f t="shared" ref="D16:R16" ca="1" si="0">SUM(D9:D15)</f>
        <v>0</v>
      </c>
      <c r="E16" s="722">
        <f t="shared" ca="1" si="0"/>
        <v>30706.816081699999</v>
      </c>
      <c r="F16" s="722">
        <f t="shared" si="0"/>
        <v>1867.0941901744791</v>
      </c>
      <c r="G16" s="722">
        <f t="shared" ca="1" si="0"/>
        <v>16404.985795990859</v>
      </c>
      <c r="H16" s="722">
        <f t="shared" si="0"/>
        <v>0</v>
      </c>
      <c r="I16" s="722">
        <f t="shared" si="0"/>
        <v>0</v>
      </c>
      <c r="J16" s="722">
        <f t="shared" si="0"/>
        <v>0</v>
      </c>
      <c r="K16" s="722">
        <f t="shared" si="0"/>
        <v>1.6873444067702859</v>
      </c>
      <c r="L16" s="722">
        <f t="shared" si="0"/>
        <v>0</v>
      </c>
      <c r="M16" s="722">
        <f t="shared" ca="1" si="0"/>
        <v>0</v>
      </c>
      <c r="N16" s="722">
        <f t="shared" si="0"/>
        <v>0</v>
      </c>
      <c r="O16" s="722">
        <f t="shared" ca="1" si="0"/>
        <v>6993.4953694115411</v>
      </c>
      <c r="P16" s="722">
        <f t="shared" si="0"/>
        <v>227.10058133718874</v>
      </c>
      <c r="Q16" s="722">
        <f t="shared" si="0"/>
        <v>431.76167338315588</v>
      </c>
      <c r="R16" s="722">
        <f t="shared" ca="1" si="0"/>
        <v>78931.491218357391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901.25440918312495</v>
      </c>
      <c r="I19" s="686">
        <f>transport!H54</f>
        <v>0</v>
      </c>
      <c r="J19" s="686">
        <f>transport!I54</f>
        <v>0</v>
      </c>
      <c r="K19" s="686">
        <f>transport!J54</f>
        <v>0</v>
      </c>
      <c r="L19" s="686">
        <f>transport!K54</f>
        <v>0</v>
      </c>
      <c r="M19" s="686">
        <f>transport!L54</f>
        <v>0</v>
      </c>
      <c r="N19" s="686">
        <f>transport!M54</f>
        <v>50.083938852949998</v>
      </c>
      <c r="O19" s="686">
        <f>transport!N54</f>
        <v>0</v>
      </c>
      <c r="P19" s="686">
        <f>transport!O54</f>
        <v>0</v>
      </c>
      <c r="Q19" s="687">
        <f>transport!P54</f>
        <v>0</v>
      </c>
      <c r="R19" s="689">
        <f>SUM(C19:Q19)</f>
        <v>951.33834803607499</v>
      </c>
      <c r="S19" s="67"/>
    </row>
    <row r="20" spans="1:19" s="448" customFormat="1">
      <c r="A20" s="808" t="s">
        <v>306</v>
      </c>
      <c r="B20" s="813"/>
      <c r="C20" s="686">
        <f>transport!B14</f>
        <v>25.554708324605269</v>
      </c>
      <c r="D20" s="686">
        <f>transport!C14</f>
        <v>0</v>
      </c>
      <c r="E20" s="686">
        <f>transport!D14</f>
        <v>93.070603606593565</v>
      </c>
      <c r="F20" s="686">
        <f>transport!E14</f>
        <v>78.473931181357287</v>
      </c>
      <c r="G20" s="686">
        <f>transport!F14</f>
        <v>0</v>
      </c>
      <c r="H20" s="686">
        <f>transport!G14</f>
        <v>34400.529624188188</v>
      </c>
      <c r="I20" s="686">
        <f>transport!H14</f>
        <v>8677.8793544716482</v>
      </c>
      <c r="J20" s="686">
        <f>transport!I14</f>
        <v>0</v>
      </c>
      <c r="K20" s="686">
        <f>transport!J14</f>
        <v>0</v>
      </c>
      <c r="L20" s="686">
        <f>transport!K14</f>
        <v>0</v>
      </c>
      <c r="M20" s="686">
        <f>transport!L14</f>
        <v>0</v>
      </c>
      <c r="N20" s="686">
        <f>transport!M14</f>
        <v>2557.4743120079747</v>
      </c>
      <c r="O20" s="686">
        <f>transport!N14</f>
        <v>0</v>
      </c>
      <c r="P20" s="686">
        <f>transport!O14</f>
        <v>0</v>
      </c>
      <c r="Q20" s="687">
        <f>transport!P14</f>
        <v>0</v>
      </c>
      <c r="R20" s="689">
        <f>SUM(C20:Q20)</f>
        <v>45832.982533780363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25.554708324605269</v>
      </c>
      <c r="D22" s="811">
        <f t="shared" ref="D22:R22" si="1">SUM(D18:D21)</f>
        <v>0</v>
      </c>
      <c r="E22" s="811">
        <f t="shared" si="1"/>
        <v>93.070603606593565</v>
      </c>
      <c r="F22" s="811">
        <f t="shared" si="1"/>
        <v>78.473931181357287</v>
      </c>
      <c r="G22" s="811">
        <f t="shared" si="1"/>
        <v>0</v>
      </c>
      <c r="H22" s="811">
        <f t="shared" si="1"/>
        <v>35301.78403337131</v>
      </c>
      <c r="I22" s="811">
        <f t="shared" si="1"/>
        <v>8677.8793544716482</v>
      </c>
      <c r="J22" s="811">
        <f t="shared" si="1"/>
        <v>0</v>
      </c>
      <c r="K22" s="811">
        <f t="shared" si="1"/>
        <v>0</v>
      </c>
      <c r="L22" s="811">
        <f t="shared" si="1"/>
        <v>0</v>
      </c>
      <c r="M22" s="811">
        <f t="shared" si="1"/>
        <v>0</v>
      </c>
      <c r="N22" s="811">
        <f t="shared" si="1"/>
        <v>2607.5582508609245</v>
      </c>
      <c r="O22" s="811">
        <f t="shared" si="1"/>
        <v>0</v>
      </c>
      <c r="P22" s="811">
        <f t="shared" si="1"/>
        <v>0</v>
      </c>
      <c r="Q22" s="811">
        <f t="shared" si="1"/>
        <v>0</v>
      </c>
      <c r="R22" s="811">
        <f t="shared" si="1"/>
        <v>46784.320881816435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233.21600000000001</v>
      </c>
      <c r="D24" s="686">
        <f>+landbouw!C8</f>
        <v>0</v>
      </c>
      <c r="E24" s="686">
        <f>+landbouw!D8</f>
        <v>62.637100724000007</v>
      </c>
      <c r="F24" s="686">
        <f>+landbouw!E8</f>
        <v>7.2785944548508246</v>
      </c>
      <c r="G24" s="686">
        <f>+landbouw!F8</f>
        <v>824.2111789715558</v>
      </c>
      <c r="H24" s="686">
        <f>+landbouw!G8</f>
        <v>0</v>
      </c>
      <c r="I24" s="686">
        <f>+landbouw!H8</f>
        <v>0</v>
      </c>
      <c r="J24" s="686">
        <f>+landbouw!I8</f>
        <v>0</v>
      </c>
      <c r="K24" s="686">
        <f>+landbouw!J8</f>
        <v>64.252625338785734</v>
      </c>
      <c r="L24" s="686">
        <f>+landbouw!K8</f>
        <v>0</v>
      </c>
      <c r="M24" s="686">
        <f>+landbouw!L8</f>
        <v>0</v>
      </c>
      <c r="N24" s="686">
        <f>+landbouw!M8</f>
        <v>0</v>
      </c>
      <c r="O24" s="686">
        <f>+landbouw!N8</f>
        <v>0</v>
      </c>
      <c r="P24" s="686">
        <f>+landbouw!O8</f>
        <v>0</v>
      </c>
      <c r="Q24" s="687">
        <f>+landbouw!P8</f>
        <v>0</v>
      </c>
      <c r="R24" s="689">
        <f>SUM(C24:Q24)</f>
        <v>1191.5954994891924</v>
      </c>
      <c r="S24" s="67"/>
    </row>
    <row r="25" spans="1:19" s="448" customFormat="1" ht="15" thickBot="1">
      <c r="A25" s="830" t="s">
        <v>724</v>
      </c>
      <c r="B25" s="949"/>
      <c r="C25" s="950">
        <f>IF(Onbekend_ele_kWh="---",0,Onbekend_ele_kWh)/1000+IF(REST_rest_ele_kWh="---",0,REST_rest_ele_kWh)/1000</f>
        <v>191.92770000000002</v>
      </c>
      <c r="D25" s="950"/>
      <c r="E25" s="950">
        <f>IF(onbekend_gas_kWh="---",0,onbekend_gas_kWh)/1000+IF(REST_rest_gas_kWh="---",0,REST_rest_gas_kWh)/1000</f>
        <v>279.83780000000002</v>
      </c>
      <c r="F25" s="950"/>
      <c r="G25" s="950"/>
      <c r="H25" s="950"/>
      <c r="I25" s="950"/>
      <c r="J25" s="950"/>
      <c r="K25" s="950"/>
      <c r="L25" s="950"/>
      <c r="M25" s="950"/>
      <c r="N25" s="950"/>
      <c r="O25" s="950"/>
      <c r="P25" s="950"/>
      <c r="Q25" s="951"/>
      <c r="R25" s="689">
        <f>SUM(C25:Q25)</f>
        <v>471.76550000000003</v>
      </c>
      <c r="S25" s="67"/>
    </row>
    <row r="26" spans="1:19" s="448" customFormat="1" ht="15.75" thickBot="1">
      <c r="A26" s="694" t="s">
        <v>725</v>
      </c>
      <c r="B26" s="816"/>
      <c r="C26" s="811">
        <f>SUM(C24:C25)</f>
        <v>425.14370000000002</v>
      </c>
      <c r="D26" s="811">
        <f t="shared" ref="D26:R26" si="2">SUM(D24:D25)</f>
        <v>0</v>
      </c>
      <c r="E26" s="811">
        <f t="shared" si="2"/>
        <v>342.47490072400001</v>
      </c>
      <c r="F26" s="811">
        <f t="shared" si="2"/>
        <v>7.2785944548508246</v>
      </c>
      <c r="G26" s="811">
        <f t="shared" si="2"/>
        <v>824.2111789715558</v>
      </c>
      <c r="H26" s="811">
        <f t="shared" si="2"/>
        <v>0</v>
      </c>
      <c r="I26" s="811">
        <f t="shared" si="2"/>
        <v>0</v>
      </c>
      <c r="J26" s="811">
        <f t="shared" si="2"/>
        <v>0</v>
      </c>
      <c r="K26" s="811">
        <f t="shared" si="2"/>
        <v>64.252625338785734</v>
      </c>
      <c r="L26" s="811">
        <f t="shared" si="2"/>
        <v>0</v>
      </c>
      <c r="M26" s="811">
        <f t="shared" si="2"/>
        <v>0</v>
      </c>
      <c r="N26" s="811">
        <f t="shared" si="2"/>
        <v>0</v>
      </c>
      <c r="O26" s="811">
        <f t="shared" si="2"/>
        <v>0</v>
      </c>
      <c r="P26" s="811">
        <f t="shared" si="2"/>
        <v>0</v>
      </c>
      <c r="Q26" s="811">
        <f t="shared" si="2"/>
        <v>0</v>
      </c>
      <c r="R26" s="811">
        <f t="shared" si="2"/>
        <v>1663.3609994891924</v>
      </c>
      <c r="S26" s="67"/>
    </row>
    <row r="27" spans="1:19" s="448" customFormat="1" ht="17.25" thickTop="1" thickBot="1">
      <c r="A27" s="695" t="s">
        <v>115</v>
      </c>
      <c r="B27" s="803"/>
      <c r="C27" s="696">
        <f ca="1">C22+C16+C26</f>
        <v>22749.248590278017</v>
      </c>
      <c r="D27" s="696">
        <f t="shared" ref="D27:R27" ca="1" si="3">D22+D16+D26</f>
        <v>0</v>
      </c>
      <c r="E27" s="696">
        <f t="shared" ca="1" si="3"/>
        <v>31142.361586030591</v>
      </c>
      <c r="F27" s="696">
        <f t="shared" si="3"/>
        <v>1952.8467158106873</v>
      </c>
      <c r="G27" s="696">
        <f t="shared" ca="1" si="3"/>
        <v>17229.196974962415</v>
      </c>
      <c r="H27" s="696">
        <f t="shared" si="3"/>
        <v>35301.78403337131</v>
      </c>
      <c r="I27" s="696">
        <f t="shared" si="3"/>
        <v>8677.8793544716482</v>
      </c>
      <c r="J27" s="696">
        <f t="shared" si="3"/>
        <v>0</v>
      </c>
      <c r="K27" s="696">
        <f t="shared" si="3"/>
        <v>65.939969745556013</v>
      </c>
      <c r="L27" s="696">
        <f t="shared" si="3"/>
        <v>0</v>
      </c>
      <c r="M27" s="696">
        <f t="shared" ca="1" si="3"/>
        <v>0</v>
      </c>
      <c r="N27" s="696">
        <f t="shared" si="3"/>
        <v>2607.5582508609245</v>
      </c>
      <c r="O27" s="696">
        <f t="shared" ca="1" si="3"/>
        <v>6993.4953694115411</v>
      </c>
      <c r="P27" s="696">
        <f t="shared" si="3"/>
        <v>227.10058133718874</v>
      </c>
      <c r="Q27" s="696">
        <f t="shared" si="3"/>
        <v>431.76167338315588</v>
      </c>
      <c r="R27" s="696">
        <f t="shared" ca="1" si="3"/>
        <v>127379.17309966301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1324.2273918399012</v>
      </c>
      <c r="D40" s="686">
        <f ca="1">tertiair!C20</f>
        <v>0</v>
      </c>
      <c r="E40" s="686">
        <f ca="1">tertiair!D20</f>
        <v>1132.1559204186003</v>
      </c>
      <c r="F40" s="686">
        <f>tertiair!E20</f>
        <v>15.091239077312171</v>
      </c>
      <c r="G40" s="686">
        <f ca="1">tertiair!F20</f>
        <v>218.48406027801914</v>
      </c>
      <c r="H40" s="686">
        <f>tertiair!G20</f>
        <v>0</v>
      </c>
      <c r="I40" s="686">
        <f>tertiair!H20</f>
        <v>0</v>
      </c>
      <c r="J40" s="686">
        <f>tertiair!I20</f>
        <v>0</v>
      </c>
      <c r="K40" s="686">
        <f>tertiair!J20</f>
        <v>1.6408890673414604E-2</v>
      </c>
      <c r="L40" s="686">
        <f>tertiair!K20</f>
        <v>0</v>
      </c>
      <c r="M40" s="686">
        <f ca="1">tertiair!L20</f>
        <v>0</v>
      </c>
      <c r="N40" s="686">
        <f>tertiair!M20</f>
        <v>0</v>
      </c>
      <c r="O40" s="686">
        <f ca="1">tertiair!N20</f>
        <v>0</v>
      </c>
      <c r="P40" s="686">
        <f>tertiair!O20</f>
        <v>0</v>
      </c>
      <c r="Q40" s="769">
        <f>tertiair!P20</f>
        <v>0</v>
      </c>
      <c r="R40" s="849">
        <f t="shared" ca="1" si="4"/>
        <v>2689.9750205045066</v>
      </c>
    </row>
    <row r="41" spans="1:18">
      <c r="A41" s="821" t="s">
        <v>224</v>
      </c>
      <c r="B41" s="828"/>
      <c r="C41" s="686">
        <f ca="1">huishoudens!B12</f>
        <v>2801.2374540922142</v>
      </c>
      <c r="D41" s="686">
        <f ca="1">huishoudens!C12</f>
        <v>0</v>
      </c>
      <c r="E41" s="686">
        <f>huishoudens!D12</f>
        <v>4900.7109607807997</v>
      </c>
      <c r="F41" s="686">
        <f>huishoudens!E12</f>
        <v>386.78537492126742</v>
      </c>
      <c r="G41" s="686">
        <f>huishoudens!F12</f>
        <v>4076.1695350496097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12164.90332484389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127.84801962485599</v>
      </c>
      <c r="D43" s="686">
        <f ca="1">industrie!C22</f>
        <v>0</v>
      </c>
      <c r="E43" s="686">
        <f>industrie!D22</f>
        <v>169.90996730399999</v>
      </c>
      <c r="F43" s="686">
        <f>industrie!E22</f>
        <v>21.953767171027184</v>
      </c>
      <c r="G43" s="686">
        <f>industrie!F22</f>
        <v>85.477612201930455</v>
      </c>
      <c r="H43" s="686">
        <f>industrie!G22</f>
        <v>0</v>
      </c>
      <c r="I43" s="686">
        <f>industrie!H22</f>
        <v>0</v>
      </c>
      <c r="J43" s="686">
        <f>industrie!I22</f>
        <v>0</v>
      </c>
      <c r="K43" s="686">
        <f>industrie!J22</f>
        <v>0.58091102932326655</v>
      </c>
      <c r="L43" s="686">
        <f>industrie!K22</f>
        <v>0</v>
      </c>
      <c r="M43" s="686">
        <f>industrie!L22</f>
        <v>0</v>
      </c>
      <c r="N43" s="686">
        <f>industrie!M22</f>
        <v>0</v>
      </c>
      <c r="O43" s="686">
        <f>industrie!N22</f>
        <v>0</v>
      </c>
      <c r="P43" s="686">
        <f>industrie!O22</f>
        <v>0</v>
      </c>
      <c r="Q43" s="769">
        <f>industrie!P22</f>
        <v>0</v>
      </c>
      <c r="R43" s="848">
        <f t="shared" ca="1" si="4"/>
        <v>405.77027733113692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4253.3128655569708</v>
      </c>
      <c r="D46" s="722">
        <f t="shared" ref="D46:Q46" ca="1" si="5">SUM(D39:D45)</f>
        <v>0</v>
      </c>
      <c r="E46" s="722">
        <f t="shared" ca="1" si="5"/>
        <v>6202.7768485034003</v>
      </c>
      <c r="F46" s="722">
        <f t="shared" si="5"/>
        <v>423.83038116960682</v>
      </c>
      <c r="G46" s="722">
        <f t="shared" ca="1" si="5"/>
        <v>4380.1312075295591</v>
      </c>
      <c r="H46" s="722">
        <f t="shared" si="5"/>
        <v>0</v>
      </c>
      <c r="I46" s="722">
        <f t="shared" si="5"/>
        <v>0</v>
      </c>
      <c r="J46" s="722">
        <f t="shared" si="5"/>
        <v>0</v>
      </c>
      <c r="K46" s="722">
        <f t="shared" si="5"/>
        <v>0.5973199199966811</v>
      </c>
      <c r="L46" s="722">
        <f t="shared" si="5"/>
        <v>0</v>
      </c>
      <c r="M46" s="722">
        <f t="shared" ca="1" si="5"/>
        <v>0</v>
      </c>
      <c r="N46" s="722">
        <f t="shared" si="5"/>
        <v>0</v>
      </c>
      <c r="O46" s="722">
        <f t="shared" ca="1" si="5"/>
        <v>0</v>
      </c>
      <c r="P46" s="722">
        <f t="shared" si="5"/>
        <v>0</v>
      </c>
      <c r="Q46" s="722">
        <f t="shared" si="5"/>
        <v>0</v>
      </c>
      <c r="R46" s="722">
        <f ca="1">SUM(R39:R45)</f>
        <v>15260.648622679533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240.63492725189437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240.63492725189437</v>
      </c>
    </row>
    <row r="50" spans="1:18">
      <c r="A50" s="824" t="s">
        <v>306</v>
      </c>
      <c r="B50" s="834"/>
      <c r="C50" s="692">
        <f ca="1">transport!B18</f>
        <v>4.8744052328821725</v>
      </c>
      <c r="D50" s="692">
        <f>transport!C18</f>
        <v>0</v>
      </c>
      <c r="E50" s="692">
        <f>transport!D18</f>
        <v>18.800261928531903</v>
      </c>
      <c r="F50" s="692">
        <f>transport!E18</f>
        <v>17.813582378168103</v>
      </c>
      <c r="G50" s="692">
        <f>transport!F18</f>
        <v>0</v>
      </c>
      <c r="H50" s="692">
        <f>transport!G18</f>
        <v>9184.9414096582459</v>
      </c>
      <c r="I50" s="692">
        <f>transport!H18</f>
        <v>2160.7919592634403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11387.221618461268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4.8744052328821725</v>
      </c>
      <c r="D52" s="722">
        <f t="shared" ref="D52:Q52" ca="1" si="6">SUM(D48:D51)</f>
        <v>0</v>
      </c>
      <c r="E52" s="722">
        <f t="shared" si="6"/>
        <v>18.800261928531903</v>
      </c>
      <c r="F52" s="722">
        <f t="shared" si="6"/>
        <v>17.813582378168103</v>
      </c>
      <c r="G52" s="722">
        <f t="shared" si="6"/>
        <v>0</v>
      </c>
      <c r="H52" s="722">
        <f t="shared" si="6"/>
        <v>9425.5763369101405</v>
      </c>
      <c r="I52" s="722">
        <f t="shared" si="6"/>
        <v>2160.7919592634403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11627.856545713163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44.484533979098281</v>
      </c>
      <c r="D54" s="692">
        <f ca="1">+landbouw!C12</f>
        <v>0</v>
      </c>
      <c r="E54" s="692">
        <f>+landbouw!D12</f>
        <v>12.652694346248003</v>
      </c>
      <c r="F54" s="692">
        <f>+landbouw!E12</f>
        <v>1.6522409412511372</v>
      </c>
      <c r="G54" s="692">
        <f>+landbouw!F12</f>
        <v>220.06438478540542</v>
      </c>
      <c r="H54" s="692">
        <f>+landbouw!G12</f>
        <v>0</v>
      </c>
      <c r="I54" s="692">
        <f>+landbouw!H12</f>
        <v>0</v>
      </c>
      <c r="J54" s="692">
        <f>+landbouw!I12</f>
        <v>0</v>
      </c>
      <c r="K54" s="692">
        <f>+landbouw!J12</f>
        <v>22.74542936993015</v>
      </c>
      <c r="L54" s="692">
        <f>+landbouw!K12</f>
        <v>0</v>
      </c>
      <c r="M54" s="692">
        <f>+landbouw!L12</f>
        <v>0</v>
      </c>
      <c r="N54" s="692">
        <f>+landbouw!M12</f>
        <v>0</v>
      </c>
      <c r="O54" s="692">
        <f>+landbouw!N12</f>
        <v>0</v>
      </c>
      <c r="P54" s="692">
        <f>+landbouw!O12</f>
        <v>0</v>
      </c>
      <c r="Q54" s="693">
        <f>+landbouw!P12</f>
        <v>0</v>
      </c>
      <c r="R54" s="721">
        <f ca="1">SUM(C54:Q54)</f>
        <v>301.59928342193297</v>
      </c>
    </row>
    <row r="55" spans="1:18" ht="15" thickBot="1">
      <c r="A55" s="824" t="s">
        <v>724</v>
      </c>
      <c r="B55" s="834"/>
      <c r="C55" s="692">
        <f ca="1">C25*'EF ele_warmte'!B12</f>
        <v>36.609041798933951</v>
      </c>
      <c r="D55" s="692"/>
      <c r="E55" s="692">
        <f>E25*EF_CO2_aardgas</f>
        <v>56.527235600000004</v>
      </c>
      <c r="F55" s="692"/>
      <c r="G55" s="692"/>
      <c r="H55" s="692"/>
      <c r="I55" s="692"/>
      <c r="J55" s="692"/>
      <c r="K55" s="692"/>
      <c r="L55" s="692"/>
      <c r="M55" s="692"/>
      <c r="N55" s="692"/>
      <c r="O55" s="692"/>
      <c r="P55" s="692"/>
      <c r="Q55" s="693"/>
      <c r="R55" s="721">
        <f ca="1">SUM(C55:Q55)</f>
        <v>93.136277398933956</v>
      </c>
    </row>
    <row r="56" spans="1:18" ht="15.75" thickBot="1">
      <c r="A56" s="822" t="s">
        <v>725</v>
      </c>
      <c r="B56" s="835"/>
      <c r="C56" s="722">
        <f ca="1">SUM(C54:C55)</f>
        <v>81.093575778032232</v>
      </c>
      <c r="D56" s="722">
        <f t="shared" ref="D56:Q56" ca="1" si="7">SUM(D54:D55)</f>
        <v>0</v>
      </c>
      <c r="E56" s="722">
        <f t="shared" si="7"/>
        <v>69.179929946248009</v>
      </c>
      <c r="F56" s="722">
        <f t="shared" si="7"/>
        <v>1.6522409412511372</v>
      </c>
      <c r="G56" s="722">
        <f t="shared" si="7"/>
        <v>220.06438478540542</v>
      </c>
      <c r="H56" s="722">
        <f t="shared" si="7"/>
        <v>0</v>
      </c>
      <c r="I56" s="722">
        <f t="shared" si="7"/>
        <v>0</v>
      </c>
      <c r="J56" s="722">
        <f t="shared" si="7"/>
        <v>0</v>
      </c>
      <c r="K56" s="722">
        <f t="shared" si="7"/>
        <v>22.74542936993015</v>
      </c>
      <c r="L56" s="722">
        <f t="shared" si="7"/>
        <v>0</v>
      </c>
      <c r="M56" s="722">
        <f t="shared" si="7"/>
        <v>0</v>
      </c>
      <c r="N56" s="722">
        <f t="shared" si="7"/>
        <v>0</v>
      </c>
      <c r="O56" s="722">
        <f t="shared" si="7"/>
        <v>0</v>
      </c>
      <c r="P56" s="722">
        <f t="shared" si="7"/>
        <v>0</v>
      </c>
      <c r="Q56" s="723">
        <f t="shared" si="7"/>
        <v>0</v>
      </c>
      <c r="R56" s="724">
        <f ca="1">SUM(R54:R55)</f>
        <v>394.73556082086691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4339.2808465678854</v>
      </c>
      <c r="D61" s="730">
        <f t="shared" ref="D61:Q61" ca="1" si="8">D46+D52+D56</f>
        <v>0</v>
      </c>
      <c r="E61" s="730">
        <f t="shared" ca="1" si="8"/>
        <v>6290.7570403781801</v>
      </c>
      <c r="F61" s="730">
        <f t="shared" si="8"/>
        <v>443.29620448902608</v>
      </c>
      <c r="G61" s="730">
        <f t="shared" ca="1" si="8"/>
        <v>4600.1955923149644</v>
      </c>
      <c r="H61" s="730">
        <f t="shared" si="8"/>
        <v>9425.5763369101405</v>
      </c>
      <c r="I61" s="730">
        <f t="shared" si="8"/>
        <v>2160.7919592634403</v>
      </c>
      <c r="J61" s="730">
        <f t="shared" si="8"/>
        <v>0</v>
      </c>
      <c r="K61" s="730">
        <f t="shared" si="8"/>
        <v>23.342749289926832</v>
      </c>
      <c r="L61" s="730">
        <f t="shared" si="8"/>
        <v>0</v>
      </c>
      <c r="M61" s="730">
        <f t="shared" ca="1" si="8"/>
        <v>0</v>
      </c>
      <c r="N61" s="730">
        <f t="shared" si="8"/>
        <v>0</v>
      </c>
      <c r="O61" s="730">
        <f t="shared" ca="1" si="8"/>
        <v>0</v>
      </c>
      <c r="P61" s="730">
        <f t="shared" si="8"/>
        <v>0</v>
      </c>
      <c r="Q61" s="730">
        <f t="shared" si="8"/>
        <v>0</v>
      </c>
      <c r="R61" s="730">
        <f ca="1">R46+R52+R56</f>
        <v>27283.240729213561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0.19074391971004681</v>
      </c>
      <c r="D63" s="776">
        <f t="shared" ca="1" si="9"/>
        <v>0</v>
      </c>
      <c r="E63" s="975">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3114.4936284323803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3114.4936284323803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3114.4936284323803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3114.4936284323803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14685.854512953412</v>
      </c>
      <c r="C4" s="452">
        <f>huishoudens!C8</f>
        <v>0</v>
      </c>
      <c r="D4" s="452">
        <f>huishoudens!D8</f>
        <v>24260.945350399998</v>
      </c>
      <c r="E4" s="452">
        <f>huishoudens!E8</f>
        <v>1703.9003300496361</v>
      </c>
      <c r="F4" s="452">
        <f>huishoudens!F8</f>
        <v>15266.552565728874</v>
      </c>
      <c r="G4" s="452">
        <f>huishoudens!G8</f>
        <v>0</v>
      </c>
      <c r="H4" s="452">
        <f>huishoudens!H8</f>
        <v>0</v>
      </c>
      <c r="I4" s="452">
        <f>huishoudens!I8</f>
        <v>0</v>
      </c>
      <c r="J4" s="452">
        <f>huishoudens!J8</f>
        <v>0</v>
      </c>
      <c r="K4" s="452">
        <f>huishoudens!K8</f>
        <v>0</v>
      </c>
      <c r="L4" s="452">
        <f>huishoudens!L8</f>
        <v>0</v>
      </c>
      <c r="M4" s="452">
        <f>huishoudens!M8</f>
        <v>0</v>
      </c>
      <c r="N4" s="452">
        <f>huishoudens!N8</f>
        <v>5137.757861824869</v>
      </c>
      <c r="O4" s="452">
        <f>huishoudens!O8</f>
        <v>222.20332057134758</v>
      </c>
      <c r="P4" s="453">
        <f>huishoudens!P8</f>
        <v>379.22253507666085</v>
      </c>
      <c r="Q4" s="454">
        <f>SUM(B4:P4)</f>
        <v>61656.436476604787</v>
      </c>
    </row>
    <row r="5" spans="1:17">
      <c r="A5" s="451" t="s">
        <v>155</v>
      </c>
      <c r="B5" s="452">
        <f ca="1">tertiair!B16</f>
        <v>6386.6976690000001</v>
      </c>
      <c r="C5" s="452">
        <f ca="1">tertiair!C16</f>
        <v>0</v>
      </c>
      <c r="D5" s="452">
        <f ca="1">tertiair!D16</f>
        <v>5604.7322793000012</v>
      </c>
      <c r="E5" s="452">
        <f>tertiair!E16</f>
        <v>66.481229415472114</v>
      </c>
      <c r="F5" s="452">
        <f ca="1">tertiair!F16</f>
        <v>818.29236059183199</v>
      </c>
      <c r="G5" s="452">
        <f>tertiair!G16</f>
        <v>0</v>
      </c>
      <c r="H5" s="452">
        <f>tertiair!H16</f>
        <v>0</v>
      </c>
      <c r="I5" s="452">
        <f>tertiair!I16</f>
        <v>0</v>
      </c>
      <c r="J5" s="452">
        <f>tertiair!J16</f>
        <v>4.6352798512470636E-2</v>
      </c>
      <c r="K5" s="452">
        <f>tertiair!K16</f>
        <v>0</v>
      </c>
      <c r="L5" s="452">
        <f ca="1">tertiair!L16</f>
        <v>0</v>
      </c>
      <c r="M5" s="452">
        <f>tertiair!M16</f>
        <v>0</v>
      </c>
      <c r="N5" s="452">
        <f ca="1">tertiair!N16</f>
        <v>1809.6975957909849</v>
      </c>
      <c r="O5" s="452">
        <f>tertiair!O16</f>
        <v>4.8972607658411542</v>
      </c>
      <c r="P5" s="453">
        <f>tertiair!P16</f>
        <v>52.539138306495019</v>
      </c>
      <c r="Q5" s="451">
        <f t="shared" ref="Q5:Q14" ca="1" si="0">SUM(B5:P5)</f>
        <v>14743.383885969139</v>
      </c>
    </row>
    <row r="6" spans="1:17">
      <c r="A6" s="451" t="s">
        <v>193</v>
      </c>
      <c r="B6" s="452">
        <f>'openbare verlichting'!B8</f>
        <v>555.73800000000006</v>
      </c>
      <c r="C6" s="452"/>
      <c r="D6" s="452"/>
      <c r="E6" s="452"/>
      <c r="F6" s="452"/>
      <c r="G6" s="452"/>
      <c r="H6" s="452"/>
      <c r="I6" s="452"/>
      <c r="J6" s="452"/>
      <c r="K6" s="452"/>
      <c r="L6" s="452"/>
      <c r="M6" s="452"/>
      <c r="N6" s="452"/>
      <c r="O6" s="452"/>
      <c r="P6" s="453"/>
      <c r="Q6" s="451">
        <f t="shared" si="0"/>
        <v>555.73800000000006</v>
      </c>
    </row>
    <row r="7" spans="1:17">
      <c r="A7" s="451" t="s">
        <v>111</v>
      </c>
      <c r="B7" s="452">
        <f>landbouw!B8</f>
        <v>233.21600000000001</v>
      </c>
      <c r="C7" s="452">
        <f>landbouw!C8</f>
        <v>0</v>
      </c>
      <c r="D7" s="452">
        <f>landbouw!D8</f>
        <v>62.637100724000007</v>
      </c>
      <c r="E7" s="452">
        <f>landbouw!E8</f>
        <v>7.2785944548508246</v>
      </c>
      <c r="F7" s="452">
        <f>landbouw!F8</f>
        <v>824.2111789715558</v>
      </c>
      <c r="G7" s="452">
        <f>landbouw!G8</f>
        <v>0</v>
      </c>
      <c r="H7" s="452">
        <f>landbouw!H8</f>
        <v>0</v>
      </c>
      <c r="I7" s="452">
        <f>landbouw!I8</f>
        <v>0</v>
      </c>
      <c r="J7" s="452">
        <f>landbouw!J8</f>
        <v>64.252625338785734</v>
      </c>
      <c r="K7" s="452">
        <f>landbouw!K8</f>
        <v>0</v>
      </c>
      <c r="L7" s="452">
        <f>landbouw!L8</f>
        <v>0</v>
      </c>
      <c r="M7" s="452">
        <f>landbouw!M8</f>
        <v>0</v>
      </c>
      <c r="N7" s="452">
        <f>landbouw!N8</f>
        <v>0</v>
      </c>
      <c r="O7" s="452">
        <f>landbouw!O8</f>
        <v>0</v>
      </c>
      <c r="P7" s="453">
        <f>landbouw!P8</f>
        <v>0</v>
      </c>
      <c r="Q7" s="451">
        <f t="shared" si="0"/>
        <v>1191.5954994891924</v>
      </c>
    </row>
    <row r="8" spans="1:17">
      <c r="A8" s="451" t="s">
        <v>625</v>
      </c>
      <c r="B8" s="452">
        <f>industrie!B18</f>
        <v>670.2600000000001</v>
      </c>
      <c r="C8" s="452">
        <f>industrie!C18</f>
        <v>0</v>
      </c>
      <c r="D8" s="452">
        <f>industrie!D18</f>
        <v>841.13845199999992</v>
      </c>
      <c r="E8" s="452">
        <f>industrie!E18</f>
        <v>96.712630709370856</v>
      </c>
      <c r="F8" s="452">
        <f>industrie!F18</f>
        <v>320.14086967015152</v>
      </c>
      <c r="G8" s="452">
        <f>industrie!G18</f>
        <v>0</v>
      </c>
      <c r="H8" s="452">
        <f>industrie!H18</f>
        <v>0</v>
      </c>
      <c r="I8" s="452">
        <f>industrie!I18</f>
        <v>0</v>
      </c>
      <c r="J8" s="452">
        <f>industrie!J18</f>
        <v>1.6409916082578153</v>
      </c>
      <c r="K8" s="452">
        <f>industrie!K18</f>
        <v>0</v>
      </c>
      <c r="L8" s="452">
        <f>industrie!L18</f>
        <v>0</v>
      </c>
      <c r="M8" s="452">
        <f>industrie!M18</f>
        <v>0</v>
      </c>
      <c r="N8" s="452">
        <f>industrie!N18</f>
        <v>46.039911795688077</v>
      </c>
      <c r="O8" s="452">
        <f>industrie!O18</f>
        <v>0</v>
      </c>
      <c r="P8" s="453">
        <f>industrie!P18</f>
        <v>0</v>
      </c>
      <c r="Q8" s="451">
        <f t="shared" si="0"/>
        <v>1975.9328557834681</v>
      </c>
    </row>
    <row r="9" spans="1:17" s="457" customFormat="1">
      <c r="A9" s="455" t="s">
        <v>551</v>
      </c>
      <c r="B9" s="456">
        <f>transport!B14</f>
        <v>25.554708324605269</v>
      </c>
      <c r="C9" s="456">
        <f>transport!C14</f>
        <v>0</v>
      </c>
      <c r="D9" s="456">
        <f>transport!D14</f>
        <v>93.070603606593565</v>
      </c>
      <c r="E9" s="456">
        <f>transport!E14</f>
        <v>78.473931181357287</v>
      </c>
      <c r="F9" s="456">
        <f>transport!F14</f>
        <v>0</v>
      </c>
      <c r="G9" s="456">
        <f>transport!G14</f>
        <v>34400.529624188188</v>
      </c>
      <c r="H9" s="456">
        <f>transport!H14</f>
        <v>8677.8793544716482</v>
      </c>
      <c r="I9" s="456">
        <f>transport!I14</f>
        <v>0</v>
      </c>
      <c r="J9" s="456">
        <f>transport!J14</f>
        <v>0</v>
      </c>
      <c r="K9" s="456">
        <f>transport!K14</f>
        <v>0</v>
      </c>
      <c r="L9" s="456">
        <f>transport!L14</f>
        <v>0</v>
      </c>
      <c r="M9" s="456">
        <f>transport!M14</f>
        <v>2557.4743120079747</v>
      </c>
      <c r="N9" s="456">
        <f>transport!N14</f>
        <v>0</v>
      </c>
      <c r="O9" s="456">
        <f>transport!O14</f>
        <v>0</v>
      </c>
      <c r="P9" s="456">
        <f>transport!P14</f>
        <v>0</v>
      </c>
      <c r="Q9" s="455">
        <f>SUM(B9:P9)</f>
        <v>45832.982533780363</v>
      </c>
    </row>
    <row r="10" spans="1:17">
      <c r="A10" s="451" t="s">
        <v>541</v>
      </c>
      <c r="B10" s="452">
        <f>transport!B54</f>
        <v>0</v>
      </c>
      <c r="C10" s="452">
        <f>transport!C54</f>
        <v>0</v>
      </c>
      <c r="D10" s="452">
        <f>transport!D54</f>
        <v>0</v>
      </c>
      <c r="E10" s="452">
        <f>transport!E54</f>
        <v>0</v>
      </c>
      <c r="F10" s="452">
        <f>transport!F54</f>
        <v>0</v>
      </c>
      <c r="G10" s="452">
        <f>transport!G54</f>
        <v>901.25440918312495</v>
      </c>
      <c r="H10" s="452">
        <f>transport!H54</f>
        <v>0</v>
      </c>
      <c r="I10" s="452">
        <f>transport!I54</f>
        <v>0</v>
      </c>
      <c r="J10" s="452">
        <f>transport!J54</f>
        <v>0</v>
      </c>
      <c r="K10" s="452">
        <f>transport!K54</f>
        <v>0</v>
      </c>
      <c r="L10" s="452">
        <f>transport!L54</f>
        <v>0</v>
      </c>
      <c r="M10" s="452">
        <f>transport!M54</f>
        <v>50.083938852949998</v>
      </c>
      <c r="N10" s="452">
        <f>transport!N54</f>
        <v>0</v>
      </c>
      <c r="O10" s="452">
        <f>transport!O54</f>
        <v>0</v>
      </c>
      <c r="P10" s="453">
        <f>transport!P54</f>
        <v>0</v>
      </c>
      <c r="Q10" s="451">
        <f t="shared" si="0"/>
        <v>951.33834803607499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191.92770000000002</v>
      </c>
      <c r="C14" s="459"/>
      <c r="D14" s="459">
        <f>'SEAP template'!E25</f>
        <v>279.83780000000002</v>
      </c>
      <c r="E14" s="459"/>
      <c r="F14" s="459"/>
      <c r="G14" s="459"/>
      <c r="H14" s="459"/>
      <c r="I14" s="459"/>
      <c r="J14" s="459"/>
      <c r="K14" s="459"/>
      <c r="L14" s="459"/>
      <c r="M14" s="459"/>
      <c r="N14" s="459"/>
      <c r="O14" s="459"/>
      <c r="P14" s="460"/>
      <c r="Q14" s="451">
        <f t="shared" si="0"/>
        <v>471.76550000000003</v>
      </c>
    </row>
    <row r="15" spans="1:17" s="463" customFormat="1">
      <c r="A15" s="461" t="s">
        <v>545</v>
      </c>
      <c r="B15" s="462">
        <f ca="1">SUM(B4:B14)</f>
        <v>22749.248590278017</v>
      </c>
      <c r="C15" s="462">
        <f t="shared" ref="C15:Q15" ca="1" si="1">SUM(C4:C14)</f>
        <v>0</v>
      </c>
      <c r="D15" s="462">
        <f t="shared" ca="1" si="1"/>
        <v>31142.361586030594</v>
      </c>
      <c r="E15" s="462">
        <f t="shared" si="1"/>
        <v>1952.8467158106873</v>
      </c>
      <c r="F15" s="462">
        <f t="shared" ca="1" si="1"/>
        <v>17229.196974962411</v>
      </c>
      <c r="G15" s="462">
        <f t="shared" si="1"/>
        <v>35301.78403337131</v>
      </c>
      <c r="H15" s="462">
        <f t="shared" si="1"/>
        <v>8677.8793544716482</v>
      </c>
      <c r="I15" s="462">
        <f t="shared" si="1"/>
        <v>0</v>
      </c>
      <c r="J15" s="462">
        <f t="shared" si="1"/>
        <v>65.939969745556027</v>
      </c>
      <c r="K15" s="462">
        <f t="shared" si="1"/>
        <v>0</v>
      </c>
      <c r="L15" s="462">
        <f t="shared" ca="1" si="1"/>
        <v>0</v>
      </c>
      <c r="M15" s="462">
        <f t="shared" si="1"/>
        <v>2607.5582508609245</v>
      </c>
      <c r="N15" s="462">
        <f t="shared" ca="1" si="1"/>
        <v>6993.4953694115411</v>
      </c>
      <c r="O15" s="462">
        <f t="shared" si="1"/>
        <v>227.10058133718874</v>
      </c>
      <c r="P15" s="462">
        <f t="shared" si="1"/>
        <v>431.76167338315588</v>
      </c>
      <c r="Q15" s="462">
        <f t="shared" ca="1" si="1"/>
        <v>127379.17309966302</v>
      </c>
    </row>
    <row r="17" spans="1:17">
      <c r="A17" s="464" t="s">
        <v>546</v>
      </c>
      <c r="B17" s="781">
        <f ca="1">huishoudens!B10</f>
        <v>0.19074391971004681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2801.2374540922142</v>
      </c>
      <c r="C22" s="452">
        <f t="shared" ref="C22:C32" ca="1" si="3">C4*$C$17</f>
        <v>0</v>
      </c>
      <c r="D22" s="452">
        <f t="shared" ref="D22:D32" si="4">D4*$D$17</f>
        <v>4900.7109607807997</v>
      </c>
      <c r="E22" s="452">
        <f t="shared" ref="E22:E32" si="5">E4*$E$17</f>
        <v>386.78537492126742</v>
      </c>
      <c r="F22" s="452">
        <f t="shared" ref="F22:F32" si="6">F4*$F$17</f>
        <v>4076.1695350496097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12164.90332484389</v>
      </c>
    </row>
    <row r="23" spans="1:17">
      <c r="A23" s="451" t="s">
        <v>155</v>
      </c>
      <c r="B23" s="452">
        <f t="shared" ca="1" si="2"/>
        <v>1218.2237473880791</v>
      </c>
      <c r="C23" s="452">
        <f t="shared" ca="1" si="3"/>
        <v>0</v>
      </c>
      <c r="D23" s="452">
        <f t="shared" ca="1" si="4"/>
        <v>1132.1559204186003</v>
      </c>
      <c r="E23" s="452">
        <f t="shared" si="5"/>
        <v>15.091239077312171</v>
      </c>
      <c r="F23" s="452">
        <f t="shared" ca="1" si="6"/>
        <v>218.48406027801914</v>
      </c>
      <c r="G23" s="452">
        <f t="shared" si="7"/>
        <v>0</v>
      </c>
      <c r="H23" s="452">
        <f t="shared" si="8"/>
        <v>0</v>
      </c>
      <c r="I23" s="452">
        <f t="shared" si="9"/>
        <v>0</v>
      </c>
      <c r="J23" s="452">
        <f t="shared" si="10"/>
        <v>1.6408890673414604E-2</v>
      </c>
      <c r="K23" s="452">
        <f t="shared" si="11"/>
        <v>0</v>
      </c>
      <c r="L23" s="452">
        <f t="shared" ca="1" si="12"/>
        <v>0</v>
      </c>
      <c r="M23" s="452">
        <f t="shared" si="13"/>
        <v>0</v>
      </c>
      <c r="N23" s="452">
        <f t="shared" ca="1" si="14"/>
        <v>0</v>
      </c>
      <c r="O23" s="452">
        <f t="shared" si="15"/>
        <v>0</v>
      </c>
      <c r="P23" s="453">
        <f t="shared" si="16"/>
        <v>0</v>
      </c>
      <c r="Q23" s="451">
        <f t="shared" ref="Q23:Q31" ca="1" si="17">SUM(B23:P23)</f>
        <v>2583.9713760526843</v>
      </c>
    </row>
    <row r="24" spans="1:17">
      <c r="A24" s="451" t="s">
        <v>193</v>
      </c>
      <c r="B24" s="452">
        <f t="shared" ca="1" si="2"/>
        <v>106.00364445182201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106.00364445182201</v>
      </c>
    </row>
    <row r="25" spans="1:17">
      <c r="A25" s="451" t="s">
        <v>111</v>
      </c>
      <c r="B25" s="452">
        <f t="shared" ca="1" si="2"/>
        <v>44.484533979098281</v>
      </c>
      <c r="C25" s="452">
        <f t="shared" ca="1" si="3"/>
        <v>0</v>
      </c>
      <c r="D25" s="452">
        <f t="shared" si="4"/>
        <v>12.652694346248003</v>
      </c>
      <c r="E25" s="452">
        <f t="shared" si="5"/>
        <v>1.6522409412511372</v>
      </c>
      <c r="F25" s="452">
        <f t="shared" si="6"/>
        <v>220.06438478540542</v>
      </c>
      <c r="G25" s="452">
        <f t="shared" si="7"/>
        <v>0</v>
      </c>
      <c r="H25" s="452">
        <f t="shared" si="8"/>
        <v>0</v>
      </c>
      <c r="I25" s="452">
        <f t="shared" si="9"/>
        <v>0</v>
      </c>
      <c r="J25" s="452">
        <f t="shared" si="10"/>
        <v>22.74542936993015</v>
      </c>
      <c r="K25" s="452">
        <f t="shared" si="11"/>
        <v>0</v>
      </c>
      <c r="L25" s="452">
        <f t="shared" si="12"/>
        <v>0</v>
      </c>
      <c r="M25" s="452">
        <f t="shared" si="13"/>
        <v>0</v>
      </c>
      <c r="N25" s="452">
        <f t="shared" si="14"/>
        <v>0</v>
      </c>
      <c r="O25" s="452">
        <f t="shared" si="15"/>
        <v>0</v>
      </c>
      <c r="P25" s="453">
        <f t="shared" si="16"/>
        <v>0</v>
      </c>
      <c r="Q25" s="451">
        <f t="shared" ca="1" si="17"/>
        <v>301.59928342193297</v>
      </c>
    </row>
    <row r="26" spans="1:17">
      <c r="A26" s="451" t="s">
        <v>625</v>
      </c>
      <c r="B26" s="452">
        <f t="shared" ca="1" si="2"/>
        <v>127.84801962485599</v>
      </c>
      <c r="C26" s="452">
        <f t="shared" ca="1" si="3"/>
        <v>0</v>
      </c>
      <c r="D26" s="452">
        <f t="shared" si="4"/>
        <v>169.90996730399999</v>
      </c>
      <c r="E26" s="452">
        <f t="shared" si="5"/>
        <v>21.953767171027184</v>
      </c>
      <c r="F26" s="452">
        <f t="shared" si="6"/>
        <v>85.477612201930455</v>
      </c>
      <c r="G26" s="452">
        <f t="shared" si="7"/>
        <v>0</v>
      </c>
      <c r="H26" s="452">
        <f t="shared" si="8"/>
        <v>0</v>
      </c>
      <c r="I26" s="452">
        <f t="shared" si="9"/>
        <v>0</v>
      </c>
      <c r="J26" s="452">
        <f t="shared" si="10"/>
        <v>0.58091102932326655</v>
      </c>
      <c r="K26" s="452">
        <f t="shared" si="11"/>
        <v>0</v>
      </c>
      <c r="L26" s="452">
        <f t="shared" si="12"/>
        <v>0</v>
      </c>
      <c r="M26" s="452">
        <f t="shared" si="13"/>
        <v>0</v>
      </c>
      <c r="N26" s="452">
        <f t="shared" si="14"/>
        <v>0</v>
      </c>
      <c r="O26" s="452">
        <f t="shared" si="15"/>
        <v>0</v>
      </c>
      <c r="P26" s="453">
        <f t="shared" si="16"/>
        <v>0</v>
      </c>
      <c r="Q26" s="451">
        <f t="shared" ca="1" si="17"/>
        <v>405.77027733113692</v>
      </c>
    </row>
    <row r="27" spans="1:17" s="457" customFormat="1">
      <c r="A27" s="455" t="s">
        <v>551</v>
      </c>
      <c r="B27" s="775">
        <f t="shared" ca="1" si="2"/>
        <v>4.8744052328821725</v>
      </c>
      <c r="C27" s="456">
        <f t="shared" ca="1" si="3"/>
        <v>0</v>
      </c>
      <c r="D27" s="456">
        <f t="shared" si="4"/>
        <v>18.800261928531903</v>
      </c>
      <c r="E27" s="456">
        <f t="shared" si="5"/>
        <v>17.813582378168103</v>
      </c>
      <c r="F27" s="456">
        <f t="shared" si="6"/>
        <v>0</v>
      </c>
      <c r="G27" s="456">
        <f t="shared" si="7"/>
        <v>9184.9414096582459</v>
      </c>
      <c r="H27" s="456">
        <f t="shared" si="8"/>
        <v>2160.7919592634403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11387.221618461268</v>
      </c>
    </row>
    <row r="28" spans="1:17" ht="16.5" customHeight="1">
      <c r="A28" s="451" t="s">
        <v>541</v>
      </c>
      <c r="B28" s="452">
        <f t="shared" ca="1" si="2"/>
        <v>0</v>
      </c>
      <c r="C28" s="452">
        <f t="shared" ca="1" si="3"/>
        <v>0</v>
      </c>
      <c r="D28" s="452">
        <f t="shared" si="4"/>
        <v>0</v>
      </c>
      <c r="E28" s="452">
        <f t="shared" si="5"/>
        <v>0</v>
      </c>
      <c r="F28" s="452">
        <f t="shared" si="6"/>
        <v>0</v>
      </c>
      <c r="G28" s="452">
        <f t="shared" si="7"/>
        <v>240.63492725189437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240.63492725189437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36.609041798933951</v>
      </c>
      <c r="C32" s="452">
        <f t="shared" ca="1" si="3"/>
        <v>0</v>
      </c>
      <c r="D32" s="452">
        <f t="shared" si="4"/>
        <v>56.527235600000004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93.136277398933956</v>
      </c>
    </row>
    <row r="33" spans="1:17" s="463" customFormat="1">
      <c r="A33" s="461" t="s">
        <v>545</v>
      </c>
      <c r="B33" s="462">
        <f ca="1">SUM(B22:B32)</f>
        <v>4339.2808465678845</v>
      </c>
      <c r="C33" s="462">
        <f t="shared" ref="C33:Q33" ca="1" si="19">SUM(C22:C32)</f>
        <v>0</v>
      </c>
      <c r="D33" s="462">
        <f t="shared" ca="1" si="19"/>
        <v>6290.7570403781792</v>
      </c>
      <c r="E33" s="462">
        <f t="shared" si="19"/>
        <v>443.29620448902608</v>
      </c>
      <c r="F33" s="462">
        <f t="shared" ca="1" si="19"/>
        <v>4600.1955923149644</v>
      </c>
      <c r="G33" s="462">
        <f t="shared" si="19"/>
        <v>9425.5763369101405</v>
      </c>
      <c r="H33" s="462">
        <f t="shared" si="19"/>
        <v>2160.7919592634403</v>
      </c>
      <c r="I33" s="462">
        <f t="shared" si="19"/>
        <v>0</v>
      </c>
      <c r="J33" s="462">
        <f t="shared" si="19"/>
        <v>23.342749289926832</v>
      </c>
      <c r="K33" s="462">
        <f t="shared" si="19"/>
        <v>0</v>
      </c>
      <c r="L33" s="462">
        <f t="shared" ca="1" si="19"/>
        <v>0</v>
      </c>
      <c r="M33" s="462">
        <f t="shared" si="19"/>
        <v>0</v>
      </c>
      <c r="N33" s="462">
        <f t="shared" ca="1" si="19"/>
        <v>0</v>
      </c>
      <c r="O33" s="462">
        <f t="shared" si="19"/>
        <v>0</v>
      </c>
      <c r="P33" s="462">
        <f t="shared" si="19"/>
        <v>0</v>
      </c>
      <c r="Q33" s="462">
        <f t="shared" ca="1" si="19"/>
        <v>27283.240729213565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3114.4936284323803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3114.4936284323803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0.19074391971004681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0.19074391971004681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2020-06-20T15:36:52Z</dcterms:modified>
</cp:coreProperties>
</file>