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C6" i="17" s="1"/>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B48" i="13" s="1"/>
  <c r="C48" i="13" s="1"/>
  <c r="N5" i="13" s="1"/>
  <c r="N8" i="13" s="1"/>
  <c r="N4" i="48" s="1"/>
  <c r="N22" i="48" s="1"/>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<sst xmlns="http://schemas.openxmlformats.org/spreadsheetml/2006/main" count="2402" uniqueCount="888">
  <si>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</si>
  <si>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</si>
  <si>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</si>
  <si>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</si>
  <si>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</si>
  <si>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</si>
  <si>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</si>
  <si>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</si>
  <si>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</si>
  <si>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</si>
  <si>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</si>
  <si>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</si>
  <si>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</si>
  <si>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</si>
  <si>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</si>
  <si>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</si>
  <si>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</si>
  <si>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</si>
  <si>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</si>
  <si>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</si>
  <si>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</si>
  <si>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</si>
  <si>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</si>
  <si>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</si>
  <si>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</si>
  <si>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</si>
  <si>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</si>
  <si>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</si>
  <si>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</si>
  <si>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</si>
  <si>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</si>
  <si>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</si>
  <si>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</si>
  <si>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</si>
  <si>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</si>
  <si>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</si>
  <si>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</si>
  <si>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</si>
  <si>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</si>
  <si>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</si>
  <si>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</si>
  <si>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</si>
  <si>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</si>
  <si>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</si>
  <si>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</si>
  <si>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</si>
  <si>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</si>
  <si>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</si>
  <si>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</si>
  <si>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</si>
  <si>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</si>
  <si>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</si>
  <si>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</si>
  <si>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</si>
  <si>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</si>
  <si>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</si>
  <si>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</si>
  <si>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</si>
  <si>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</si>
  <si>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</si>
  <si>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</si>
  <si>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</si>
  <si>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</si>
  <si>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</si>
  <si>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</si>
  <si>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</si>
  <si>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</si>
  <si>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</si>
  <si>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</si>
  <si>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</si>
  <si>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</si>
  <si>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</si>
  <si>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</si>
  <si>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</si>
  <si>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</si>
  <si>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</si>
  <si>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</si>
  <si>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</si>
  <si>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</si>
  <si>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</si>
  <si>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</si>
  <si>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</si>
  <si>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</si>
  <si>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</si>
  <si>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</si>
  <si>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</si>
  <si>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</si>
  <si>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</si>
  <si>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</si>
  <si>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</si>
  <si>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</si>
  <si>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</si>
  <si>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</si>
  <si>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</si>
  <si>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</si>
  <si>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</si>
  <si>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</si>
  <si>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</si>
  <si>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</si>
  <si>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</si>
  <si>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</si>
  <si>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</si>
  <si>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</si>
  <si>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</si>
  <si>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</si>
  <si>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</si>
  <si>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</si>
  <si>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</si>
  <si>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</si>
  <si>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</si>
  <si>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</si>
  <si>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</si>
  <si>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</si>
  <si>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</si>
  <si>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</si>
  <si>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</si>
  <si>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</si>
  <si>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</si>
  <si>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</si>
  <si>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</si>
  <si>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</si>
  <si>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</si>
  <si>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</si>
  <si>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</si>
  <si>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</si>
  <si>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</si>
  <si>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</si>
  <si>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</si>
  <si>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</si>
  <si>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</si>
  <si>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</si>
  <si>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</si>
  <si>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</si>
  <si>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</si>
  <si>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</si>
  <si>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</si>
  <si>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</si>
  <si>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</si>
  <si>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</si>
  <si>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</si>
  <si>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</si>
  <si>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</si>
  <si>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</si>
  <si>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</si>
  <si>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</si>
  <si>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</si>
  <si>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</si>
  <si>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</si>
  <si>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</si>
  <si>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</si>
  <si>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</si>
  <si>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</si>
  <si>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</si>
  <si>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</si>
  <si>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</si>
  <si>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</si>
  <si>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</si>
  <si>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</si>
  <si>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</si>
  <si>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</si>
  <si>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</si>
  <si>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</si>
  <si>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</si>
  <si>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</si>
  <si>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</si>
  <si>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</si>
  <si>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</si>
  <si>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</si>
  <si>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</si>
  <si>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</si>
  <si>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</si>
  <si>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</si>
  <si>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</si>
  <si>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</si>
  <si>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</si>
  <si>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</si>
  <si>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</si>
  <si>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</si>
  <si>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</si>
  <si>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</si>
  <si>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</si>
  <si>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</si>
  <si>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</si>
  <si>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</si>
  <si>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</si>
  <si>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</si>
  <si>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</si>
  <si>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</si>
  <si>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</si>
  <si>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</si>
  <si>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</si>
  <si>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</si>
  <si>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</si>
  <si>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</si>
  <si>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</si>
  <si>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</si>
  <si>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</si>
  <si>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</si>
  <si>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</si>
  <si>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</si>
  <si>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</si>
  <si>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</si>
  <si>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</si>
  <si>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</si>
  <si>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</si>
  <si>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</si>
  <si>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</si>
  <si>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</si>
  <si>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</si>
  <si>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</si>
  <si>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</si>
  <si>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</si>
  <si>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</si>
  <si>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</si>
  <si>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</si>
  <si>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</si>
  <si>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</si>
  <si>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</si>
  <si>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</si>
  <si>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</si>
  <si>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</si>
  <si>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</si>
  <si>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</si>
  <si>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</si>
  <si>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</si>
  <si>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</si>
  <si>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</si>
  <si>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</si>
  <si>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</si>
  <si>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</si>
  <si>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</si>
  <si>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</si>
  <si>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</si>
  <si>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</si>
  <si>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</si>
  <si>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</si>
  <si>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</si>
  <si>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</si>
  <si>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</si>
  <si>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</si>
  <si>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</si>
  <si>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</si>
  <si>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</si>
  <si>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</si>
  <si>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</si>
  <si>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</si>
  <si>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</si>
  <si>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</si>
  <si>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</si>
  <si>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</si>
  <si>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</si>
  <si>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</si>
  <si>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</si>
  <si>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</si>
  <si>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</si>
  <si>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</si>
  <si>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</si>
  <si>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</si>
  <si>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</si>
  <si>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</si>
  <si>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</si>
  <si>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</si>
  <si>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</si>
  <si>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</si>
  <si>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</si>
  <si>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</si>
  <si>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</si>
  <si>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</si>
  <si>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</si>
  <si>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</si>
  <si>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</si>
  <si>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</si>
  <si>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</si>
  <si>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</si>
  <si>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</si>
  <si>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</si>
  <si>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</si>
  <si>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</si>
  <si>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</si>
  <si>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</si>
  <si>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</si>
  <si>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</si>
  <si>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</si>
  <si>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</si>
  <si>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</si>
  <si>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</si>
  <si>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</si>
  <si>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</si>
  <si>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</si>
  <si>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</si>
  <si>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</si>
  <si>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</si>
  <si>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</si>
  <si>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</si>
  <si>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</si>
  <si>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</si>
  <si>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</si>
  <si>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</si>
  <si>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</si>
  <si>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</si>
  <si>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</si>
  <si>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</si>
  <si>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</si>
  <si>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</si>
  <si>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</si>
  <si>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</si>
  <si>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</si>
  <si>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</si>
  <si>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</si>
  <si>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</si>
  <si>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</si>
  <si>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</si>
  <si>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</si>
  <si>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</si>
  <si>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</si>
  <si>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</si>
  <si>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</si>
  <si>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</si>
  <si>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</si>
  <si>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</si>
  <si>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</si>
  <si>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</si>
  <si>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</si>
  <si>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</si>
  <si>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</si>
  <si>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</si>
  <si>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</si>
  <si>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</si>
  <si>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</si>
  <si>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</si>
  <si>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</si>
  <si>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</si>
  <si>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</si>
  <si>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</si>
  <si>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</si>
  <si>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</si>
  <si>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</si>
  <si>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</si>
  <si>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</si>
  <si>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</si>
  <si>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</si>
  <si>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</si>
  <si>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</si>
  <si>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</si>
  <si>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</si>
  <si>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</si>
  <si>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</si>
  <si>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</si>
  <si>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</si>
  <si>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</si>
  <si>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</si>
  <si>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</si>
  <si>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</si>
  <si>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</si>
  <si>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</si>
  <si>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</si>
  <si>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</si>
  <si>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</si>
  <si>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</si>
  <si>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</si>
  <si>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</si>
  <si>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</si>
  <si>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</si>
  <si>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</si>
  <si>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</si>
  <si>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</si>
  <si>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</si>
  <si>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</si>
  <si>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</si>
  <si>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</si>
  <si>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</si>
  <si>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</si>
  <si>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</si>
  <si>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</si>
  <si>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</si>
  <si>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</si>
  <si>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</si>
  <si>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</si>
  <si>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</si>
  <si>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</si>
  <si>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</si>
  <si>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</si>
  <si>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</si>
  <si>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</si>
  <si>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</si>
  <si>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</si>
  <si>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</si>
  <si>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</si>
  <si>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</si>
  <si>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</si>
  <si>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</si>
  <si>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</si>
  <si>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</si>
  <si>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</si>
  <si>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</si>
  <si>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</si>
  <si>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</si>
  <si>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</si>
  <si>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</si>
  <si>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</si>
  <si>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</si>
  <si>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</si>
  <si>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</si>
  <si>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</si>
  <si>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</si>
  <si>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</si>
  <si>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</si>
  <si>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</si>
  <si>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</si>
  <si>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</si>
  <si>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</si>
  <si>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</si>
  <si>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</si>
  <si>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</si>
  <si>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</si>
  <si>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</si>
  <si>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</si>
  <si>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</si>
  <si>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</si>
  <si>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</si>
  <si>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</si>
  <si>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</si>
  <si>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</si>
  <si>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</si>
  <si>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</si>
  <si>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</si>
  <si>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</si>
  <si>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</si>
  <si>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</si>
  <si>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</si>
  <si>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</si>
  <si>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</si>
  <si>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</si>
  <si>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</si>
  <si>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</si>
  <si>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</si>
  <si>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</si>
  <si>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</si>
  <si>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</si>
  <si>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</si>
  <si>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</si>
  <si>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</si>
  <si>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</si>
  <si>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</si>
  <si>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</si>
  <si>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</si>
  <si>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</si>
  <si>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</si>
  <si>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</si>
  <si>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</si>
  <si>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</si>
  <si>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</si>
  <si>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</si>
  <si>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</si>
  <si>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</si>
  <si>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</si>
  <si>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</si>
  <si>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</si>
  <si>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</si>
  <si>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</si>
  <si>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</si>
  <si>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</si>
  <si>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</si>
  <si>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</si>
  <si>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</si>
  <si>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</si>
  <si>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</si>
  <si>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</si>
  <si>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</si>
  <si>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</si>
  <si>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</si>
  <si>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</si>
  <si>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</si>
  <si>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</si>
  <si>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</si>
  <si>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</si>
  <si>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</si>
  <si>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</si>
  <si>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</si>
  <si>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</si>
  <si>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</si>
  <si>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</si>
  <si>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</si>
  <si>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</si>
  <si>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</si>
  <si>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</si>
  <si>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</si>
  <si>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</si>
  <si>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</si>
  <si>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</si>
  <si>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</si>
  <si>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</si>
  <si>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</si>
  <si>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</si>
  <si>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</si>
  <si>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</si>
  <si>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</si>
  <si>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</si>
  <si>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</si>
  <si>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</si>
  <si>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</si>
  <si>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</si>
  <si>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</si>
  <si>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</si>
  <si>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</si>
  <si>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</si>
  <si>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</si>
  <si>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</si>
  <si>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</si>
  <si>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</si>
  <si>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</si>
  <si>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</si>
  <si>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</si>
  <si>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</si>
  <si>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</si>
  <si>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</si>
  <si>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</si>
  <si>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</si>
  <si>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</si>
  <si>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</si>
  <si>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</si>
  <si>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</si>
  <si>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</si>
  <si>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</si>
  <si>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</si>
  <si>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</si>
  <si>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</si>
  <si>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</si>
  <si>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</si>
  <si>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</si>
  <si>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</si>
  <si>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</si>
  <si>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</si>
  <si>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</si>
  <si>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</si>
  <si>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</si>
  <si>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</si>
  <si>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</si>
  <si>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</si>
  <si>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</si>
  <si>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</si>
  <si>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</si>
  <si>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</si>
  <si>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</si>
  <si>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</si>
  <si>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</si>
  <si>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</si>
  <si>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</si>
  <si>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</si>
  <si>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</si>
  <si>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</si>
  <si>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</si>
  <si>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</si>
  <si>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</si>
  <si>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</si>
  <si>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</si>
  <si>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</si>
  <si>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</si>
  <si>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</si>
  <si>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</si>
  <si>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</si>
  <si>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</si>
  <si>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</si>
  <si>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</si>
  <si>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</si>
  <si>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</si>
  <si>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</si>
  <si>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</si>
  <si>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</si>
  <si>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</si>
  <si>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</si>
  <si>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</si>
  <si>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</si>
  <si>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</si>
  <si>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</si>
  <si>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</si>
  <si>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</si>
  <si>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</si>
  <si>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</si>
  <si>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</si>
  <si>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</si>
  <si>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</si>
  <si>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</si>
  <si>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</si>
  <si>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</si>
  <si>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</si>
  <si>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</si>
  <si>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</si>
  <si>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</si>
  <si>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</si>
  <si>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</si>
  <si>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</si>
  <si>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</si>
  <si>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</si>
  <si>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</si>
  <si>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</si>
  <si>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</si>
  <si>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</si>
  <si>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</si>
  <si>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</si>
  <si>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</si>
  <si>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</si>
  <si>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</si>
  <si>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</si>
  <si>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</si>
  <si>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</si>
  <si>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</si>
  <si>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</si>
  <si>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</si>
  <si>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</si>
  <si>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</si>
  <si>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</si>
  <si>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</si>
  <si>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</si>
  <si>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</si>
  <si>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</si>
  <si>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</si>
  <si>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</si>
  <si>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</si>
  <si>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</si>
  <si>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</si>
  <si>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</si>
  <si>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</si>
  <si>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</si>
  <si>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</si>
  <si>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</si>
  <si>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</si>
  <si>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</si>
  <si>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</si>
  <si>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</si>
  <si>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</si>
  <si>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</si>
  <si>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</si>
  <si>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</si>
  <si>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</si>
  <si>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</si>
  <si>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</si>
  <si>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</si>
  <si>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</si>
  <si>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</si>
  <si>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</si>
  <si>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</si>
  <si>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</si>
  <si>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</si>
  <si>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</si>
  <si>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</si>
  <si>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</si>
  <si>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</si>
  <si>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</si>
  <si>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</si>
  <si>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</si>
  <si>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</si>
  <si>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</si>
  <si>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</si>
  <si>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</si>
  <si>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</si>
  <si>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</si>
  <si>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</si>
  <si>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</si>
  <si>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</si>
  <si>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</si>
  <si>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</si>
  <si>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</si>
  <si>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</si>
  <si>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</si>
  <si>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</si>
  <si>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</si>
  <si>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</si>
  <si>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</si>
  <si>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</si>
  <si>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</si>
  <si>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</si>
  <si>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</si>
  <si>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</si>
  <si>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</si>
  <si>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</si>
  <si>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</si>
  <si>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</si>
  <si>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</si>
  <si>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</si>
  <si>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</si>
  <si>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</si>
  <si>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</si>
  <si>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</si>
  <si>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</si>
  <si>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</si>
  <si>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</si>
  <si>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</si>
  <si>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</si>
  <si>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</si>
  <si>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</si>
  <si>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</si>
  <si>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</si>
  <si>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</si>
  <si>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</si>
  <si>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</si>
  <si>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</si>
  <si>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</si>
  <si>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</si>
  <si>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</si>
  <si>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</si>
  <si>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</si>
  <si>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</si>
  <si>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</si>
  <si>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</si>
  <si>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</si>
  <si>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</si>
  <si>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</si>
  <si>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</si>
  <si>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</si>
  <si>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</si>
  <si>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</si>
  <si>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</si>
  <si>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</si>
  <si>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</si>
  <si>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</si>
  <si>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</si>
  <si>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</si>
  <si>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</si>
  <si>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</si>
  <si>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</si>
  <si>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</si>
  <si>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</si>
  <si>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</si>
  <si>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</si>
  <si>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</si>
  <si>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</si>
  <si>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</si>
  <si>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</si>
  <si>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</si>
  <si>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</si>
  <si>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</si>
  <si>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</si>
  <si>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</si>
  <si>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</si>
  <si>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</si>
  <si>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</si>
  <si>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</si>
  <si>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</si>
  <si>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</si>
  <si>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</si>
  <si>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</si>
  <si>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</si>
  <si>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</si>
  <si>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</si>
  <si>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</si>
  <si>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</si>
  <si>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</si>
  <si>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</si>
  <si>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</si>
  <si>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</si>
  <si>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</si>
  <si>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</si>
  <si>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</si>
  <si>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</si>
  <si>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</si>
  <si>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</si>
  <si>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</si>
  <si>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</si>
  <si>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</si>
  <si>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</si>
  <si>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</si>
  <si>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</si>
  <si>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</si>
  <si>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</si>
  <si>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</si>
  <si>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</si>
  <si>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</si>
  <si>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</si>
  <si>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</si>
  <si>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</si>
  <si>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</si>
  <si>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</si>
  <si>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</si>
  <si>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</si>
  <si>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</si>
  <si>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</si>
  <si>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</si>
  <si>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</si>
  <si>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</si>
  <si>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</si>
  <si>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</si>
  <si>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</si>
  <si>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</si>
  <si>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</si>
  <si>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</si>
  <si>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</si>
  <si>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</si>
  <si>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</si>
  <si>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</si>
  <si>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</si>
  <si>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</si>
  <si>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</si>
  <si>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</si>
  <si>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</si>
  <si>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</si>
  <si>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</si>
  <si>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</si>
  <si>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</si>
  <si>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</si>
  <si>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</si>
  <si>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</si>
  <si>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</si>
  <si>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</si>
  <si>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</si>
  <si>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</si>
  <si>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</si>
  <si>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</si>
  <si>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</si>
  <si>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</si>
  <si>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</si>
  <si>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</si>
  <si>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</si>
  <si>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</si>
  <si>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</si>
  <si>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</si>
  <si>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</si>
  <si>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</si>
  <si>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</si>
  <si>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</si>
  <si>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</si>
  <si>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</si>
  <si>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</si>
  <si>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</si>
  <si>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</si>
  <si>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</si>
  <si>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</si>
  <si>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</si>
  <si>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</si>
  <si>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</si>
  <si>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</si>
  <si>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</si>
  <si>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</si>
  <si>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</si>
  <si>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</si>
  <si>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</si>
  <si>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</si>
  <si>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</si>
  <si>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</si>
  <si>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</si>
  <si>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</si>
  <si>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</si>
  <si>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</si>
  <si>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</si>
  <si>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</si>
  <si>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</si>
  <si>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</si>
  <si>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</si>
  <si>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</si>
  <si>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</si>
  <si>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</si>
  <si>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</si>
  <si>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</si>
  <si>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</si>
  <si>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</si>
  <si>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</si>
  <si>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</si>
  <si>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</si>
  <si>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</si>
  <si>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</si>
  <si>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</si>
  <si>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</si>
  <si>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</si>
  <si>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</si>
  <si>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</si>
  <si>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</si>
  <si>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</si>
  <si>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</si>
  <si>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</si>
  <si>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</si>
  <si>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</si>
  <si>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</si>
  <si>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</si>
  <si>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</si>
  <si>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</si>
  <si>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</si>
  <si>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</si>
  <si>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</si>
  <si>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</si>
  <si>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</si>
  <si>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</si>
  <si>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</si>
  <si>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</si>
  <si>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</si>
  <si>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</si>
  <si>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45062</t>
  </si>
  <si>
    <t>HOREBEKE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</si>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</sst>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18867.363551715411</c:v>
                </c:pt>
                <c:pt idx="1">
                  <c:v>5790.276655124364</c:v>
                </c:pt>
                <c:pt idx="2">
                  <c:v>99.367000000000004</c:v>
                </c:pt>
                <c:pt idx="3">
                  <c:v>1794.8498385160053</c:v>
                </c:pt>
                <c:pt idx="4">
                  <c:v>469.87424682773207</c:v>
                </c:pt>
                <c:pt idx="5">
                  <c:v>10051.967043418885</c:v>
                </c:pt>
                <c:pt idx="6">
                  <c:v>181.22968208480449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18867.363551715411</c:v>
                </c:pt>
                <c:pt idx="1">
                  <c:v>5790.276655124364</c:v>
                </c:pt>
                <c:pt idx="2">
                  <c:v>99.367000000000004</c:v>
                </c:pt>
                <c:pt idx="3">
                  <c:v>1794.8498385160053</c:v>
                </c:pt>
                <c:pt idx="4">
                  <c:v>469.87424682773207</c:v>
                </c:pt>
                <c:pt idx="5">
                  <c:v>10051.967043418885</c:v>
                </c:pt>
                <c:pt idx="6">
                  <c:v>181.22968208480449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3728.691700347832</c:v>
                </c:pt>
                <c:pt idx="1">
                  <c:v>1135.3354053446085</c:v>
                </c:pt>
                <c:pt idx="2">
                  <c:v>19.012087289005784</c:v>
                </c:pt>
                <c:pt idx="3">
                  <c:v>459.59346629628703</c:v>
                </c:pt>
                <c:pt idx="4">
                  <c:v>97.021195685325864</c:v>
                </c:pt>
                <c:pt idx="5">
                  <c:v>2496.9063525197007</c:v>
                </c:pt>
                <c:pt idx="6">
                  <c:v>45.840884533235666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3728.691700347832</c:v>
                </c:pt>
                <c:pt idx="1">
                  <c:v>1135.3354053446085</c:v>
                </c:pt>
                <c:pt idx="2">
                  <c:v>19.012087289005784</c:v>
                </c:pt>
                <c:pt idx="3">
                  <c:v>459.59346629628703</c:v>
                </c:pt>
                <c:pt idx="4">
                  <c:v>97.021195685325864</c:v>
                </c:pt>
                <c:pt idx="5">
                  <c:v>2496.9063525197007</c:v>
                </c:pt>
                <c:pt idx="6">
                  <c:v>45.840884533235666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45062</v>
      </c>
      <c r="B6" s="390"/>
      <c r="C6" s="391"/>
    </row>
    <row r="7" spans="1:7" s="388" customFormat="1" ht="15.75" customHeight="1">
      <c r="A7" s="392" t="str">
        <f>txtMunicipality</f>
        <v>HOREBEKE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0.19133200447840615</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0.19133200447840615</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756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752.11</v>
      </c>
      <c r="C14" s="330"/>
      <c r="D14" s="330"/>
      <c r="E14" s="330"/>
      <c r="F14" s="330"/>
    </row>
    <row r="15" spans="1:6">
      <c r="A15" s="1298" t="s">
        <v>183</v>
      </c>
      <c r="B15" s="1299">
        <v>6</v>
      </c>
      <c r="C15" s="330"/>
      <c r="D15" s="330"/>
      <c r="E15" s="330"/>
      <c r="F15" s="330"/>
    </row>
    <row r="16" spans="1:6">
      <c r="A16" s="1298" t="s">
        <v>6</v>
      </c>
      <c r="B16" s="1299">
        <v>368</v>
      </c>
      <c r="C16" s="330"/>
      <c r="D16" s="330"/>
      <c r="E16" s="330"/>
      <c r="F16" s="330"/>
    </row>
    <row r="17" spans="1:6">
      <c r="A17" s="1298" t="s">
        <v>7</v>
      </c>
      <c r="B17" s="1299">
        <v>89</v>
      </c>
      <c r="C17" s="330"/>
      <c r="D17" s="330"/>
      <c r="E17" s="330"/>
      <c r="F17" s="330"/>
    </row>
    <row r="18" spans="1:6">
      <c r="A18" s="1298" t="s">
        <v>8</v>
      </c>
      <c r="B18" s="1299">
        <v>233</v>
      </c>
      <c r="C18" s="330"/>
      <c r="D18" s="330"/>
      <c r="E18" s="330"/>
      <c r="F18" s="330"/>
    </row>
    <row r="19" spans="1:6">
      <c r="A19" s="1298" t="s">
        <v>9</v>
      </c>
      <c r="B19" s="1299">
        <v>329</v>
      </c>
      <c r="C19" s="330"/>
      <c r="D19" s="330"/>
      <c r="E19" s="330"/>
      <c r="F19" s="330"/>
    </row>
    <row r="20" spans="1:6">
      <c r="A20" s="1298" t="s">
        <v>10</v>
      </c>
      <c r="B20" s="1299">
        <v>160</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35</v>
      </c>
      <c r="C26" s="330"/>
      <c r="D26" s="330"/>
      <c r="E26" s="330"/>
      <c r="F26" s="330"/>
    </row>
    <row r="27" spans="1:6">
      <c r="A27" s="1298" t="s">
        <v>17</v>
      </c>
      <c r="B27" s="1299">
        <v>0</v>
      </c>
      <c r="C27" s="330"/>
      <c r="D27" s="330"/>
      <c r="E27" s="330"/>
      <c r="F27" s="330"/>
    </row>
    <row r="28" spans="1:6" s="43" customFormat="1">
      <c r="A28" s="1300" t="s">
        <v>18</v>
      </c>
      <c r="B28" s="1301">
        <v>36004</v>
      </c>
      <c r="C28" s="336"/>
      <c r="D28" s="336"/>
      <c r="E28" s="336"/>
      <c r="F28" s="336"/>
    </row>
    <row r="29" spans="1:6">
      <c r="A29" s="1300" t="s">
        <v>705</v>
      </c>
      <c r="B29" s="1301">
        <v>57</v>
      </c>
      <c r="C29" s="336"/>
      <c r="D29" s="336"/>
      <c r="E29" s="336"/>
      <c r="F29" s="336"/>
    </row>
    <row r="30" spans="1:6">
      <c r="A30" s="1293" t="s">
        <v>706</v>
      </c>
      <c r="B30" s="1302">
        <v>0</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0</v>
      </c>
      <c r="F38" s="1299">
        <v>0</v>
      </c>
    </row>
    <row r="39" spans="1:6">
      <c r="A39" s="1298" t="s">
        <v>29</v>
      </c>
      <c r="B39" s="1298" t="s">
        <v>30</v>
      </c>
      <c r="C39" s="1299">
        <v>206</v>
      </c>
      <c r="D39" s="1299">
        <v>3380895.2540000002</v>
      </c>
      <c r="E39" s="1299">
        <v>710</v>
      </c>
      <c r="F39" s="1299">
        <v>3083198.145</v>
      </c>
    </row>
    <row r="40" spans="1:6">
      <c r="A40" s="1298" t="s">
        <v>29</v>
      </c>
      <c r="B40" s="1298" t="s">
        <v>28</v>
      </c>
      <c r="C40" s="1299">
        <v>0</v>
      </c>
      <c r="D40" s="1299">
        <v>0</v>
      </c>
      <c r="E40" s="1299">
        <v>0</v>
      </c>
      <c r="F40" s="1299">
        <v>0</v>
      </c>
    </row>
    <row r="41" spans="1:6">
      <c r="A41" s="1298" t="s">
        <v>31</v>
      </c>
      <c r="B41" s="1298" t="s">
        <v>32</v>
      </c>
      <c r="C41" s="1299">
        <v>5</v>
      </c>
      <c r="D41" s="1299">
        <v>11832.08</v>
      </c>
      <c r="E41" s="1299">
        <v>18</v>
      </c>
      <c r="F41" s="1299">
        <v>74616.798999999999</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0</v>
      </c>
      <c r="F44" s="1299">
        <v>0</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8</v>
      </c>
      <c r="D48" s="1299">
        <v>163706.04399999999</v>
      </c>
      <c r="E48" s="1299">
        <v>9</v>
      </c>
      <c r="F48" s="1299">
        <v>117071.234</v>
      </c>
    </row>
    <row r="49" spans="1:6">
      <c r="A49" s="1298" t="s">
        <v>31</v>
      </c>
      <c r="B49" s="1298" t="s">
        <v>39</v>
      </c>
      <c r="C49" s="1299">
        <v>0</v>
      </c>
      <c r="D49" s="1299">
        <v>0</v>
      </c>
      <c r="E49" s="1299">
        <v>0</v>
      </c>
      <c r="F49" s="1299">
        <v>0</v>
      </c>
    </row>
    <row r="50" spans="1:6">
      <c r="A50" s="1298" t="s">
        <v>31</v>
      </c>
      <c r="B50" s="1298" t="s">
        <v>40</v>
      </c>
      <c r="C50" s="1299">
        <v>0</v>
      </c>
      <c r="D50" s="1299">
        <v>0</v>
      </c>
      <c r="E50" s="1299">
        <v>0</v>
      </c>
      <c r="F50" s="1299">
        <v>0</v>
      </c>
    </row>
    <row r="51" spans="1:6">
      <c r="A51" s="1298" t="s">
        <v>41</v>
      </c>
      <c r="B51" s="1298" t="s">
        <v>42</v>
      </c>
      <c r="C51" s="1299">
        <v>0</v>
      </c>
      <c r="D51" s="1299">
        <v>0</v>
      </c>
      <c r="E51" s="1299">
        <v>20</v>
      </c>
      <c r="F51" s="1299">
        <v>314239.27600000001</v>
      </c>
    </row>
    <row r="52" spans="1:6">
      <c r="A52" s="1298" t="s">
        <v>41</v>
      </c>
      <c r="B52" s="1298" t="s">
        <v>28</v>
      </c>
      <c r="C52" s="1299">
        <v>0</v>
      </c>
      <c r="D52" s="1299">
        <v>0</v>
      </c>
      <c r="E52" s="1299">
        <v>3</v>
      </c>
      <c r="F52" s="1299">
        <v>56534.084999999999</v>
      </c>
    </row>
    <row r="53" spans="1:6">
      <c r="A53" s="1298" t="s">
        <v>43</v>
      </c>
      <c r="B53" s="1298" t="s">
        <v>44</v>
      </c>
      <c r="C53" s="1299">
        <v>9</v>
      </c>
      <c r="D53" s="1299">
        <v>170049.61799999999</v>
      </c>
      <c r="E53" s="1299">
        <v>34</v>
      </c>
      <c r="F53" s="1299">
        <v>110743.568</v>
      </c>
    </row>
    <row r="54" spans="1:6">
      <c r="A54" s="1298" t="s">
        <v>45</v>
      </c>
      <c r="B54" s="1298" t="s">
        <v>46</v>
      </c>
      <c r="C54" s="1299">
        <v>0</v>
      </c>
      <c r="D54" s="1299">
        <v>0</v>
      </c>
      <c r="E54" s="1299">
        <v>1</v>
      </c>
      <c r="F54" s="1299">
        <v>99367</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0</v>
      </c>
      <c r="D57" s="1299">
        <v>0</v>
      </c>
      <c r="E57" s="1299">
        <v>6</v>
      </c>
      <c r="F57" s="1299">
        <v>68903.600999999995</v>
      </c>
    </row>
    <row r="58" spans="1:6">
      <c r="A58" s="1298" t="s">
        <v>48</v>
      </c>
      <c r="B58" s="1298" t="s">
        <v>50</v>
      </c>
      <c r="C58" s="1299">
        <v>4</v>
      </c>
      <c r="D58" s="1299">
        <v>1510390.145</v>
      </c>
      <c r="E58" s="1299">
        <v>8</v>
      </c>
      <c r="F58" s="1299">
        <v>46260.714</v>
      </c>
    </row>
    <row r="59" spans="1:6">
      <c r="A59" s="1298" t="s">
        <v>48</v>
      </c>
      <c r="B59" s="1298" t="s">
        <v>51</v>
      </c>
      <c r="C59" s="1299">
        <v>7</v>
      </c>
      <c r="D59" s="1299">
        <v>317186.90999999997</v>
      </c>
      <c r="E59" s="1299">
        <v>16</v>
      </c>
      <c r="F59" s="1299">
        <v>1634201.23</v>
      </c>
    </row>
    <row r="60" spans="1:6">
      <c r="A60" s="1298" t="s">
        <v>48</v>
      </c>
      <c r="B60" s="1298" t="s">
        <v>52</v>
      </c>
      <c r="C60" s="1299">
        <v>0</v>
      </c>
      <c r="D60" s="1299">
        <v>0</v>
      </c>
      <c r="E60" s="1299">
        <v>9</v>
      </c>
      <c r="F60" s="1299">
        <v>113651.927</v>
      </c>
    </row>
    <row r="61" spans="1:6">
      <c r="A61" s="1298" t="s">
        <v>48</v>
      </c>
      <c r="B61" s="1298" t="s">
        <v>53</v>
      </c>
      <c r="C61" s="1299">
        <v>0</v>
      </c>
      <c r="D61" s="1299">
        <v>0</v>
      </c>
      <c r="E61" s="1299">
        <v>14</v>
      </c>
      <c r="F61" s="1299">
        <v>72301.16</v>
      </c>
    </row>
    <row r="62" spans="1:6">
      <c r="A62" s="1298" t="s">
        <v>48</v>
      </c>
      <c r="B62" s="1298" t="s">
        <v>54</v>
      </c>
      <c r="C62" s="1299">
        <v>0</v>
      </c>
      <c r="D62" s="1299">
        <v>0</v>
      </c>
      <c r="E62" s="1299">
        <v>0</v>
      </c>
      <c r="F62" s="1299">
        <v>0</v>
      </c>
    </row>
    <row r="63" spans="1:6">
      <c r="A63" s="1298" t="s">
        <v>48</v>
      </c>
      <c r="B63" s="1298" t="s">
        <v>28</v>
      </c>
      <c r="C63" s="1299">
        <v>31</v>
      </c>
      <c r="D63" s="1299">
        <v>813930.09100000001</v>
      </c>
      <c r="E63" s="1299">
        <v>56</v>
      </c>
      <c r="F63" s="1299">
        <v>986158.21400000004</v>
      </c>
    </row>
    <row r="64" spans="1:6">
      <c r="A64" s="1298" t="s">
        <v>55</v>
      </c>
      <c r="B64" s="1298" t="s">
        <v>56</v>
      </c>
      <c r="C64" s="1299">
        <v>0</v>
      </c>
      <c r="D64" s="1299">
        <v>0</v>
      </c>
      <c r="E64" s="1299">
        <v>0</v>
      </c>
      <c r="F64" s="1299">
        <v>0</v>
      </c>
    </row>
    <row r="65" spans="1:6">
      <c r="A65" s="1298" t="s">
        <v>55</v>
      </c>
      <c r="B65" s="1298" t="s">
        <v>28</v>
      </c>
      <c r="C65" s="1299">
        <v>0</v>
      </c>
      <c r="D65" s="1299">
        <v>0</v>
      </c>
      <c r="E65" s="1299">
        <v>0</v>
      </c>
      <c r="F65" s="1299">
        <v>0</v>
      </c>
    </row>
    <row r="66" spans="1:6">
      <c r="A66" s="1298" t="s">
        <v>55</v>
      </c>
      <c r="B66" s="1298" t="s">
        <v>57</v>
      </c>
      <c r="C66" s="1299">
        <v>0</v>
      </c>
      <c r="D66" s="1299">
        <v>0</v>
      </c>
      <c r="E66" s="1299">
        <v>3</v>
      </c>
      <c r="F66" s="1299">
        <v>17504</v>
      </c>
    </row>
    <row r="67" spans="1:6">
      <c r="A67" s="1300" t="s">
        <v>55</v>
      </c>
      <c r="B67" s="1300" t="s">
        <v>58</v>
      </c>
      <c r="C67" s="1299">
        <v>0</v>
      </c>
      <c r="D67" s="1299">
        <v>0</v>
      </c>
      <c r="E67" s="1299">
        <v>0</v>
      </c>
      <c r="F67" s="1299">
        <v>0</v>
      </c>
    </row>
    <row r="68" spans="1:6">
      <c r="A68" s="1293" t="s">
        <v>55</v>
      </c>
      <c r="B68" s="1293" t="s">
        <v>59</v>
      </c>
      <c r="C68" s="1302">
        <v>0</v>
      </c>
      <c r="D68" s="1302">
        <v>0</v>
      </c>
      <c r="E68" s="1302">
        <v>0</v>
      </c>
      <c r="F68" s="1302">
        <v>0</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10351428</v>
      </c>
      <c r="E73" s="450"/>
      <c r="F73" s="330"/>
    </row>
    <row r="74" spans="1:6">
      <c r="A74" s="1298" t="s">
        <v>63</v>
      </c>
      <c r="B74" s="1298" t="s">
        <v>647</v>
      </c>
      <c r="C74" s="1312" t="s">
        <v>649</v>
      </c>
      <c r="D74" s="1313">
        <v>728164.5</v>
      </c>
      <c r="E74" s="450"/>
      <c r="F74" s="330"/>
    </row>
    <row r="75" spans="1:6">
      <c r="A75" s="1298" t="s">
        <v>64</v>
      </c>
      <c r="B75" s="1298" t="s">
        <v>646</v>
      </c>
      <c r="C75" s="1312" t="s">
        <v>650</v>
      </c>
      <c r="D75" s="1313">
        <v>1800885</v>
      </c>
      <c r="E75" s="450"/>
      <c r="F75" s="330"/>
    </row>
    <row r="76" spans="1:6">
      <c r="A76" s="1298" t="s">
        <v>64</v>
      </c>
      <c r="B76" s="1298" t="s">
        <v>647</v>
      </c>
      <c r="C76" s="1312" t="s">
        <v>651</v>
      </c>
      <c r="D76" s="1313">
        <v>12003.5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49749</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713.12772992510031</v>
      </c>
      <c r="C91" s="330"/>
      <c r="D91" s="330"/>
      <c r="E91" s="330"/>
      <c r="F91" s="330"/>
    </row>
    <row r="92" spans="1:6">
      <c r="A92" s="1293" t="s">
        <v>68</v>
      </c>
      <c r="B92" s="1294">
        <v>293.19277845374307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2</v>
      </c>
      <c r="C97" s="330"/>
      <c r="D97" s="330"/>
      <c r="E97" s="330"/>
      <c r="F97" s="330"/>
    </row>
    <row r="98" spans="1:6">
      <c r="A98" s="1298" t="s">
        <v>71</v>
      </c>
      <c r="B98" s="1299">
        <v>0</v>
      </c>
      <c r="C98" s="330"/>
      <c r="D98" s="330"/>
      <c r="E98" s="330"/>
      <c r="F98" s="330"/>
    </row>
    <row r="99" spans="1:6">
      <c r="A99" s="1298" t="s">
        <v>72</v>
      </c>
      <c r="B99" s="1299">
        <v>27</v>
      </c>
      <c r="C99" s="330"/>
      <c r="D99" s="330"/>
      <c r="E99" s="330"/>
      <c r="F99" s="330"/>
    </row>
    <row r="100" spans="1:6">
      <c r="A100" s="1298" t="s">
        <v>73</v>
      </c>
      <c r="B100" s="1299">
        <v>75</v>
      </c>
      <c r="C100" s="330"/>
      <c r="D100" s="330"/>
      <c r="E100" s="330"/>
      <c r="F100" s="330"/>
    </row>
    <row r="101" spans="1:6">
      <c r="A101" s="1298" t="s">
        <v>74</v>
      </c>
      <c r="B101" s="1299">
        <v>28</v>
      </c>
      <c r="C101" s="330"/>
      <c r="D101" s="330"/>
      <c r="E101" s="330"/>
      <c r="F101" s="330"/>
    </row>
    <row r="102" spans="1:6">
      <c r="A102" s="1298" t="s">
        <v>75</v>
      </c>
      <c r="B102" s="1299">
        <v>18</v>
      </c>
      <c r="C102" s="330"/>
      <c r="D102" s="330"/>
      <c r="E102" s="330"/>
      <c r="F102" s="330"/>
    </row>
    <row r="103" spans="1:6">
      <c r="A103" s="1298" t="s">
        <v>76</v>
      </c>
      <c r="B103" s="1299">
        <v>72</v>
      </c>
      <c r="C103" s="330"/>
      <c r="D103" s="330"/>
      <c r="E103" s="330"/>
      <c r="F103" s="330"/>
    </row>
    <row r="104" spans="1:6">
      <c r="A104" s="1298" t="s">
        <v>77</v>
      </c>
      <c r="B104" s="1299">
        <v>483</v>
      </c>
      <c r="C104" s="330"/>
      <c r="D104" s="330"/>
      <c r="E104" s="330"/>
      <c r="F104" s="330"/>
    </row>
    <row r="105" spans="1:6">
      <c r="A105" s="1293" t="s">
        <v>78</v>
      </c>
      <c r="B105" s="1302">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7</v>
      </c>
      <c r="C123" s="1299">
        <v>7</v>
      </c>
      <c r="D123" s="330"/>
      <c r="E123" s="330"/>
      <c r="F123" s="330"/>
    </row>
    <row r="124" spans="1:6" s="43" customFormat="1">
      <c r="A124" s="1300" t="s">
        <v>88</v>
      </c>
      <c r="B124" s="1321">
        <v>0</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51</v>
      </c>
      <c r="C129" s="330"/>
      <c r="D129" s="330"/>
      <c r="E129" s="330"/>
      <c r="F129" s="330"/>
    </row>
    <row r="130" spans="1:6">
      <c r="A130" s="1298" t="s">
        <v>294</v>
      </c>
      <c r="B130" s="1299">
        <v>0</v>
      </c>
      <c r="C130" s="330"/>
      <c r="D130" s="330"/>
      <c r="E130" s="330"/>
      <c r="F130" s="330"/>
    </row>
    <row r="131" spans="1:6">
      <c r="A131" s="1298" t="s">
        <v>295</v>
      </c>
      <c r="B131" s="1299">
        <v>0</v>
      </c>
      <c r="C131" s="330"/>
      <c r="D131" s="330"/>
      <c r="E131" s="330"/>
      <c r="F131" s="330"/>
    </row>
    <row r="132" spans="1:6">
      <c r="A132" s="1293" t="s">
        <v>296</v>
      </c>
      <c r="B132" s="1294">
        <v>2</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7496.1866631620896</v>
      </c>
      <c r="C3" s="43" t="s">
        <v>169</v>
      </c>
      <c r="D3" s="43"/>
      <c r="E3" s="154"/>
      <c r="F3" s="43"/>
      <c r="G3" s="43"/>
      <c r="H3" s="43"/>
      <c r="I3" s="43"/>
      <c r="J3" s="43"/>
      <c r="K3" s="96"/>
    </row>
    <row r="4" spans="1:11">
      <c r="A4" s="358" t="s">
        <v>170</v>
      </c>
      <c r="B4" s="49">
        <f>IF(ISERROR('SEAP template'!B78+'SEAP template'!C78),0,'SEAP template'!B78+'SEAP template'!C78)</f>
        <v>1006.3205083788434</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0.19133200447840615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99.367000000000004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99.367000000000004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0.19133200447840615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19.012087289005784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3083.1981449999998</v>
      </c>
      <c r="C5" s="17">
        <f>IF(ISERROR('Eigen informatie GS &amp; warmtenet'!B59),0,'Eigen informatie GS &amp; warmtenet'!B59)</f>
        <v>0</v>
      </c>
      <c r="D5" s="30">
        <f>(SUM(HH_hh_gas_kWh,HH_rest_gas_kWh)/1000)*0.902</f>
        <v>3049.5675191079999</v>
      </c>
      <c r="E5" s="17">
        <f>B46*B57</f>
        <v>2144.0857273240372</v>
      </c>
      <c r="F5" s="17">
        <f>B51*B62</f>
        <v>6213.711036132715</v>
      </c>
      <c r="G5" s="18"/>
      <c r="H5" s="17"/>
      <c r="I5" s="17"/>
      <c r="J5" s="17">
        <f>B50*B61+C50*C61</f>
        <v>679.52574981741759</v>
      </c>
      <c r="K5" s="17"/>
      <c r="L5" s="17"/>
      <c r="M5" s="17"/>
      <c r="N5" s="17">
        <f>B48*B59+C48*C59</f>
        <v>2774.2724339145279</v>
      </c>
      <c r="O5" s="17">
        <f>B69*B70*B71</f>
        <v>115.06957672444784</v>
      </c>
      <c r="P5" s="17">
        <f>B77*B78*B79/1000-B77*B78*B79/1000/B80</f>
        <v>94.805633769165212</v>
      </c>
    </row>
    <row r="6" spans="1:16">
      <c r="A6" s="16" t="s">
        <v>611</v>
      </c>
      <c r="B6" s="783">
        <f>kWh_PV_kleiner_dan_10kW</f>
        <v>713.12772992510031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3796.3258749250999</v>
      </c>
      <c r="C8" s="21">
        <f>C5</f>
        <v>0</v>
      </c>
      <c r="D8" s="21">
        <f>D5</f>
        <v>3049.5675191079999</v>
      </c>
      <c r="E8" s="21">
        <f>E5</f>
        <v>2144.0857273240372</v>
      </c>
      <c r="F8" s="21">
        <f>F5</f>
        <v>6213.711036132715</v>
      </c>
      <c r="G8" s="21"/>
      <c r="H8" s="21"/>
      <c r="I8" s="21"/>
      <c r="J8" s="21">
        <f>J5</f>
        <v>679.52574981741759</v>
      </c>
      <c r="K8" s="21"/>
      <c r="L8" s="21">
        <f>L5</f>
        <v>0</v>
      </c>
      <c r="M8" s="21">
        <f>M5</f>
        <v>0</v>
      </c>
      <c r="N8" s="21">
        <f>N5</f>
        <v>2774.2724339145279</v>
      </c>
      <c r="O8" s="21">
        <f>O5</f>
        <v>115.06957672444784</v>
      </c>
      <c r="P8" s="21">
        <f>P5</f>
        <v>94.805633769165212</v>
      </c>
    </row>
    <row r="9" spans="1:16">
      <c r="B9" s="19"/>
      <c r="C9" s="19"/>
      <c r="D9" s="258"/>
      <c r="E9" s="19"/>
      <c r="F9" s="19"/>
      <c r="G9" s="19"/>
      <c r="H9" s="19"/>
      <c r="I9" s="19"/>
      <c r="J9" s="19"/>
      <c r="K9" s="19"/>
      <c r="L9" s="19"/>
      <c r="M9" s="19"/>
      <c r="N9" s="19"/>
      <c r="O9" s="19"/>
      <c r="P9" s="19"/>
    </row>
    <row r="10" spans="1:16">
      <c r="A10" s="24" t="s">
        <v>213</v>
      </c>
      <c r="B10" s="25">
        <f ca="1">'EF ele_warmte'!B12</f>
        <v>0.19133200447840615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726.35863930265839</v>
      </c>
      <c r="C12" s="23">
        <f ca="1">C10*C8</f>
        <v>0</v>
      </c>
      <c r="D12" s="23">
        <f>D8*D10</f>
        <v>616.01263885981598</v>
      </c>
      <c r="E12" s="23">
        <f>E10*E8</f>
        <v>486.70746010255647</v>
      </c>
      <c r="F12" s="23">
        <f>F10*F8</f>
        <v>1659.060846647435</v>
      </c>
      <c r="G12" s="23"/>
      <c r="H12" s="23"/>
      <c r="I12" s="23"/>
      <c r="J12" s="23">
        <f>J10*J8</f>
        <v>240.55211543536581</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v>
      </c>
      <c r="C18" s="166" t="s">
        <v>110</v>
      </c>
      <c r="D18" s="228"/>
      <c r="E18" s="15"/>
    </row>
    <row r="19" spans="1:7">
      <c r="A19" s="171" t="s">
        <v>71</v>
      </c>
      <c r="B19" s="37">
        <f>aantalw2001_ander</f>
        <v>0</v>
      </c>
      <c r="C19" s="166" t="s">
        <v>110</v>
      </c>
      <c r="D19" s="229"/>
      <c r="E19" s="15"/>
    </row>
    <row r="20" spans="1:7">
      <c r="A20" s="171" t="s">
        <v>72</v>
      </c>
      <c r="B20" s="37">
        <f>aantalw2001_propaan</f>
        <v>27</v>
      </c>
      <c r="C20" s="167">
        <f>IF(ISERROR(B20/SUM($B$20,$B$21,$B$22)*100),0,B20/SUM($B$20,$B$21,$B$22)*100)</f>
        <v>20.76923076923077</v>
      </c>
      <c r="D20" s="229"/>
      <c r="E20" s="15"/>
    </row>
    <row r="21" spans="1:7">
      <c r="A21" s="171" t="s">
        <v>73</v>
      </c>
      <c r="B21" s="37">
        <f>aantalw2001_elektriciteit</f>
        <v>75</v>
      </c>
      <c r="C21" s="167">
        <f>IF(ISERROR(B21/SUM($B$20,$B$21,$B$22)*100),0,B21/SUM($B$20,$B$21,$B$22)*100)</f>
        <v>57.692307692307686</v>
      </c>
      <c r="D21" s="229"/>
      <c r="E21" s="15"/>
    </row>
    <row r="22" spans="1:7">
      <c r="A22" s="171" t="s">
        <v>74</v>
      </c>
      <c r="B22" s="37">
        <f>aantalw2001_hout</f>
        <v>28</v>
      </c>
      <c r="C22" s="167">
        <f>IF(ISERROR(B22/SUM($B$20,$B$21,$B$22)*100),0,B22/SUM($B$20,$B$21,$B$22)*100)</f>
        <v>21.53846153846154</v>
      </c>
      <c r="D22" s="229"/>
      <c r="E22" s="15"/>
    </row>
    <row r="23" spans="1:7">
      <c r="A23" s="171" t="s">
        <v>75</v>
      </c>
      <c r="B23" s="37">
        <f>aantalw2001_niet_gespec</f>
        <v>18</v>
      </c>
      <c r="C23" s="166" t="s">
        <v>110</v>
      </c>
      <c r="D23" s="228"/>
      <c r="E23" s="15"/>
    </row>
    <row r="24" spans="1:7">
      <c r="A24" s="171" t="s">
        <v>76</v>
      </c>
      <c r="B24" s="37">
        <f>aantalw2001_steenkool</f>
        <v>72</v>
      </c>
      <c r="C24" s="166" t="s">
        <v>110</v>
      </c>
      <c r="D24" s="229"/>
      <c r="E24" s="15"/>
    </row>
    <row r="25" spans="1:7">
      <c r="A25" s="171" t="s">
        <v>77</v>
      </c>
      <c r="B25" s="37">
        <f>aantalw2001_stookolie</f>
        <v>483</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818</v>
      </c>
      <c r="B28" s="37">
        <f>aantalHuishoudens</f>
        <v>756</v>
      </c>
      <c r="C28" s="36"/>
      <c r="D28" s="228"/>
    </row>
    <row r="29" spans="1:7" s="15" customFormat="1">
      <c r="A29" s="230" t="s">
        <v>819</v>
      </c>
      <c r="B29" s="37">
        <f>SUM(HH_hh_gas_aantal,HH_rest_gas_aantal)</f>
        <v>206</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206</v>
      </c>
      <c r="C32" s="167">
        <f>IF(ISERROR(B32/SUM($B$32,$B$34,$B$35,$B$36,$B$38,$B$39)*100),0,B32/SUM($B$32,$B$34,$B$35,$B$36,$B$38,$B$39)*100)</f>
        <v>27.57697456492637</v>
      </c>
      <c r="D32" s="233"/>
      <c r="G32" s="15"/>
    </row>
    <row r="33" spans="1:7">
      <c r="A33" s="171" t="s">
        <v>71</v>
      </c>
      <c r="B33" s="34" t="s">
        <v>110</v>
      </c>
      <c r="C33" s="167"/>
      <c r="D33" s="233"/>
      <c r="G33" s="15"/>
    </row>
    <row r="34" spans="1:7">
      <c r="A34" s="171" t="s">
        <v>72</v>
      </c>
      <c r="B34" s="33">
        <f>IF((($B$28-$B$32-$B$39-$B$77-$B$38)*C20/100)&lt;0,0,($B$28-$B$32-$B$39-$B$77-$B$38)*C20/100)</f>
        <v>39.461538461538474</v>
      </c>
      <c r="C34" s="167">
        <f>IF(ISERROR(B34/SUM($B$32,$B$34,$B$35,$B$36,$B$38,$B$39)*100),0,B34/SUM($B$32,$B$34,$B$35,$B$36,$B$38,$B$39)*100)</f>
        <v>5.2826691380908262</v>
      </c>
      <c r="D34" s="233"/>
      <c r="G34" s="15"/>
    </row>
    <row r="35" spans="1:7">
      <c r="A35" s="171" t="s">
        <v>73</v>
      </c>
      <c r="B35" s="33">
        <f>IF((($B$28-$B$32-$B$39-$B$77-$B$38)*C21/100)&lt;0,0,($B$28-$B$32-$B$39-$B$77-$B$38)*C21/100)</f>
        <v>109.61538461538463</v>
      </c>
      <c r="C35" s="167">
        <f>IF(ISERROR(B35/SUM($B$32,$B$34,$B$35,$B$36,$B$38,$B$39)*100),0,B35/SUM($B$32,$B$34,$B$35,$B$36,$B$38,$B$39)*100)</f>
        <v>14.674080939141183</v>
      </c>
      <c r="D35" s="233"/>
      <c r="G35" s="15"/>
    </row>
    <row r="36" spans="1:7">
      <c r="A36" s="171" t="s">
        <v>74</v>
      </c>
      <c r="B36" s="33">
        <f>IF((($B$28-$B$32-$B$39-$B$77-$B$38)*C22/100)&lt;0,0,($B$28-$B$32-$B$39-$B$77-$B$38)*C22/100)</f>
        <v>40.923076923076934</v>
      </c>
      <c r="C36" s="167">
        <f>IF(ISERROR(B36/SUM($B$32,$B$34,$B$35,$B$36,$B$38,$B$39)*100),0,B36/SUM($B$32,$B$34,$B$35,$B$36,$B$38,$B$39)*100)</f>
        <v>5.4783235506127088</v>
      </c>
      <c r="D36" s="233"/>
      <c r="G36" s="15"/>
    </row>
    <row r="37" spans="1:7">
      <c r="A37" s="171" t="s">
        <v>75</v>
      </c>
      <c r="B37" s="34" t="s">
        <v>110</v>
      </c>
      <c r="C37" s="167"/>
      <c r="D37" s="173"/>
      <c r="G37" s="15"/>
    </row>
    <row r="38" spans="1:7">
      <c r="A38" s="171" t="s">
        <v>76</v>
      </c>
      <c r="B38" s="33">
        <f>IF((B24-(B29-B18)*0.1)&lt;0,0,B24-(B29-B18)*0.1)</f>
        <v>51.599999999999994</v>
      </c>
      <c r="C38" s="167">
        <f>IF(ISERROR(B38/SUM($B$32,$B$34,$B$35,$B$36,$B$38,$B$39)*100),0,B38/SUM($B$32,$B$34,$B$35,$B$36,$B$38,$B$39)*100)</f>
        <v>6.9076305220883523</v>
      </c>
      <c r="D38" s="234"/>
      <c r="G38" s="15"/>
    </row>
    <row r="39" spans="1:7">
      <c r="A39" s="171" t="s">
        <v>77</v>
      </c>
      <c r="B39" s="33">
        <f>IF((B25-(B29-B18))&lt;0,0,B25-(B29-B18)*0.9)</f>
        <v>299.39999999999998</v>
      </c>
      <c r="C39" s="167">
        <f>IF(ISERROR(B39/SUM($B$32,$B$34,$B$35,$B$36,$B$38,$B$39)*100),0,B39/SUM($B$32,$B$34,$B$35,$B$36,$B$38,$B$39)*100)</f>
        <v>40.080321285140556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206</v>
      </c>
      <c r="C44" s="34" t="s">
        <v>110</v>
      </c>
      <c r="D44" s="174"/>
    </row>
    <row r="45" spans="1:7">
      <c r="A45" s="171" t="s">
        <v>71</v>
      </c>
      <c r="B45" s="33" t="str">
        <f t="shared" si="0"/>
        <v>-</v>
      </c>
      <c r="C45" s="34" t="s">
        <v>110</v>
      </c>
      <c r="D45" s="174"/>
    </row>
    <row r="46" spans="1:7">
      <c r="A46" s="171" t="s">
        <v>72</v>
      </c>
      <c r="B46" s="33">
        <f t="shared" si="0"/>
        <v>39.461538461538474</v>
      </c>
      <c r="C46" s="34" t="s">
        <v>110</v>
      </c>
      <c r="D46" s="174"/>
    </row>
    <row r="47" spans="1:7">
      <c r="A47" s="171" t="s">
        <v>73</v>
      </c>
      <c r="B47" s="33">
        <f t="shared" si="0"/>
        <v>109.61538461538463</v>
      </c>
      <c r="C47" s="34" t="s">
        <v>110</v>
      </c>
      <c r="D47" s="174"/>
    </row>
    <row r="48" spans="1:7">
      <c r="A48" s="171" t="s">
        <v>74</v>
      </c>
      <c r="B48" s="33">
        <f t="shared" si="0"/>
        <v>40.923076923076934</v>
      </c>
      <c r="C48" s="33">
        <f>B48*10</f>
        <v>409.23076923076934</v>
      </c>
      <c r="D48" s="234"/>
    </row>
    <row r="49" spans="1:6">
      <c r="A49" s="171" t="s">
        <v>75</v>
      </c>
      <c r="B49" s="33" t="str">
        <f t="shared" si="0"/>
        <v>-</v>
      </c>
      <c r="C49" s="34" t="s">
        <v>110</v>
      </c>
      <c r="D49" s="234"/>
    </row>
    <row r="50" spans="1:6">
      <c r="A50" s="171" t="s">
        <v>76</v>
      </c>
      <c r="B50" s="33">
        <f t="shared" si="0"/>
        <v>51.599999999999994</v>
      </c>
      <c r="C50" s="33">
        <f>B50*2</f>
        <v>103.19999999999999</v>
      </c>
      <c r="D50" s="234"/>
    </row>
    <row r="51" spans="1:6">
      <c r="A51" s="171" t="s">
        <v>77</v>
      </c>
      <c r="B51" s="33">
        <f t="shared" si="0"/>
        <v>299.39999999999998</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58</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9</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2921.476846</v>
      </c>
      <c r="C5" s="17">
        <f>IF(ISERROR('Eigen informatie GS &amp; warmtenet'!B60),0,'Eigen informatie GS &amp; warmtenet'!B60)</f>
        <v>0</v>
      </c>
      <c r="D5" s="30">
        <f>SUM(D6:D12)</f>
        <v>2382.6394456920002</v>
      </c>
      <c r="E5" s="17">
        <f>SUM(E6:E12)</f>
        <v>58.581720703179101</v>
      </c>
      <c r="F5" s="17">
        <f>SUM(F6:F12)</f>
        <v>306.25873641677146</v>
      </c>
      <c r="G5" s="18"/>
      <c r="H5" s="17"/>
      <c r="I5" s="17"/>
      <c r="J5" s="17">
        <f>SUM(J6:J12)</f>
        <v>3.0596313354742987E-3</v>
      </c>
      <c r="K5" s="17"/>
      <c r="L5" s="17"/>
      <c r="M5" s="17"/>
      <c r="N5" s="17">
        <f>SUM(N6:N12)</f>
        <v>121.31684668107886</v>
      </c>
      <c r="O5" s="17">
        <f>B38*B39*B40</f>
        <v>0</v>
      </c>
      <c r="P5" s="17">
        <f>B46*B47*B48/1000-B46*B47*B48/1000/B49</f>
        <v>0</v>
      </c>
      <c r="R5" s="32"/>
    </row>
    <row r="6" spans="1:18">
      <c r="A6" s="32" t="s">
        <v>53</v>
      </c>
      <c r="B6" s="37">
        <f>B26</f>
        <v>72.30116000000001</v>
      </c>
      <c r="C6" s="33"/>
      <c r="D6" s="37">
        <f>IF(ISERROR(TER_kantoor_gas_kWh/1000),0,TER_kantoor_gas_kWh/1000)*0.902</f>
        <v>0</v>
      </c>
      <c r="E6" s="33">
        <f>$C$26*'E Balans VL '!I12/100/3.6*1000000</f>
        <v>0.58178425294180391</v>
      </c>
      <c r="F6" s="33">
        <f>$C$26*('E Balans VL '!L12+'E Balans VL '!N12)/100/3.6*1000000</f>
        <v>8.8395773938526112</v>
      </c>
      <c r="G6" s="34"/>
      <c r="H6" s="33"/>
      <c r="I6" s="33"/>
      <c r="J6" s="33">
        <f>$C$26*('E Balans VL '!D12+'E Balans VL '!E12)/100/3.6*1000000</f>
        <v>0</v>
      </c>
      <c r="K6" s="33"/>
      <c r="L6" s="33"/>
      <c r="M6" s="33"/>
      <c r="N6" s="33">
        <f>$C$26*'E Balans VL '!Y12/100/3.6*1000000</f>
        <v>3.8858313053233166E-2</v>
      </c>
      <c r="O6" s="33"/>
      <c r="P6" s="33"/>
      <c r="R6" s="32"/>
    </row>
    <row r="7" spans="1:18">
      <c r="A7" s="32" t="s">
        <v>52</v>
      </c>
      <c r="B7" s="37">
        <f t="shared" ref="B7:B12" si="0">B27</f>
        <v>113.651927</v>
      </c>
      <c r="C7" s="33"/>
      <c r="D7" s="37">
        <f>IF(ISERROR(TER_horeca_gas_kWh/1000),0,TER_horeca_gas_kWh/1000)*0.902</f>
        <v>0</v>
      </c>
      <c r="E7" s="33">
        <f>$C$27*'E Balans VL '!I9/100/3.6*1000000</f>
        <v>1.2203426156384207</v>
      </c>
      <c r="F7" s="33">
        <f>$C$27*('E Balans VL '!L9+'E Balans VL '!N9)/100/3.6*1000000</f>
        <v>13.669570907446797</v>
      </c>
      <c r="G7" s="34"/>
      <c r="H7" s="33"/>
      <c r="I7" s="33"/>
      <c r="J7" s="33">
        <f>$C$27*('E Balans VL '!D9+'E Balans VL '!E9)/100/3.6*1000000</f>
        <v>0</v>
      </c>
      <c r="K7" s="33"/>
      <c r="L7" s="33"/>
      <c r="M7" s="33"/>
      <c r="N7" s="33">
        <f>$C$27*'E Balans VL '!Y9/100/3.6*1000000</f>
        <v>1.7038727314432296E-2</v>
      </c>
      <c r="O7" s="33"/>
      <c r="P7" s="33"/>
      <c r="R7" s="32"/>
    </row>
    <row r="8" spans="1:18">
      <c r="A8" s="6" t="s">
        <v>51</v>
      </c>
      <c r="B8" s="37">
        <f t="shared" si="0"/>
        <v>1634.2012299999999</v>
      </c>
      <c r="C8" s="33"/>
      <c r="D8" s="37">
        <f>IF(ISERROR(TER_handel_gas_kWh/1000),0,TER_handel_gas_kWh/1000)*0.902</f>
        <v>286.10259281999998</v>
      </c>
      <c r="E8" s="33">
        <f>$C$28*'E Balans VL '!I13/100/3.6*1000000</f>
        <v>43.856957954667998</v>
      </c>
      <c r="F8" s="33">
        <f>$C$28*('E Balans VL '!L13+'E Balans VL '!N13)/100/3.6*1000000</f>
        <v>155.95316472261911</v>
      </c>
      <c r="G8" s="34"/>
      <c r="H8" s="33"/>
      <c r="I8" s="33"/>
      <c r="J8" s="33">
        <f>$C$28*('E Balans VL '!D13+'E Balans VL '!E13)/100/3.6*1000000</f>
        <v>0</v>
      </c>
      <c r="K8" s="33"/>
      <c r="L8" s="33"/>
      <c r="M8" s="33"/>
      <c r="N8" s="33">
        <f>$C$28*'E Balans VL '!Y13/100/3.6*1000000</f>
        <v>0.64781594906993811</v>
      </c>
      <c r="O8" s="33"/>
      <c r="P8" s="33"/>
      <c r="R8" s="32"/>
    </row>
    <row r="9" spans="1:18">
      <c r="A9" s="32" t="s">
        <v>50</v>
      </c>
      <c r="B9" s="37">
        <f t="shared" si="0"/>
        <v>46.260714</v>
      </c>
      <c r="C9" s="33"/>
      <c r="D9" s="37">
        <f>IF(ISERROR(TER_gezond_gas_kWh/1000),0,TER_gezond_gas_kWh/1000)*0.902</f>
        <v>1362.3719107900001</v>
      </c>
      <c r="E9" s="33">
        <f>$C$29*'E Balans VL '!I10/100/3.6*1000000</f>
        <v>8.6707641178577252E-2</v>
      </c>
      <c r="F9" s="33">
        <f>$C$29*('E Balans VL '!L10+'E Balans VL '!N10)/100/3.6*1000000</f>
        <v>3.8030527872913158</v>
      </c>
      <c r="G9" s="34"/>
      <c r="H9" s="33"/>
      <c r="I9" s="33"/>
      <c r="J9" s="33">
        <f>$C$29*('E Balans VL '!D10+'E Balans VL '!E10)/100/3.6*1000000</f>
        <v>0</v>
      </c>
      <c r="K9" s="33"/>
      <c r="L9" s="33"/>
      <c r="M9" s="33"/>
      <c r="N9" s="33">
        <f>$C$29*'E Balans VL '!Y10/100/3.6*1000000</f>
        <v>0.35994287037206413</v>
      </c>
      <c r="O9" s="33"/>
      <c r="P9" s="33"/>
      <c r="R9" s="32"/>
    </row>
    <row r="10" spans="1:18">
      <c r="A10" s="32" t="s">
        <v>49</v>
      </c>
      <c r="B10" s="37">
        <f t="shared" si="0"/>
        <v>68.903600999999995</v>
      </c>
      <c r="C10" s="33"/>
      <c r="D10" s="37">
        <f>IF(ISERROR(TER_ander_gas_kWh/1000),0,TER_ander_gas_kWh/1000)*0.902</f>
        <v>0</v>
      </c>
      <c r="E10" s="33">
        <f>$C$30*'E Balans VL '!I14/100/3.6*1000000</f>
        <v>0.10621559913090101</v>
      </c>
      <c r="F10" s="33">
        <f>$C$30*('E Balans VL '!L14+'E Balans VL '!N14)/100/3.6*1000000</f>
        <v>10.697303077134855</v>
      </c>
      <c r="G10" s="34"/>
      <c r="H10" s="33"/>
      <c r="I10" s="33"/>
      <c r="J10" s="33">
        <f>$C$30*('E Balans VL '!D14+'E Balans VL '!E14)/100/3.6*1000000</f>
        <v>1.1697112944214123E-3</v>
      </c>
      <c r="K10" s="33"/>
      <c r="L10" s="33"/>
      <c r="M10" s="33"/>
      <c r="N10" s="33">
        <f>$C$30*'E Balans VL '!Y14/100/3.6*1000000</f>
        <v>45.584414077764599</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986.15821400000004</v>
      </c>
      <c r="C12" s="33"/>
      <c r="D12" s="37">
        <f>IF(ISERROR(TER_rest_gas_kWh/1000),0,TER_rest_gas_kWh/1000)*0.902</f>
        <v>734.16494208200004</v>
      </c>
      <c r="E12" s="33">
        <f>$C$32*'E Balans VL '!I8/100/3.6*1000000</f>
        <v>12.729712639621404</v>
      </c>
      <c r="F12" s="33">
        <f>$C$32*('E Balans VL '!L8+'E Balans VL '!N8)/100/3.6*1000000</f>
        <v>113.29606752842679</v>
      </c>
      <c r="G12" s="34"/>
      <c r="H12" s="33"/>
      <c r="I12" s="33"/>
      <c r="J12" s="33">
        <f>$C$32*('E Balans VL '!D8+'E Balans VL '!E8)/100/3.6*1000000</f>
        <v>1.8899200410528866E-3</v>
      </c>
      <c r="K12" s="33"/>
      <c r="L12" s="33"/>
      <c r="M12" s="33"/>
      <c r="N12" s="33">
        <f>$C$32*'E Balans VL '!Y8/100/3.6*1000000</f>
        <v>74.668776743504594</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2921.476846</v>
      </c>
      <c r="C16" s="21">
        <f t="shared" ca="1" si="1"/>
        <v>0</v>
      </c>
      <c r="D16" s="21">
        <f t="shared" ca="1" si="1"/>
        <v>2382.6394456920002</v>
      </c>
      <c r="E16" s="21">
        <f t="shared" si="1"/>
        <v>58.581720703179101</v>
      </c>
      <c r="F16" s="21">
        <f t="shared" ca="1" si="1"/>
        <v>306.25873641677146</v>
      </c>
      <c r="G16" s="21">
        <f t="shared" si="1"/>
        <v>0</v>
      </c>
      <c r="H16" s="21">
        <f t="shared" si="1"/>
        <v>0</v>
      </c>
      <c r="I16" s="21">
        <f t="shared" si="1"/>
        <v>0</v>
      </c>
      <c r="J16" s="21">
        <f t="shared" si="1"/>
        <v>3.0596313354742987E-3</v>
      </c>
      <c r="K16" s="21">
        <f t="shared" si="1"/>
        <v>0</v>
      </c>
      <c r="L16" s="21">
        <f t="shared" ca="1" si="1"/>
        <v>0</v>
      </c>
      <c r="M16" s="21">
        <f t="shared" si="1"/>
        <v>0</v>
      </c>
      <c r="N16" s="21">
        <f t="shared" ca="1" si="1"/>
        <v>121.31684668107886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0.19133200447840615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558.9720209824319</v>
      </c>
      <c r="C20" s="23">
        <f t="shared" ref="C20:P20" ca="1" si="2">C16*C18</f>
        <v>0</v>
      </c>
      <c r="D20" s="23">
        <f t="shared" ca="1" si="2"/>
        <v>481.29316802978406</v>
      </c>
      <c r="E20" s="23">
        <f t="shared" si="2"/>
        <v>13.298050599621657</v>
      </c>
      <c r="F20" s="23">
        <f t="shared" ca="1" si="2"/>
        <v>81.771082623277977</v>
      </c>
      <c r="G20" s="23">
        <f t="shared" si="2"/>
        <v>0</v>
      </c>
      <c r="H20" s="23">
        <f t="shared" si="2"/>
        <v>0</v>
      </c>
      <c r="I20" s="23">
        <f t="shared" si="2"/>
        <v>0</v>
      </c>
      <c r="J20" s="23">
        <f t="shared" si="2"/>
        <v>1.0831094927579016E-3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72.30116000000001</v>
      </c>
      <c r="C26" s="39">
        <f>IF(ISERROR(B26*3.6/1000000/'E Balans VL '!Z12*100),0,B26*3.6/1000000/'E Balans VL '!Z12*100)</f>
        <v>1.5338029614346137E-3</v>
      </c>
      <c r="D26" s="237" t="s">
        <v>708</v>
      </c>
      <c r="F26" s="6"/>
    </row>
    <row r="27" spans="1:18">
      <c r="A27" s="231" t="s">
        <v>52</v>
      </c>
      <c r="B27" s="33">
        <f>IF(ISERROR(TER_horeca_ele_kWh/1000),0,TER_horeca_ele_kWh/1000)</f>
        <v>113.651927</v>
      </c>
      <c r="C27" s="39">
        <f>IF(ISERROR(B27*3.6/1000000/'E Balans VL '!Z9*100),0,B27*3.6/1000000/'E Balans VL '!Z9*100)</f>
        <v>8.5589968894406124E-3</v>
      </c>
      <c r="D27" s="237" t="s">
        <v>708</v>
      </c>
      <c r="F27" s="6"/>
    </row>
    <row r="28" spans="1:18">
      <c r="A28" s="171" t="s">
        <v>51</v>
      </c>
      <c r="B28" s="33">
        <f>IF(ISERROR(TER_handel_ele_kWh/1000),0,TER_handel_ele_kWh/1000)</f>
        <v>1634.2012299999999</v>
      </c>
      <c r="C28" s="39">
        <f>IF(ISERROR(B28*3.6/1000000/'E Balans VL '!Z13*100),0,B28*3.6/1000000/'E Balans VL '!Z13*100)</f>
        <v>4.7435071280162576E-2</v>
      </c>
      <c r="D28" s="237" t="s">
        <v>708</v>
      </c>
      <c r="F28" s="6"/>
    </row>
    <row r="29" spans="1:18">
      <c r="A29" s="231" t="s">
        <v>50</v>
      </c>
      <c r="B29" s="33">
        <f>IF(ISERROR(TER_gezond_ele_kWh/1000),0,TER_gezond_ele_kWh/1000)</f>
        <v>46.260714</v>
      </c>
      <c r="C29" s="39">
        <f>IF(ISERROR(B29*3.6/1000000/'E Balans VL '!Z10*100),0,B29*3.6/1000000/'E Balans VL '!Z10*100)</f>
        <v>4.6654481750483942E-3</v>
      </c>
      <c r="D29" s="237" t="s">
        <v>708</v>
      </c>
      <c r="F29" s="6"/>
    </row>
    <row r="30" spans="1:18">
      <c r="A30" s="231" t="s">
        <v>49</v>
      </c>
      <c r="B30" s="33">
        <f>IF(ISERROR(TER_ander_ele_kWh/1000),0,TER_ander_ele_kWh/1000)</f>
        <v>68.903600999999995</v>
      </c>
      <c r="C30" s="39">
        <f>IF(ISERROR(B30*3.6/1000000/'E Balans VL '!Z14*100),0,B30*3.6/1000000/'E Balans VL '!Z14*100)</f>
        <v>4.9998962700246227E-3</v>
      </c>
      <c r="D30" s="237" t="s">
        <v>708</v>
      </c>
      <c r="F30" s="6"/>
    </row>
    <row r="31" spans="1:18">
      <c r="A31" s="231" t="s">
        <v>54</v>
      </c>
      <c r="B31" s="33">
        <f>IF(ISERROR(TER_onderwijs_ele_kWh/1000),0,TER_onderwijs_ele_kWh/1000)</f>
        <v>0</v>
      </c>
      <c r="C31" s="39">
        <f>IF(ISERROR(B31*3.6/1000000/'E Balans VL '!Z11*100),0,B31*3.6/1000000/'E Balans VL '!Z11*100)</f>
        <v>0</v>
      </c>
      <c r="D31" s="237" t="s">
        <v>708</v>
      </c>
    </row>
    <row r="32" spans="1:18">
      <c r="A32" s="231" t="s">
        <v>259</v>
      </c>
      <c r="B32" s="33">
        <f>IF(ISERROR(TER_rest_ele_kWh/1000),0,TER_rest_ele_kWh/1000)</f>
        <v>986.15821400000004</v>
      </c>
      <c r="C32" s="39">
        <f>IF(ISERROR(B32*3.6/1000000/'E Balans VL '!Z8*100),0,B32*3.6/1000000/'E Balans VL '!Z8*100)</f>
        <v>8.0784072180641597E-3</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191.68803299999999</v>
      </c>
      <c r="C5" s="17">
        <f>IF(ISERROR('Eigen informatie GS &amp; warmtenet'!B61),0,'Eigen informatie GS &amp; warmtenet'!B61)</f>
        <v>0</v>
      </c>
      <c r="D5" s="30">
        <f>SUM(D6:D15)</f>
        <v>158.33538784799998</v>
      </c>
      <c r="E5" s="17">
        <f>SUM(E6:E15)</f>
        <v>26.210167222020072</v>
      </c>
      <c r="F5" s="17">
        <f>SUM(F6:F15)</f>
        <v>82.656601234618066</v>
      </c>
      <c r="G5" s="18"/>
      <c r="H5" s="17"/>
      <c r="I5" s="17"/>
      <c r="J5" s="17">
        <f>SUM(J6:J15)</f>
        <v>0.96715045925259269</v>
      </c>
      <c r="K5" s="17"/>
      <c r="L5" s="17"/>
      <c r="M5" s="17"/>
      <c r="N5" s="17">
        <f>SUM(N6:N15)</f>
        <v>10.016907063841369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74.616799</v>
      </c>
      <c r="C9" s="33"/>
      <c r="D9" s="37">
        <f>IF( ISERROR(IND_andere_gas_kWh/1000),0,IND_andere_gas_kWh/1000)*0.902</f>
        <v>10.67253616</v>
      </c>
      <c r="E9" s="33">
        <f>C31*'E Balans VL '!I19/100/3.6*1000000</f>
        <v>20.677312754503181</v>
      </c>
      <c r="F9" s="33">
        <f>C31*'E Balans VL '!L19/100/3.6*1000000+C31*'E Balans VL '!N19/100/3.6*1000000</f>
        <v>61.842564259345366</v>
      </c>
      <c r="G9" s="34"/>
      <c r="H9" s="33"/>
      <c r="I9" s="33"/>
      <c r="J9" s="40">
        <f>C31*'E Balans VL '!D19/100/3.6*1000000+C31*'E Balans VL '!E19/100/3.6*1000000</f>
        <v>0</v>
      </c>
      <c r="K9" s="33"/>
      <c r="L9" s="33"/>
      <c r="M9" s="33"/>
      <c r="N9" s="33">
        <f>C31*'E Balans VL '!Y19/100/3.6*1000000</f>
        <v>5.416266945144999</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117.07123399999999</v>
      </c>
      <c r="C15" s="33"/>
      <c r="D15" s="37">
        <f>IF( ISERROR(IND_rest_gas_kWh/1000),0,IND_rest_gas_kWh/1000)*0.902</f>
        <v>147.66285168799999</v>
      </c>
      <c r="E15" s="33">
        <f>C37*'E Balans VL '!I15/100/3.6*1000000</f>
        <v>5.5328544675168905</v>
      </c>
      <c r="F15" s="33">
        <f>C37*'E Balans VL '!L15/100/3.6*1000000+C37*'E Balans VL '!N15/100/3.6*1000000</f>
        <v>20.8140369752727</v>
      </c>
      <c r="G15" s="34"/>
      <c r="H15" s="33"/>
      <c r="I15" s="33"/>
      <c r="J15" s="40">
        <f>C37*'E Balans VL '!D15/100/3.6*1000000+C37*'E Balans VL '!E15/100/3.6*1000000</f>
        <v>0.96715045925259269</v>
      </c>
      <c r="K15" s="33"/>
      <c r="L15" s="33"/>
      <c r="M15" s="33"/>
      <c r="N15" s="33">
        <f>C37*'E Balans VL '!Y15/100/3.6*1000000</f>
        <v>4.6006401186963712</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191.68803299999999</v>
      </c>
      <c r="C18" s="21">
        <f>C5+C16</f>
        <v>0</v>
      </c>
      <c r="D18" s="21">
        <f>MAX((D5+D16),0)</f>
        <v>158.33538784799998</v>
      </c>
      <c r="E18" s="21">
        <f>MAX((E5+E16),0)</f>
        <v>26.210167222020072</v>
      </c>
      <c r="F18" s="21">
        <f>MAX((F5+F16),0)</f>
        <v>82.656601234618066</v>
      </c>
      <c r="G18" s="21"/>
      <c r="H18" s="21"/>
      <c r="I18" s="21"/>
      <c r="J18" s="21">
        <f>MAX((J5+J16),0)</f>
        <v>0.96715045925259269</v>
      </c>
      <c r="K18" s="21"/>
      <c r="L18" s="21">
        <f>MAX((L5+L16),0)</f>
        <v>0</v>
      </c>
      <c r="M18" s="21"/>
      <c r="N18" s="21">
        <f>MAX((N5+N16),0)</f>
        <v>10.016907063841369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0.19133200447840615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36.676055588412865</v>
      </c>
      <c r="C22" s="23">
        <f ca="1">C18*C20</f>
        <v>0</v>
      </c>
      <c r="D22" s="23">
        <f>D18*D20</f>
        <v>31.983748345296</v>
      </c>
      <c r="E22" s="23">
        <f>E18*E20</f>
        <v>5.9497079593985562</v>
      </c>
      <c r="F22" s="23">
        <f>F18*F20</f>
        <v>22.069312529643025</v>
      </c>
      <c r="G22" s="23"/>
      <c r="H22" s="23"/>
      <c r="I22" s="23"/>
      <c r="J22" s="23">
        <f>J18*J20</f>
        <v>0.34237126257541778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0</v>
      </c>
      <c r="C30" s="39">
        <f>IF(ISERROR(B30*3.6/1000000/'E Balans VL '!Z18*100),0,B30*3.6/1000000/'E Balans VL '!Z18*100)</f>
        <v>0</v>
      </c>
      <c r="D30" s="237" t="s">
        <v>708</v>
      </c>
    </row>
    <row r="31" spans="1:18">
      <c r="A31" s="6" t="s">
        <v>32</v>
      </c>
      <c r="B31" s="37">
        <f>IF( ISERROR(IND_ander_ele_kWh/1000),0,IND_ander_ele_kWh/1000)</f>
        <v>74.616799</v>
      </c>
      <c r="C31" s="39">
        <f>IF(ISERROR(B31*3.6/1000000/'E Balans VL '!Z19*100),0,B31*3.6/1000000/'E Balans VL '!Z19*100)</f>
        <v>3.7529831287111352E-3</v>
      </c>
      <c r="D31" s="237" t="s">
        <v>708</v>
      </c>
    </row>
    <row r="32" spans="1:18">
      <c r="A32" s="171" t="s">
        <v>40</v>
      </c>
      <c r="B32" s="37">
        <f>IF( ISERROR(IND_voed_ele_kWh/1000),0,IND_voed_ele_kWh/1000)</f>
        <v>0</v>
      </c>
      <c r="C32" s="39">
        <f>IF(ISERROR(B32*3.6/1000000/'E Balans VL '!Z20*100),0,B32*3.6/1000000/'E Balans VL '!Z20*100)</f>
        <v>0</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117.07123399999999</v>
      </c>
      <c r="C37" s="39">
        <f>IF(ISERROR(B37*3.6/1000000/'E Balans VL '!Z15*100),0,B37*3.6/1000000/'E Balans VL '!Z15*100)</f>
        <v>9.1347577184831212E-4</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370.77336100000002</v>
      </c>
      <c r="C5" s="17">
        <f>'Eigen informatie GS &amp; warmtenet'!B62</f>
        <v>0</v>
      </c>
      <c r="D5" s="30">
        <f>IF(ISERROR(SUM(LB_lb_gas_kWh,LB_rest_gas_kWh)/1000),0,SUM(LB_lb_gas_kWh,LB_rest_gas_kWh)/1000)*0.902</f>
        <v>0</v>
      </c>
      <c r="E5" s="17">
        <f>B17*'E Balans VL '!I25/3.6*1000000/100</f>
        <v>11.571714330839235</v>
      </c>
      <c r="F5" s="17">
        <f>B17*('E Balans VL '!L25/3.6*1000000+'E Balans VL '!N25/3.6*1000000)/100</f>
        <v>1310.354130938942</v>
      </c>
      <c r="G5" s="18"/>
      <c r="H5" s="17"/>
      <c r="I5" s="17"/>
      <c r="J5" s="17">
        <f>('E Balans VL '!D25+'E Balans VL '!E25)/3.6*1000000*landbouw!B17/100</f>
        <v>102.15063224622391</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370.77336100000002</v>
      </c>
      <c r="C8" s="21">
        <f>C5+C6</f>
        <v>0</v>
      </c>
      <c r="D8" s="21">
        <f>MAX((D5+D6),0)</f>
        <v>0</v>
      </c>
      <c r="E8" s="21">
        <f>MAX((E5+E6),0)</f>
        <v>11.571714330839235</v>
      </c>
      <c r="F8" s="21">
        <f>MAX((F5+F6),0)</f>
        <v>1310.354130938942</v>
      </c>
      <c r="G8" s="21"/>
      <c r="H8" s="21"/>
      <c r="I8" s="21"/>
      <c r="J8" s="21">
        <f>MAX((J5+J6),0)</f>
        <v>102.15063224622391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0.19133200447840615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70.94081036732571</v>
      </c>
      <c r="C12" s="23">
        <f ca="1">C8*C10</f>
        <v>0</v>
      </c>
      <c r="D12" s="23">
        <f>D8*D10</f>
        <v>0</v>
      </c>
      <c r="E12" s="23">
        <f>E8*E10</f>
        <v>2.6267791531005065</v>
      </c>
      <c r="F12" s="23">
        <f>F8*F10</f>
        <v>349.86455296069755</v>
      </c>
      <c r="G12" s="23"/>
      <c r="H12" s="23"/>
      <c r="I12" s="23"/>
      <c r="J12" s="23">
        <f>J8*J10</f>
        <v>36.161323815163264</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5.5118118067868954E-2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97.598001430267757</v>
      </c>
      <c r="C26" s="247">
        <f>B26*'GWP N2O_CH4'!B5</f>
        <v>2049.5580300356228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17.936223536397844</v>
      </c>
      <c r="C27" s="247">
        <f>B27*'GWP N2O_CH4'!B5</f>
        <v>376.66069426435473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1.1144389263205505</v>
      </c>
      <c r="C28" s="247">
        <f>B28*'GWP N2O_CH4'!B4</f>
        <v>345.47606715937064</v>
      </c>
      <c r="D28" s="50"/>
    </row>
    <row r="29" spans="1:4">
      <c r="A29" s="41" t="s">
        <v>276</v>
      </c>
      <c r="B29" s="247">
        <f>B34*'ha_N2O bodem landbouw'!B4</f>
        <v>5.0781403944155583</v>
      </c>
      <c r="C29" s="247">
        <f>B29*'GWP N2O_CH4'!B4</f>
        <v>1574.223522268823</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1.1135447586333141E-3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2.0923128853160851E-5</v>
      </c>
      <c r="C5" s="437" t="s">
        <v>210</v>
      </c>
      <c r="D5" s="422">
        <f>SUM(D6:D11)</f>
        <v>7.4336632707641218E-5</v>
      </c>
      <c r="E5" s="422">
        <f>SUM(E6:E11)</f>
        <v>6.2849717647858315E-5</v>
      </c>
      <c r="F5" s="435" t="s">
        <v>210</v>
      </c>
      <c r="G5" s="422">
        <f>SUM(G6:G11)</f>
        <v>2.7071751296298675E-2</v>
      </c>
      <c r="H5" s="422">
        <f>SUM(H6:H11)</f>
        <v>6.9374261970390934E-3</v>
      </c>
      <c r="I5" s="437" t="s">
        <v>210</v>
      </c>
      <c r="J5" s="437" t="s">
        <v>210</v>
      </c>
      <c r="K5" s="437" t="s">
        <v>210</v>
      </c>
      <c r="L5" s="437" t="s">
        <v>210</v>
      </c>
      <c r="M5" s="422">
        <f>SUM(M6:M11)</f>
        <v>2.0197943837615539E-3</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1.7822472302862601E-5</v>
      </c>
      <c r="C6" s="423"/>
      <c r="D6" s="890">
        <f>vkm_GW_PW*SUMIFS(TableVerdeelsleutelVkm[CNG],TableVerdeelsleutelVkm[Voertuigtype],"Lichte voertuigen")*SUMIFS(TableECFTransport[EnergieConsumptieFactor (PJ per km)],TableECFTransport[Index],CONCATENATE($A6,"_CNG_CNG"))</f>
        <v>5.7413355131042961E-5</v>
      </c>
      <c r="E6" s="890">
        <f>vkm_GW_PW*SUMIFS(TableVerdeelsleutelVkm[LPG],TableVerdeelsleutelVkm[Voertuigtype],"Lichte voertuigen")*SUMIFS(TableECFTransport[EnergieConsumptieFactor (PJ per km)],TableECFTransport[Index],CONCATENATE($A6,"_LPG_LPG"))</f>
        <v>4.9098558259939486E-5</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1.5861261718472686E-2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5.3784565714241261E-3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1.2703832957106525E-3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6.912732171369472E-3</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9.8845863198010631E-8</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3.9846651656044231E-4</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3.1006565502982504E-6</v>
      </c>
      <c r="C8" s="423"/>
      <c r="D8" s="425">
        <f>vkm_NGW_PW*SUMIFS(TableVerdeelsleutelVkm[CNG],TableVerdeelsleutelVkm[Voertuigtype],"Lichte voertuigen")*SUMIFS(TableECFTransport[EnergieConsumptieFactor (PJ per km)],TableECFTransport[Index],CONCATENATE($A8,"_CNG_CNG"))</f>
        <v>1.6923277576598256E-5</v>
      </c>
      <c r="E8" s="425">
        <f>vkm_NGW_PW*SUMIFS(TableVerdeelsleutelVkm[LPG],TableVerdeelsleutelVkm[Voertuigtype],"Lichte voertuigen")*SUMIFS(TableECFTransport[EnergieConsumptieFactor (PJ per km)],TableECFTransport[Index],CONCATENATE($A8,"_LPG_LPG"))</f>
        <v>1.3751159387918836E-5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4.151064024585197E-3</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1.5588681202217377E-3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3.4248877476163609E-4</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1.4669338187131925E-4</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2.6595300318467954E-9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8.4557967288229658E-6</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5.8119802369891254</v>
      </c>
      <c r="C14" s="21"/>
      <c r="D14" s="21">
        <f t="shared" ref="D14:M14" si="0">((D5)*10^9/3600)+D12</f>
        <v>20.649064641011449</v>
      </c>
      <c r="E14" s="21">
        <f t="shared" si="0"/>
        <v>17.458254902182865</v>
      </c>
      <c r="F14" s="21"/>
      <c r="G14" s="21">
        <f t="shared" si="0"/>
        <v>7519.9309156385207</v>
      </c>
      <c r="H14" s="21">
        <f t="shared" si="0"/>
        <v>1927.0628325108594</v>
      </c>
      <c r="I14" s="21"/>
      <c r="J14" s="21"/>
      <c r="K14" s="21"/>
      <c r="L14" s="21"/>
      <c r="M14" s="21">
        <f t="shared" si="0"/>
        <v>561.05399548932053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0.19133200447840615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1.1120178287320113</v>
      </c>
      <c r="C18" s="23"/>
      <c r="D18" s="23">
        <f t="shared" ref="D18:M18" si="1">D14*D16</f>
        <v>4.1711110574843131</v>
      </c>
      <c r="E18" s="23">
        <f t="shared" si="1"/>
        <v>3.9630238627955108</v>
      </c>
      <c r="F18" s="23"/>
      <c r="G18" s="23">
        <f t="shared" si="1"/>
        <v>2007.8215544754851</v>
      </c>
      <c r="H18" s="23">
        <f t="shared" si="1"/>
        <v>479.838645295204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6.18079342021155E-4</v>
      </c>
      <c r="H50" s="319">
        <f t="shared" si="2"/>
        <v>0</v>
      </c>
      <c r="I50" s="319">
        <f t="shared" si="2"/>
        <v>0</v>
      </c>
      <c r="J50" s="319">
        <f t="shared" si="2"/>
        <v>0</v>
      </c>
      <c r="K50" s="319">
        <f t="shared" si="2"/>
        <v>0</v>
      </c>
      <c r="L50" s="319">
        <f t="shared" si="2"/>
        <v>0</v>
      </c>
      <c r="M50" s="319">
        <f t="shared" si="2"/>
        <v>3.4347513484141202E-5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6.18079342021155E-4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3.4347513484141202E-5</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171.6887061169875</v>
      </c>
      <c r="H54" s="21">
        <f t="shared" si="3"/>
        <v>0</v>
      </c>
      <c r="I54" s="21">
        <f t="shared" si="3"/>
        <v>0</v>
      </c>
      <c r="J54" s="21">
        <f t="shared" si="3"/>
        <v>0</v>
      </c>
      <c r="K54" s="21">
        <f t="shared" si="3"/>
        <v>0</v>
      </c>
      <c r="L54" s="21">
        <f t="shared" si="3"/>
        <v>0</v>
      </c>
      <c r="M54" s="21">
        <f t="shared" si="3"/>
        <v>9.5409759678169994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0.19133200447840615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45.840884533235666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3020.8438460000002</v>
      </c>
      <c r="D10" s="686">
        <f ca="1">tertiair!C16</f>
        <v>0</v>
      </c>
      <c r="E10" s="686">
        <f ca="1">tertiair!D16</f>
        <v>2382.6394456920002</v>
      </c>
      <c r="F10" s="686">
        <f>tertiair!E16</f>
        <v>58.581720703179101</v>
      </c>
      <c r="G10" s="686">
        <f ca="1">tertiair!F16</f>
        <v>306.25873641677146</v>
      </c>
      <c r="H10" s="686">
        <f>tertiair!G16</f>
        <v>0</v>
      </c>
      <c r="I10" s="686">
        <f>tertiair!H16</f>
        <v>0</v>
      </c>
      <c r="J10" s="686">
        <f>tertiair!I16</f>
        <v>0</v>
      </c>
      <c r="K10" s="686">
        <f>tertiair!J16</f>
        <v>3.0596313354742987E-3</v>
      </c>
      <c r="L10" s="686">
        <f>tertiair!K16</f>
        <v>0</v>
      </c>
      <c r="M10" s="686">
        <f ca="1">tertiair!L16</f>
        <v>0</v>
      </c>
      <c r="N10" s="686">
        <f>tertiair!M16</f>
        <v>0</v>
      </c>
      <c r="O10" s="686">
        <f ca="1">tertiair!N16</f>
        <v>121.31684668107886</v>
      </c>
      <c r="P10" s="686">
        <f>tertiair!O16</f>
        <v>0</v>
      </c>
      <c r="Q10" s="687">
        <f>tertiair!P16</f>
        <v>0</v>
      </c>
      <c r="R10" s="689">
        <f ca="1">SUM(C10:Q10)</f>
        <v>5889.6436551243642</v>
      </c>
      <c r="S10" s="67"/>
    </row>
    <row r="11" spans="1:19" s="448" customFormat="1">
      <c r="A11" s="808" t="s">
        <v>224</v>
      </c>
      <c r="B11" s="813"/>
      <c r="C11" s="686">
        <f>huishoudens!B8</f>
        <v>3796.3258749250999</v>
      </c>
      <c r="D11" s="686">
        <f>huishoudens!C8</f>
        <v>0</v>
      </c>
      <c r="E11" s="686">
        <f>huishoudens!D8</f>
        <v>3049.5675191079999</v>
      </c>
      <c r="F11" s="686">
        <f>huishoudens!E8</f>
        <v>2144.0857273240372</v>
      </c>
      <c r="G11" s="686">
        <f>huishoudens!F8</f>
        <v>6213.711036132715</v>
      </c>
      <c r="H11" s="686">
        <f>huishoudens!G8</f>
        <v>0</v>
      </c>
      <c r="I11" s="686">
        <f>huishoudens!H8</f>
        <v>0</v>
      </c>
      <c r="J11" s="686">
        <f>huishoudens!I8</f>
        <v>0</v>
      </c>
      <c r="K11" s="686">
        <f>huishoudens!J8</f>
        <v>679.52574981741759</v>
      </c>
      <c r="L11" s="686">
        <f>huishoudens!K8</f>
        <v>0</v>
      </c>
      <c r="M11" s="686">
        <f>huishoudens!L8</f>
        <v>0</v>
      </c>
      <c r="N11" s="686">
        <f>huishoudens!M8</f>
        <v>0</v>
      </c>
      <c r="O11" s="686">
        <f>huishoudens!N8</f>
        <v>2774.2724339145279</v>
      </c>
      <c r="P11" s="686">
        <f>huishoudens!O8</f>
        <v>115.06957672444784</v>
      </c>
      <c r="Q11" s="687">
        <f>huishoudens!P8</f>
        <v>94.805633769165212</v>
      </c>
      <c r="R11" s="689">
        <f>SUM(C11:Q11)</f>
        <v>18867.363551715411</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191.68803299999999</v>
      </c>
      <c r="D13" s="686">
        <f>industrie!C18</f>
        <v>0</v>
      </c>
      <c r="E13" s="686">
        <f>industrie!D18</f>
        <v>158.33538784799998</v>
      </c>
      <c r="F13" s="686">
        <f>industrie!E18</f>
        <v>26.210167222020072</v>
      </c>
      <c r="G13" s="686">
        <f>industrie!F18</f>
        <v>82.656601234618066</v>
      </c>
      <c r="H13" s="686">
        <f>industrie!G18</f>
        <v>0</v>
      </c>
      <c r="I13" s="686">
        <f>industrie!H18</f>
        <v>0</v>
      </c>
      <c r="J13" s="686">
        <f>industrie!I18</f>
        <v>0</v>
      </c>
      <c r="K13" s="686">
        <f>industrie!J18</f>
        <v>0.96715045925259269</v>
      </c>
      <c r="L13" s="686">
        <f>industrie!K18</f>
        <v>0</v>
      </c>
      <c r="M13" s="686">
        <f>industrie!L18</f>
        <v>0</v>
      </c>
      <c r="N13" s="686">
        <f>industrie!M18</f>
        <v>0</v>
      </c>
      <c r="O13" s="686">
        <f>industrie!N18</f>
        <v>10.016907063841369</v>
      </c>
      <c r="P13" s="686">
        <f>industrie!O18</f>
        <v>0</v>
      </c>
      <c r="Q13" s="687">
        <f>industrie!P18</f>
        <v>0</v>
      </c>
      <c r="R13" s="689">
        <f>SUM(C13:Q13)</f>
        <v>469.87424682773207</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7008.8577539251</v>
      </c>
      <c r="D16" s="722">
        <f t="shared" ref="D16:R16" ca="1" si="0">SUM(D9:D15)</f>
        <v>0</v>
      </c>
      <c r="E16" s="722">
        <f t="shared" ca="1" si="0"/>
        <v>5590.5423526479999</v>
      </c>
      <c r="F16" s="722">
        <f t="shared" si="0"/>
        <v>2228.8776152492364</v>
      </c>
      <c r="G16" s="722">
        <f t="shared" ca="1" si="0"/>
        <v>6602.6263737841045</v>
      </c>
      <c r="H16" s="722">
        <f t="shared" si="0"/>
        <v>0</v>
      </c>
      <c r="I16" s="722">
        <f t="shared" si="0"/>
        <v>0</v>
      </c>
      <c r="J16" s="722">
        <f t="shared" si="0"/>
        <v>0</v>
      </c>
      <c r="K16" s="722">
        <f t="shared" si="0"/>
        <v>680.4959599080056</v>
      </c>
      <c r="L16" s="722">
        <f t="shared" si="0"/>
        <v>0</v>
      </c>
      <c r="M16" s="722">
        <f t="shared" ca="1" si="0"/>
        <v>0</v>
      </c>
      <c r="N16" s="722">
        <f t="shared" si="0"/>
        <v>0</v>
      </c>
      <c r="O16" s="722">
        <f t="shared" ca="1" si="0"/>
        <v>2905.6061876594481</v>
      </c>
      <c r="P16" s="722">
        <f t="shared" si="0"/>
        <v>115.06957672444784</v>
      </c>
      <c r="Q16" s="722">
        <f t="shared" si="0"/>
        <v>94.805633769165212</v>
      </c>
      <c r="R16" s="722">
        <f t="shared" ca="1" si="0"/>
        <v>25226.881453667505</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171.6887061169875</v>
      </c>
      <c r="I19" s="686">
        <f>transport!H54</f>
        <v>0</v>
      </c>
      <c r="J19" s="686">
        <f>transport!I54</f>
        <v>0</v>
      </c>
      <c r="K19" s="686">
        <f>transport!J54</f>
        <v>0</v>
      </c>
      <c r="L19" s="686">
        <f>transport!K54</f>
        <v>0</v>
      </c>
      <c r="M19" s="686">
        <f>transport!L54</f>
        <v>0</v>
      </c>
      <c r="N19" s="686">
        <f>transport!M54</f>
        <v>9.5409759678169994</v>
      </c>
      <c r="O19" s="686">
        <f>transport!N54</f>
        <v>0</v>
      </c>
      <c r="P19" s="686">
        <f>transport!O54</f>
        <v>0</v>
      </c>
      <c r="Q19" s="687">
        <f>transport!P54</f>
        <v>0</v>
      </c>
      <c r="R19" s="689">
        <f>SUM(C19:Q19)</f>
        <v>181.22968208480449</v>
      </c>
      <c r="S19" s="67"/>
    </row>
    <row r="20" spans="1:19" s="448" customFormat="1">
      <c r="A20" s="808" t="s">
        <v>306</v>
      </c>
      <c r="B20" s="813"/>
      <c r="C20" s="686">
        <f>transport!B14</f>
        <v>5.8119802369891254</v>
      </c>
      <c r="D20" s="686">
        <f>transport!C14</f>
        <v>0</v>
      </c>
      <c r="E20" s="686">
        <f>transport!D14</f>
        <v>20.649064641011449</v>
      </c>
      <c r="F20" s="686">
        <f>transport!E14</f>
        <v>17.458254902182865</v>
      </c>
      <c r="G20" s="686">
        <f>transport!F14</f>
        <v>0</v>
      </c>
      <c r="H20" s="686">
        <f>transport!G14</f>
        <v>7519.9309156385207</v>
      </c>
      <c r="I20" s="686">
        <f>transport!H14</f>
        <v>1927.0628325108594</v>
      </c>
      <c r="J20" s="686">
        <f>transport!I14</f>
        <v>0</v>
      </c>
      <c r="K20" s="686">
        <f>transport!J14</f>
        <v>0</v>
      </c>
      <c r="L20" s="686">
        <f>transport!K14</f>
        <v>0</v>
      </c>
      <c r="M20" s="686">
        <f>transport!L14</f>
        <v>0</v>
      </c>
      <c r="N20" s="686">
        <f>transport!M14</f>
        <v>561.05399548932053</v>
      </c>
      <c r="O20" s="686">
        <f>transport!N14</f>
        <v>0</v>
      </c>
      <c r="P20" s="686">
        <f>transport!O14</f>
        <v>0</v>
      </c>
      <c r="Q20" s="687">
        <f>transport!P14</f>
        <v>0</v>
      </c>
      <c r="R20" s="689">
        <f>SUM(C20:Q20)</f>
        <v>10051.967043418885</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5.8119802369891254</v>
      </c>
      <c r="D22" s="811">
        <f t="shared" ref="D22:R22" si="1">SUM(D18:D21)</f>
        <v>0</v>
      </c>
      <c r="E22" s="811">
        <f t="shared" si="1"/>
        <v>20.649064641011449</v>
      </c>
      <c r="F22" s="811">
        <f t="shared" si="1"/>
        <v>17.458254902182865</v>
      </c>
      <c r="G22" s="811">
        <f t="shared" si="1"/>
        <v>0</v>
      </c>
      <c r="H22" s="811">
        <f t="shared" si="1"/>
        <v>7691.619621755508</v>
      </c>
      <c r="I22" s="811">
        <f t="shared" si="1"/>
        <v>1927.0628325108594</v>
      </c>
      <c r="J22" s="811">
        <f t="shared" si="1"/>
        <v>0</v>
      </c>
      <c r="K22" s="811">
        <f t="shared" si="1"/>
        <v>0</v>
      </c>
      <c r="L22" s="811">
        <f t="shared" si="1"/>
        <v>0</v>
      </c>
      <c r="M22" s="811">
        <f t="shared" si="1"/>
        <v>0</v>
      </c>
      <c r="N22" s="811">
        <f t="shared" si="1"/>
        <v>570.59497145713749</v>
      </c>
      <c r="O22" s="811">
        <f t="shared" si="1"/>
        <v>0</v>
      </c>
      <c r="P22" s="811">
        <f t="shared" si="1"/>
        <v>0</v>
      </c>
      <c r="Q22" s="811">
        <f t="shared" si="1"/>
        <v>0</v>
      </c>
      <c r="R22" s="811">
        <f t="shared" si="1"/>
        <v>10233.196725503689</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370.77336100000002</v>
      </c>
      <c r="D24" s="686">
        <f>+landbouw!C8</f>
        <v>0</v>
      </c>
      <c r="E24" s="686">
        <f>+landbouw!D8</f>
        <v>0</v>
      </c>
      <c r="F24" s="686">
        <f>+landbouw!E8</f>
        <v>11.571714330839235</v>
      </c>
      <c r="G24" s="686">
        <f>+landbouw!F8</f>
        <v>1310.354130938942</v>
      </c>
      <c r="H24" s="686">
        <f>+landbouw!G8</f>
        <v>0</v>
      </c>
      <c r="I24" s="686">
        <f>+landbouw!H8</f>
        <v>0</v>
      </c>
      <c r="J24" s="686">
        <f>+landbouw!I8</f>
        <v>0</v>
      </c>
      <c r="K24" s="686">
        <f>+landbouw!J8</f>
        <v>102.15063224622391</v>
      </c>
      <c r="L24" s="686">
        <f>+landbouw!K8</f>
        <v>0</v>
      </c>
      <c r="M24" s="686">
        <f>+landbouw!L8</f>
        <v>0</v>
      </c>
      <c r="N24" s="686">
        <f>+landbouw!M8</f>
        <v>0</v>
      </c>
      <c r="O24" s="686">
        <f>+landbouw!N8</f>
        <v>0</v>
      </c>
      <c r="P24" s="686">
        <f>+landbouw!O8</f>
        <v>0</v>
      </c>
      <c r="Q24" s="687">
        <f>+landbouw!P8</f>
        <v>0</v>
      </c>
      <c r="R24" s="689">
        <f>SUM(C24:Q24)</f>
        <v>1794.8498385160053</v>
      </c>
      <c r="S24" s="67"/>
    </row>
    <row r="25" spans="1:19" s="448" customFormat="1" ht="15" thickBot="1">
      <c r="A25" s="830" t="s">
        <v>724</v>
      </c>
      <c r="B25" s="949"/>
      <c r="C25" s="950">
        <f>IF(Onbekend_ele_kWh="---",0,Onbekend_ele_kWh)/1000+IF(REST_rest_ele_kWh="---",0,REST_rest_ele_kWh)/1000</f>
        <v>110.743568</v>
      </c>
      <c r="D25" s="950"/>
      <c r="E25" s="950">
        <f>IF(onbekend_gas_kWh="---",0,onbekend_gas_kWh)/1000+IF(REST_rest_gas_kWh="---",0,REST_rest_gas_kWh)/1000</f>
        <v>170.04961799999998</v>
      </c>
      <c r="F25" s="950"/>
      <c r="G25" s="950"/>
      <c r="H25" s="950"/>
      <c r="I25" s="950"/>
      <c r="J25" s="950"/>
      <c r="K25" s="950"/>
      <c r="L25" s="950"/>
      <c r="M25" s="950"/>
      <c r="N25" s="950"/>
      <c r="O25" s="950"/>
      <c r="P25" s="950"/>
      <c r="Q25" s="951"/>
      <c r="R25" s="689">
        <f>SUM(C25:Q25)</f>
        <v>280.79318599999999</v>
      </c>
      <c r="S25" s="67"/>
    </row>
    <row r="26" spans="1:19" s="448" customFormat="1" ht="15.75" thickBot="1">
      <c r="A26" s="694" t="s">
        <v>725</v>
      </c>
      <c r="B26" s="816"/>
      <c r="C26" s="811">
        <f>SUM(C24:C25)</f>
        <v>481.516929</v>
      </c>
      <c r="D26" s="811">
        <f t="shared" ref="D26:R26" si="2">SUM(D24:D25)</f>
        <v>0</v>
      </c>
      <c r="E26" s="811">
        <f t="shared" si="2"/>
        <v>170.04961799999998</v>
      </c>
      <c r="F26" s="811">
        <f t="shared" si="2"/>
        <v>11.571714330839235</v>
      </c>
      <c r="G26" s="811">
        <f t="shared" si="2"/>
        <v>1310.354130938942</v>
      </c>
      <c r="H26" s="811">
        <f t="shared" si="2"/>
        <v>0</v>
      </c>
      <c r="I26" s="811">
        <f t="shared" si="2"/>
        <v>0</v>
      </c>
      <c r="J26" s="811">
        <f t="shared" si="2"/>
        <v>0</v>
      </c>
      <c r="K26" s="811">
        <f t="shared" si="2"/>
        <v>102.15063224622391</v>
      </c>
      <c r="L26" s="811">
        <f t="shared" si="2"/>
        <v>0</v>
      </c>
      <c r="M26" s="811">
        <f t="shared" si="2"/>
        <v>0</v>
      </c>
      <c r="N26" s="811">
        <f t="shared" si="2"/>
        <v>0</v>
      </c>
      <c r="O26" s="811">
        <f t="shared" si="2"/>
        <v>0</v>
      </c>
      <c r="P26" s="811">
        <f t="shared" si="2"/>
        <v>0</v>
      </c>
      <c r="Q26" s="811">
        <f t="shared" si="2"/>
        <v>0</v>
      </c>
      <c r="R26" s="811">
        <f t="shared" si="2"/>
        <v>2075.6430245160054</v>
      </c>
      <c r="S26" s="67"/>
    </row>
    <row r="27" spans="1:19" s="448" customFormat="1" ht="17.25" thickTop="1" thickBot="1">
      <c r="A27" s="695" t="s">
        <v>115</v>
      </c>
      <c r="B27" s="803"/>
      <c r="C27" s="696">
        <f ca="1">C22+C16+C26</f>
        <v>7496.1866631620896</v>
      </c>
      <c r="D27" s="696">
        <f t="shared" ref="D27:R27" ca="1" si="3">D22+D16+D26</f>
        <v>0</v>
      </c>
      <c r="E27" s="696">
        <f t="shared" ca="1" si="3"/>
        <v>5781.2410352890111</v>
      </c>
      <c r="F27" s="696">
        <f t="shared" si="3"/>
        <v>2257.9075844822587</v>
      </c>
      <c r="G27" s="696">
        <f t="shared" ca="1" si="3"/>
        <v>7912.9805047230466</v>
      </c>
      <c r="H27" s="696">
        <f t="shared" si="3"/>
        <v>7691.619621755508</v>
      </c>
      <c r="I27" s="696">
        <f t="shared" si="3"/>
        <v>1927.0628325108594</v>
      </c>
      <c r="J27" s="696">
        <f t="shared" si="3"/>
        <v>0</v>
      </c>
      <c r="K27" s="696">
        <f t="shared" si="3"/>
        <v>782.64659215422955</v>
      </c>
      <c r="L27" s="696">
        <f t="shared" si="3"/>
        <v>0</v>
      </c>
      <c r="M27" s="696">
        <f t="shared" ca="1" si="3"/>
        <v>0</v>
      </c>
      <c r="N27" s="696">
        <f t="shared" si="3"/>
        <v>570.59497145713749</v>
      </c>
      <c r="O27" s="696">
        <f t="shared" ca="1" si="3"/>
        <v>2905.6061876594481</v>
      </c>
      <c r="P27" s="696">
        <f t="shared" si="3"/>
        <v>115.06957672444784</v>
      </c>
      <c r="Q27" s="696">
        <f t="shared" si="3"/>
        <v>94.805633769165212</v>
      </c>
      <c r="R27" s="696">
        <f t="shared" ca="1" si="3"/>
        <v>37535.721203687201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577.98410827143766</v>
      </c>
      <c r="D40" s="686">
        <f ca="1">tertiair!C20</f>
        <v>0</v>
      </c>
      <c r="E40" s="686">
        <f ca="1">tertiair!D20</f>
        <v>481.29316802978406</v>
      </c>
      <c r="F40" s="686">
        <f>tertiair!E20</f>
        <v>13.298050599621657</v>
      </c>
      <c r="G40" s="686">
        <f ca="1">tertiair!F20</f>
        <v>81.771082623277977</v>
      </c>
      <c r="H40" s="686">
        <f>tertiair!G20</f>
        <v>0</v>
      </c>
      <c r="I40" s="686">
        <f>tertiair!H20</f>
        <v>0</v>
      </c>
      <c r="J40" s="686">
        <f>tertiair!I20</f>
        <v>0</v>
      </c>
      <c r="K40" s="686">
        <f>tertiair!J20</f>
        <v>1.0831094927579016E-3</v>
      </c>
      <c r="L40" s="686">
        <f>tertiair!K20</f>
        <v>0</v>
      </c>
      <c r="M40" s="686">
        <f ca="1">tertiair!L20</f>
        <v>0</v>
      </c>
      <c r="N40" s="686">
        <f>tertiair!M20</f>
        <v>0</v>
      </c>
      <c r="O40" s="686">
        <f ca="1">tertiair!N20</f>
        <v>0</v>
      </c>
      <c r="P40" s="686">
        <f>tertiair!O20</f>
        <v>0</v>
      </c>
      <c r="Q40" s="769">
        <f>tertiair!P20</f>
        <v>0</v>
      </c>
      <c r="R40" s="849">
        <f t="shared" ca="1" si="4"/>
        <v>1154.3474926336141</v>
      </c>
    </row>
    <row r="41" spans="1:18">
      <c r="A41" s="821" t="s">
        <v>224</v>
      </c>
      <c r="B41" s="828"/>
      <c r="C41" s="686">
        <f ca="1">huishoudens!B12</f>
        <v>726.35863930265839</v>
      </c>
      <c r="D41" s="686">
        <f ca="1">huishoudens!C12</f>
        <v>0</v>
      </c>
      <c r="E41" s="686">
        <f>huishoudens!D12</f>
        <v>616.01263885981598</v>
      </c>
      <c r="F41" s="686">
        <f>huishoudens!E12</f>
        <v>486.70746010255647</v>
      </c>
      <c r="G41" s="686">
        <f>huishoudens!F12</f>
        <v>1659.060846647435</v>
      </c>
      <c r="H41" s="686">
        <f>huishoudens!G12</f>
        <v>0</v>
      </c>
      <c r="I41" s="686">
        <f>huishoudens!H12</f>
        <v>0</v>
      </c>
      <c r="J41" s="686">
        <f>huishoudens!I12</f>
        <v>0</v>
      </c>
      <c r="K41" s="686">
        <f>huishoudens!J12</f>
        <v>240.55211543536581</v>
      </c>
      <c r="L41" s="686">
        <f>huishoudens!K12</f>
        <v>0</v>
      </c>
      <c r="M41" s="686">
        <f>huishoudens!L12</f>
        <v>0</v>
      </c>
      <c r="N41" s="686">
        <f>huishoudens!M12</f>
        <v>0</v>
      </c>
      <c r="O41" s="686">
        <f>huishoudens!N12</f>
        <v>0</v>
      </c>
      <c r="P41" s="686">
        <f>huishoudens!O12</f>
        <v>0</v>
      </c>
      <c r="Q41" s="769">
        <f>huishoudens!P12</f>
        <v>0</v>
      </c>
      <c r="R41" s="849">
        <f t="shared" ca="1" si="4"/>
        <v>3728.691700347832</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36.676055588412865</v>
      </c>
      <c r="D43" s="686">
        <f ca="1">industrie!C22</f>
        <v>0</v>
      </c>
      <c r="E43" s="686">
        <f>industrie!D22</f>
        <v>31.983748345296</v>
      </c>
      <c r="F43" s="686">
        <f>industrie!E22</f>
        <v>5.9497079593985562</v>
      </c>
      <c r="G43" s="686">
        <f>industrie!F22</f>
        <v>22.069312529643025</v>
      </c>
      <c r="H43" s="686">
        <f>industrie!G22</f>
        <v>0</v>
      </c>
      <c r="I43" s="686">
        <f>industrie!H22</f>
        <v>0</v>
      </c>
      <c r="J43" s="686">
        <f>industrie!I22</f>
        <v>0</v>
      </c>
      <c r="K43" s="686">
        <f>industrie!J22</f>
        <v>0.34237126257541778</v>
      </c>
      <c r="L43" s="686">
        <f>industrie!K22</f>
        <v>0</v>
      </c>
      <c r="M43" s="686">
        <f>industrie!L22</f>
        <v>0</v>
      </c>
      <c r="N43" s="686">
        <f>industrie!M22</f>
        <v>0</v>
      </c>
      <c r="O43" s="686">
        <f>industrie!N22</f>
        <v>0</v>
      </c>
      <c r="P43" s="686">
        <f>industrie!O22</f>
        <v>0</v>
      </c>
      <c r="Q43" s="769">
        <f>industrie!P22</f>
        <v>0</v>
      </c>
      <c r="R43" s="848">
        <f t="shared" ca="1" si="4"/>
        <v>97.021195685325864</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1341.0188031625089</v>
      </c>
      <c r="D46" s="722">
        <f t="shared" ref="D46:Q46" ca="1" si="5">SUM(D39:D45)</f>
        <v>0</v>
      </c>
      <c r="E46" s="722">
        <f t="shared" ca="1" si="5"/>
        <v>1129.2895552348959</v>
      </c>
      <c r="F46" s="722">
        <f t="shared" si="5"/>
        <v>505.95521866157668</v>
      </c>
      <c r="G46" s="722">
        <f t="shared" ca="1" si="5"/>
        <v>1762.901241800356</v>
      </c>
      <c r="H46" s="722">
        <f t="shared" si="5"/>
        <v>0</v>
      </c>
      <c r="I46" s="722">
        <f t="shared" si="5"/>
        <v>0</v>
      </c>
      <c r="J46" s="722">
        <f t="shared" si="5"/>
        <v>0</v>
      </c>
      <c r="K46" s="722">
        <f t="shared" si="5"/>
        <v>240.89556980743399</v>
      </c>
      <c r="L46" s="722">
        <f t="shared" si="5"/>
        <v>0</v>
      </c>
      <c r="M46" s="722">
        <f t="shared" ca="1" si="5"/>
        <v>0</v>
      </c>
      <c r="N46" s="722">
        <f t="shared" si="5"/>
        <v>0</v>
      </c>
      <c r="O46" s="722">
        <f t="shared" ca="1" si="5"/>
        <v>0</v>
      </c>
      <c r="P46" s="722">
        <f t="shared" si="5"/>
        <v>0</v>
      </c>
      <c r="Q46" s="722">
        <f t="shared" si="5"/>
        <v>0</v>
      </c>
      <c r="R46" s="722">
        <f ca="1">SUM(R39:R45)</f>
        <v>4980.0603886667714</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45.840884533235666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45.840884533235666</v>
      </c>
    </row>
    <row r="50" spans="1:18">
      <c r="A50" s="824" t="s">
        <v>306</v>
      </c>
      <c r="B50" s="834"/>
      <c r="C50" s="692">
        <f ca="1">transport!B18</f>
        <v>1.1120178287320113</v>
      </c>
      <c r="D50" s="692">
        <f>transport!C18</f>
        <v>0</v>
      </c>
      <c r="E50" s="692">
        <f>transport!D18</f>
        <v>4.1711110574843131</v>
      </c>
      <c r="F50" s="692">
        <f>transport!E18</f>
        <v>3.9630238627955108</v>
      </c>
      <c r="G50" s="692">
        <f>transport!F18</f>
        <v>0</v>
      </c>
      <c r="H50" s="692">
        <f>transport!G18</f>
        <v>2007.8215544754851</v>
      </c>
      <c r="I50" s="692">
        <f>transport!H18</f>
        <v>479.838645295204</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2496.9063525197007</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1.1120178287320113</v>
      </c>
      <c r="D52" s="722">
        <f t="shared" ref="D52:Q52" ca="1" si="6">SUM(D48:D51)</f>
        <v>0</v>
      </c>
      <c r="E52" s="722">
        <f t="shared" si="6"/>
        <v>4.1711110574843131</v>
      </c>
      <c r="F52" s="722">
        <f t="shared" si="6"/>
        <v>3.9630238627955108</v>
      </c>
      <c r="G52" s="722">
        <f t="shared" si="6"/>
        <v>0</v>
      </c>
      <c r="H52" s="722">
        <f t="shared" si="6"/>
        <v>2053.6624390087209</v>
      </c>
      <c r="I52" s="722">
        <f t="shared" si="6"/>
        <v>479.838645295204</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2542.7472370529363</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70.94081036732571</v>
      </c>
      <c r="D54" s="692">
        <f ca="1">+landbouw!C12</f>
        <v>0</v>
      </c>
      <c r="E54" s="692">
        <f>+landbouw!D12</f>
        <v>0</v>
      </c>
      <c r="F54" s="692">
        <f>+landbouw!E12</f>
        <v>2.6267791531005065</v>
      </c>
      <c r="G54" s="692">
        <f>+landbouw!F12</f>
        <v>349.86455296069755</v>
      </c>
      <c r="H54" s="692">
        <f>+landbouw!G12</f>
        <v>0</v>
      </c>
      <c r="I54" s="692">
        <f>+landbouw!H12</f>
        <v>0</v>
      </c>
      <c r="J54" s="692">
        <f>+landbouw!I12</f>
        <v>0</v>
      </c>
      <c r="K54" s="692">
        <f>+landbouw!J12</f>
        <v>36.161323815163264</v>
      </c>
      <c r="L54" s="692">
        <f>+landbouw!K12</f>
        <v>0</v>
      </c>
      <c r="M54" s="692">
        <f>+landbouw!L12</f>
        <v>0</v>
      </c>
      <c r="N54" s="692">
        <f>+landbouw!M12</f>
        <v>0</v>
      </c>
      <c r="O54" s="692">
        <f>+landbouw!N12</f>
        <v>0</v>
      </c>
      <c r="P54" s="692">
        <f>+landbouw!O12</f>
        <v>0</v>
      </c>
      <c r="Q54" s="693">
        <f>+landbouw!P12</f>
        <v>0</v>
      </c>
      <c r="R54" s="721">
        <f ca="1">SUM(C54:Q54)</f>
        <v>459.59346629628703</v>
      </c>
    </row>
    <row r="55" spans="1:18" ht="15" thickBot="1">
      <c r="A55" s="824" t="s">
        <v>724</v>
      </c>
      <c r="B55" s="834"/>
      <c r="C55" s="692">
        <f ca="1">C25*'EF ele_warmte'!B12</f>
        <v>21.188788848530674</v>
      </c>
      <c r="D55" s="692"/>
      <c r="E55" s="692">
        <f>E25*EF_CO2_aardgas</f>
        <v>34.350022836000001</v>
      </c>
      <c r="F55" s="692"/>
      <c r="G55" s="692"/>
      <c r="H55" s="692"/>
      <c r="I55" s="692"/>
      <c r="J55" s="692"/>
      <c r="K55" s="692"/>
      <c r="L55" s="692"/>
      <c r="M55" s="692"/>
      <c r="N55" s="692"/>
      <c r="O55" s="692"/>
      <c r="P55" s="692"/>
      <c r="Q55" s="693"/>
      <c r="R55" s="721">
        <f ca="1">SUM(C55:Q55)</f>
        <v>55.538811684530671</v>
      </c>
    </row>
    <row r="56" spans="1:18" ht="15.75" thickBot="1">
      <c r="A56" s="822" t="s">
        <v>725</v>
      </c>
      <c r="B56" s="835"/>
      <c r="C56" s="722">
        <f ca="1">SUM(C54:C55)</f>
        <v>92.129599215856388</v>
      </c>
      <c r="D56" s="722">
        <f t="shared" ref="D56:Q56" ca="1" si="7">SUM(D54:D55)</f>
        <v>0</v>
      </c>
      <c r="E56" s="722">
        <f t="shared" si="7"/>
        <v>34.350022836000001</v>
      </c>
      <c r="F56" s="722">
        <f t="shared" si="7"/>
        <v>2.6267791531005065</v>
      </c>
      <c r="G56" s="722">
        <f t="shared" si="7"/>
        <v>349.86455296069755</v>
      </c>
      <c r="H56" s="722">
        <f t="shared" si="7"/>
        <v>0</v>
      </c>
      <c r="I56" s="722">
        <f t="shared" si="7"/>
        <v>0</v>
      </c>
      <c r="J56" s="722">
        <f t="shared" si="7"/>
        <v>0</v>
      </c>
      <c r="K56" s="722">
        <f t="shared" si="7"/>
        <v>36.161323815163264</v>
      </c>
      <c r="L56" s="722">
        <f t="shared" si="7"/>
        <v>0</v>
      </c>
      <c r="M56" s="722">
        <f t="shared" si="7"/>
        <v>0</v>
      </c>
      <c r="N56" s="722">
        <f t="shared" si="7"/>
        <v>0</v>
      </c>
      <c r="O56" s="722">
        <f t="shared" si="7"/>
        <v>0</v>
      </c>
      <c r="P56" s="722">
        <f t="shared" si="7"/>
        <v>0</v>
      </c>
      <c r="Q56" s="723">
        <f t="shared" si="7"/>
        <v>0</v>
      </c>
      <c r="R56" s="724">
        <f ca="1">SUM(R54:R55)</f>
        <v>515.13227798081766</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1434.2604202070972</v>
      </c>
      <c r="D61" s="730">
        <f t="shared" ref="D61:Q61" ca="1" si="8">D46+D52+D56</f>
        <v>0</v>
      </c>
      <c r="E61" s="730">
        <f t="shared" ca="1" si="8"/>
        <v>1167.8106891283803</v>
      </c>
      <c r="F61" s="730">
        <f t="shared" si="8"/>
        <v>512.54502167747273</v>
      </c>
      <c r="G61" s="730">
        <f t="shared" ca="1" si="8"/>
        <v>2112.7657947610537</v>
      </c>
      <c r="H61" s="730">
        <f t="shared" si="8"/>
        <v>2053.6624390087209</v>
      </c>
      <c r="I61" s="730">
        <f t="shared" si="8"/>
        <v>479.838645295204</v>
      </c>
      <c r="J61" s="730">
        <f t="shared" si="8"/>
        <v>0</v>
      </c>
      <c r="K61" s="730">
        <f t="shared" si="8"/>
        <v>277.05689362259727</v>
      </c>
      <c r="L61" s="730">
        <f t="shared" si="8"/>
        <v>0</v>
      </c>
      <c r="M61" s="730">
        <f t="shared" ca="1" si="8"/>
        <v>0</v>
      </c>
      <c r="N61" s="730">
        <f t="shared" si="8"/>
        <v>0</v>
      </c>
      <c r="O61" s="730">
        <f t="shared" ca="1" si="8"/>
        <v>0</v>
      </c>
      <c r="P61" s="730">
        <f t="shared" si="8"/>
        <v>0</v>
      </c>
      <c r="Q61" s="730">
        <f t="shared" si="8"/>
        <v>0</v>
      </c>
      <c r="R61" s="730">
        <f ca="1">R46+R52+R56</f>
        <v>8037.939903700526</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0.19133200447840612</v>
      </c>
      <c r="D63" s="776">
        <f t="shared" ca="1" si="9"/>
        <v>0</v>
      </c>
      <c r="E63" s="975">
        <f t="shared" ca="1" si="9"/>
        <v>0.20200000000000001</v>
      </c>
      <c r="F63" s="776">
        <f t="shared" si="9"/>
        <v>0.22700000000000001</v>
      </c>
      <c r="G63" s="776">
        <f t="shared" ca="1" si="9"/>
        <v>0.26700000000000002</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1006.3205083788434</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1006.3205083788434</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1006.3205083788434</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1006.3205083788434</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3796.3258749250999</v>
      </c>
      <c r="C4" s="452">
        <f>huishoudens!C8</f>
        <v>0</v>
      </c>
      <c r="D4" s="452">
        <f>huishoudens!D8</f>
        <v>3049.5675191079999</v>
      </c>
      <c r="E4" s="452">
        <f>huishoudens!E8</f>
        <v>2144.0857273240372</v>
      </c>
      <c r="F4" s="452">
        <f>huishoudens!F8</f>
        <v>6213.711036132715</v>
      </c>
      <c r="G4" s="452">
        <f>huishoudens!G8</f>
        <v>0</v>
      </c>
      <c r="H4" s="452">
        <f>huishoudens!H8</f>
        <v>0</v>
      </c>
      <c r="I4" s="452">
        <f>huishoudens!I8</f>
        <v>0</v>
      </c>
      <c r="J4" s="452">
        <f>huishoudens!J8</f>
        <v>679.52574981741759</v>
      </c>
      <c r="K4" s="452">
        <f>huishoudens!K8</f>
        <v>0</v>
      </c>
      <c r="L4" s="452">
        <f>huishoudens!L8</f>
        <v>0</v>
      </c>
      <c r="M4" s="452">
        <f>huishoudens!M8</f>
        <v>0</v>
      </c>
      <c r="N4" s="452">
        <f>huishoudens!N8</f>
        <v>2774.2724339145279</v>
      </c>
      <c r="O4" s="452">
        <f>huishoudens!O8</f>
        <v>115.06957672444784</v>
      </c>
      <c r="P4" s="453">
        <f>huishoudens!P8</f>
        <v>94.805633769165212</v>
      </c>
      <c r="Q4" s="454">
        <f>SUM(B4:P4)</f>
        <v>18867.363551715411</v>
      </c>
    </row>
    <row r="5" spans="1:17">
      <c r="A5" s="451" t="s">
        <v>155</v>
      </c>
      <c r="B5" s="452">
        <f ca="1">tertiair!B16</f>
        <v>2921.476846</v>
      </c>
      <c r="C5" s="452">
        <f ca="1">tertiair!C16</f>
        <v>0</v>
      </c>
      <c r="D5" s="452">
        <f ca="1">tertiair!D16</f>
        <v>2382.6394456920002</v>
      </c>
      <c r="E5" s="452">
        <f>tertiair!E16</f>
        <v>58.581720703179101</v>
      </c>
      <c r="F5" s="452">
        <f ca="1">tertiair!F16</f>
        <v>306.25873641677146</v>
      </c>
      <c r="G5" s="452">
        <f>tertiair!G16</f>
        <v>0</v>
      </c>
      <c r="H5" s="452">
        <f>tertiair!H16</f>
        <v>0</v>
      </c>
      <c r="I5" s="452">
        <f>tertiair!I16</f>
        <v>0</v>
      </c>
      <c r="J5" s="452">
        <f>tertiair!J16</f>
        <v>3.0596313354742987E-3</v>
      </c>
      <c r="K5" s="452">
        <f>tertiair!K16</f>
        <v>0</v>
      </c>
      <c r="L5" s="452">
        <f ca="1">tertiair!L16</f>
        <v>0</v>
      </c>
      <c r="M5" s="452">
        <f>tertiair!M16</f>
        <v>0</v>
      </c>
      <c r="N5" s="452">
        <f ca="1">tertiair!N16</f>
        <v>121.31684668107886</v>
      </c>
      <c r="O5" s="452">
        <f>tertiair!O16</f>
        <v>0</v>
      </c>
      <c r="P5" s="453">
        <f>tertiair!P16</f>
        <v>0</v>
      </c>
      <c r="Q5" s="451">
        <f t="shared" ref="Q5:Q14" ca="1" si="0">SUM(B5:P5)</f>
        <v>5790.276655124364</v>
      </c>
    </row>
    <row r="6" spans="1:17">
      <c r="A6" s="451" t="s">
        <v>193</v>
      </c>
      <c r="B6" s="452">
        <f>'openbare verlichting'!B8</f>
        <v>99.367000000000004</v>
      </c>
      <c r="C6" s="452"/>
      <c r="D6" s="452"/>
      <c r="E6" s="452"/>
      <c r="F6" s="452"/>
      <c r="G6" s="452"/>
      <c r="H6" s="452"/>
      <c r="I6" s="452"/>
      <c r="J6" s="452"/>
      <c r="K6" s="452"/>
      <c r="L6" s="452"/>
      <c r="M6" s="452"/>
      <c r="N6" s="452"/>
      <c r="O6" s="452"/>
      <c r="P6" s="453"/>
      <c r="Q6" s="451">
        <f t="shared" si="0"/>
        <v>99.367000000000004</v>
      </c>
    </row>
    <row r="7" spans="1:17">
      <c r="A7" s="451" t="s">
        <v>111</v>
      </c>
      <c r="B7" s="452">
        <f>landbouw!B8</f>
        <v>370.77336100000002</v>
      </c>
      <c r="C7" s="452">
        <f>landbouw!C8</f>
        <v>0</v>
      </c>
      <c r="D7" s="452">
        <f>landbouw!D8</f>
        <v>0</v>
      </c>
      <c r="E7" s="452">
        <f>landbouw!E8</f>
        <v>11.571714330839235</v>
      </c>
      <c r="F7" s="452">
        <f>landbouw!F8</f>
        <v>1310.354130938942</v>
      </c>
      <c r="G7" s="452">
        <f>landbouw!G8</f>
        <v>0</v>
      </c>
      <c r="H7" s="452">
        <f>landbouw!H8</f>
        <v>0</v>
      </c>
      <c r="I7" s="452">
        <f>landbouw!I8</f>
        <v>0</v>
      </c>
      <c r="J7" s="452">
        <f>landbouw!J8</f>
        <v>102.15063224622391</v>
      </c>
      <c r="K7" s="452">
        <f>landbouw!K8</f>
        <v>0</v>
      </c>
      <c r="L7" s="452">
        <f>landbouw!L8</f>
        <v>0</v>
      </c>
      <c r="M7" s="452">
        <f>landbouw!M8</f>
        <v>0</v>
      </c>
      <c r="N7" s="452">
        <f>landbouw!N8</f>
        <v>0</v>
      </c>
      <c r="O7" s="452">
        <f>landbouw!O8</f>
        <v>0</v>
      </c>
      <c r="P7" s="453">
        <f>landbouw!P8</f>
        <v>0</v>
      </c>
      <c r="Q7" s="451">
        <f t="shared" si="0"/>
        <v>1794.8498385160053</v>
      </c>
    </row>
    <row r="8" spans="1:17">
      <c r="A8" s="451" t="s">
        <v>625</v>
      </c>
      <c r="B8" s="452">
        <f>industrie!B18</f>
        <v>191.68803299999999</v>
      </c>
      <c r="C8" s="452">
        <f>industrie!C18</f>
        <v>0</v>
      </c>
      <c r="D8" s="452">
        <f>industrie!D18</f>
        <v>158.33538784799998</v>
      </c>
      <c r="E8" s="452">
        <f>industrie!E18</f>
        <v>26.210167222020072</v>
      </c>
      <c r="F8" s="452">
        <f>industrie!F18</f>
        <v>82.656601234618066</v>
      </c>
      <c r="G8" s="452">
        <f>industrie!G18</f>
        <v>0</v>
      </c>
      <c r="H8" s="452">
        <f>industrie!H18</f>
        <v>0</v>
      </c>
      <c r="I8" s="452">
        <f>industrie!I18</f>
        <v>0</v>
      </c>
      <c r="J8" s="452">
        <f>industrie!J18</f>
        <v>0.96715045925259269</v>
      </c>
      <c r="K8" s="452">
        <f>industrie!K18</f>
        <v>0</v>
      </c>
      <c r="L8" s="452">
        <f>industrie!L18</f>
        <v>0</v>
      </c>
      <c r="M8" s="452">
        <f>industrie!M18</f>
        <v>0</v>
      </c>
      <c r="N8" s="452">
        <f>industrie!N18</f>
        <v>10.016907063841369</v>
      </c>
      <c r="O8" s="452">
        <f>industrie!O18</f>
        <v>0</v>
      </c>
      <c r="P8" s="453">
        <f>industrie!P18</f>
        <v>0</v>
      </c>
      <c r="Q8" s="451">
        <f t="shared" si="0"/>
        <v>469.87424682773207</v>
      </c>
    </row>
    <row r="9" spans="1:17" s="457" customFormat="1">
      <c r="A9" s="455" t="s">
        <v>551</v>
      </c>
      <c r="B9" s="456">
        <f>transport!B14</f>
        <v>5.8119802369891254</v>
      </c>
      <c r="C9" s="456">
        <f>transport!C14</f>
        <v>0</v>
      </c>
      <c r="D9" s="456">
        <f>transport!D14</f>
        <v>20.649064641011449</v>
      </c>
      <c r="E9" s="456">
        <f>transport!E14</f>
        <v>17.458254902182865</v>
      </c>
      <c r="F9" s="456">
        <f>transport!F14</f>
        <v>0</v>
      </c>
      <c r="G9" s="456">
        <f>transport!G14</f>
        <v>7519.9309156385207</v>
      </c>
      <c r="H9" s="456">
        <f>transport!H14</f>
        <v>1927.0628325108594</v>
      </c>
      <c r="I9" s="456">
        <f>transport!I14</f>
        <v>0</v>
      </c>
      <c r="J9" s="456">
        <f>transport!J14</f>
        <v>0</v>
      </c>
      <c r="K9" s="456">
        <f>transport!K14</f>
        <v>0</v>
      </c>
      <c r="L9" s="456">
        <f>transport!L14</f>
        <v>0</v>
      </c>
      <c r="M9" s="456">
        <f>transport!M14</f>
        <v>561.05399548932053</v>
      </c>
      <c r="N9" s="456">
        <f>transport!N14</f>
        <v>0</v>
      </c>
      <c r="O9" s="456">
        <f>transport!O14</f>
        <v>0</v>
      </c>
      <c r="P9" s="456">
        <f>transport!P14</f>
        <v>0</v>
      </c>
      <c r="Q9" s="455">
        <f>SUM(B9:P9)</f>
        <v>10051.967043418885</v>
      </c>
    </row>
    <row r="10" spans="1:17">
      <c r="A10" s="451" t="s">
        <v>541</v>
      </c>
      <c r="B10" s="452">
        <f>transport!B54</f>
        <v>0</v>
      </c>
      <c r="C10" s="452">
        <f>transport!C54</f>
        <v>0</v>
      </c>
      <c r="D10" s="452">
        <f>transport!D54</f>
        <v>0</v>
      </c>
      <c r="E10" s="452">
        <f>transport!E54</f>
        <v>0</v>
      </c>
      <c r="F10" s="452">
        <f>transport!F54</f>
        <v>0</v>
      </c>
      <c r="G10" s="452">
        <f>transport!G54</f>
        <v>171.6887061169875</v>
      </c>
      <c r="H10" s="452">
        <f>transport!H54</f>
        <v>0</v>
      </c>
      <c r="I10" s="452">
        <f>transport!I54</f>
        <v>0</v>
      </c>
      <c r="J10" s="452">
        <f>transport!J54</f>
        <v>0</v>
      </c>
      <c r="K10" s="452">
        <f>transport!K54</f>
        <v>0</v>
      </c>
      <c r="L10" s="452">
        <f>transport!L54</f>
        <v>0</v>
      </c>
      <c r="M10" s="452">
        <f>transport!M54</f>
        <v>9.5409759678169994</v>
      </c>
      <c r="N10" s="452">
        <f>transport!N54</f>
        <v>0</v>
      </c>
      <c r="O10" s="452">
        <f>transport!O54</f>
        <v>0</v>
      </c>
      <c r="P10" s="453">
        <f>transport!P54</f>
        <v>0</v>
      </c>
      <c r="Q10" s="451">
        <f t="shared" si="0"/>
        <v>181.22968208480449</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110.743568</v>
      </c>
      <c r="C14" s="459"/>
      <c r="D14" s="459">
        <f>'SEAP template'!E25</f>
        <v>170.04961799999998</v>
      </c>
      <c r="E14" s="459"/>
      <c r="F14" s="459"/>
      <c r="G14" s="459"/>
      <c r="H14" s="459"/>
      <c r="I14" s="459"/>
      <c r="J14" s="459"/>
      <c r="K14" s="459"/>
      <c r="L14" s="459"/>
      <c r="M14" s="459"/>
      <c r="N14" s="459"/>
      <c r="O14" s="459"/>
      <c r="P14" s="460"/>
      <c r="Q14" s="451">
        <f t="shared" si="0"/>
        <v>280.79318599999999</v>
      </c>
    </row>
    <row r="15" spans="1:17" s="463" customFormat="1">
      <c r="A15" s="461" t="s">
        <v>545</v>
      </c>
      <c r="B15" s="462">
        <f ca="1">SUM(B4:B14)</f>
        <v>7496.1866631620887</v>
      </c>
      <c r="C15" s="462">
        <f t="shared" ref="C15:Q15" ca="1" si="1">SUM(C4:C14)</f>
        <v>0</v>
      </c>
      <c r="D15" s="462">
        <f t="shared" ca="1" si="1"/>
        <v>5781.2410352890111</v>
      </c>
      <c r="E15" s="462">
        <f t="shared" si="1"/>
        <v>2257.9075844822587</v>
      </c>
      <c r="F15" s="462">
        <f t="shared" ca="1" si="1"/>
        <v>7912.9805047230466</v>
      </c>
      <c r="G15" s="462">
        <f t="shared" si="1"/>
        <v>7691.619621755508</v>
      </c>
      <c r="H15" s="462">
        <f t="shared" si="1"/>
        <v>1927.0628325108594</v>
      </c>
      <c r="I15" s="462">
        <f t="shared" si="1"/>
        <v>0</v>
      </c>
      <c r="J15" s="462">
        <f t="shared" si="1"/>
        <v>782.64659215422955</v>
      </c>
      <c r="K15" s="462">
        <f t="shared" si="1"/>
        <v>0</v>
      </c>
      <c r="L15" s="462">
        <f t="shared" ca="1" si="1"/>
        <v>0</v>
      </c>
      <c r="M15" s="462">
        <f t="shared" si="1"/>
        <v>570.59497145713749</v>
      </c>
      <c r="N15" s="462">
        <f t="shared" ca="1" si="1"/>
        <v>2905.6061876594481</v>
      </c>
      <c r="O15" s="462">
        <f t="shared" si="1"/>
        <v>115.06957672444784</v>
      </c>
      <c r="P15" s="462">
        <f t="shared" si="1"/>
        <v>94.805633769165212</v>
      </c>
      <c r="Q15" s="462">
        <f t="shared" ca="1" si="1"/>
        <v>37535.721203687201</v>
      </c>
    </row>
    <row r="17" spans="1:17">
      <c r="A17" s="464" t="s">
        <v>546</v>
      </c>
      <c r="B17" s="781">
        <f ca="1">huishoudens!B10</f>
        <v>0.19133200447840615</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726.35863930265839</v>
      </c>
      <c r="C22" s="452">
        <f t="shared" ref="C22:C32" ca="1" si="3">C4*$C$17</f>
        <v>0</v>
      </c>
      <c r="D22" s="452">
        <f t="shared" ref="D22:D32" si="4">D4*$D$17</f>
        <v>616.01263885981598</v>
      </c>
      <c r="E22" s="452">
        <f t="shared" ref="E22:E32" si="5">E4*$E$17</f>
        <v>486.70746010255647</v>
      </c>
      <c r="F22" s="452">
        <f t="shared" ref="F22:F32" si="6">F4*$F$17</f>
        <v>1659.060846647435</v>
      </c>
      <c r="G22" s="452">
        <f t="shared" ref="G22:G32" si="7">G4*$G$17</f>
        <v>0</v>
      </c>
      <c r="H22" s="452">
        <f t="shared" ref="H22:H32" si="8">H4*$H$17</f>
        <v>0</v>
      </c>
      <c r="I22" s="452">
        <f t="shared" ref="I22:I32" si="9">I4*$I$17</f>
        <v>0</v>
      </c>
      <c r="J22" s="452">
        <f t="shared" ref="J22:J32" si="10">J4*$J$17</f>
        <v>240.55211543536581</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3728.691700347832</v>
      </c>
    </row>
    <row r="23" spans="1:17">
      <c r="A23" s="451" t="s">
        <v>155</v>
      </c>
      <c r="B23" s="452">
        <f t="shared" ca="1" si="2"/>
        <v>558.9720209824319</v>
      </c>
      <c r="C23" s="452">
        <f t="shared" ca="1" si="3"/>
        <v>0</v>
      </c>
      <c r="D23" s="452">
        <f t="shared" ca="1" si="4"/>
        <v>481.29316802978406</v>
      </c>
      <c r="E23" s="452">
        <f t="shared" si="5"/>
        <v>13.298050599621657</v>
      </c>
      <c r="F23" s="452">
        <f t="shared" ca="1" si="6"/>
        <v>81.771082623277977</v>
      </c>
      <c r="G23" s="452">
        <f t="shared" si="7"/>
        <v>0</v>
      </c>
      <c r="H23" s="452">
        <f t="shared" si="8"/>
        <v>0</v>
      </c>
      <c r="I23" s="452">
        <f t="shared" si="9"/>
        <v>0</v>
      </c>
      <c r="J23" s="452">
        <f t="shared" si="10"/>
        <v>1.0831094927579016E-3</v>
      </c>
      <c r="K23" s="452">
        <f t="shared" si="11"/>
        <v>0</v>
      </c>
      <c r="L23" s="452">
        <f t="shared" ca="1" si="12"/>
        <v>0</v>
      </c>
      <c r="M23" s="452">
        <f t="shared" si="13"/>
        <v>0</v>
      </c>
      <c r="N23" s="452">
        <f t="shared" ca="1" si="14"/>
        <v>0</v>
      </c>
      <c r="O23" s="452">
        <f t="shared" si="15"/>
        <v>0</v>
      </c>
      <c r="P23" s="453">
        <f t="shared" si="16"/>
        <v>0</v>
      </c>
      <c r="Q23" s="451">
        <f t="shared" ref="Q23:Q31" ca="1" si="17">SUM(B23:P23)</f>
        <v>1135.3354053446085</v>
      </c>
    </row>
    <row r="24" spans="1:17">
      <c r="A24" s="451" t="s">
        <v>193</v>
      </c>
      <c r="B24" s="452">
        <f t="shared" ca="1" si="2"/>
        <v>19.012087289005784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19.012087289005784</v>
      </c>
    </row>
    <row r="25" spans="1:17">
      <c r="A25" s="451" t="s">
        <v>111</v>
      </c>
      <c r="B25" s="452">
        <f t="shared" ca="1" si="2"/>
        <v>70.94081036732571</v>
      </c>
      <c r="C25" s="452">
        <f t="shared" ca="1" si="3"/>
        <v>0</v>
      </c>
      <c r="D25" s="452">
        <f t="shared" si="4"/>
        <v>0</v>
      </c>
      <c r="E25" s="452">
        <f t="shared" si="5"/>
        <v>2.6267791531005065</v>
      </c>
      <c r="F25" s="452">
        <f t="shared" si="6"/>
        <v>349.86455296069755</v>
      </c>
      <c r="G25" s="452">
        <f t="shared" si="7"/>
        <v>0</v>
      </c>
      <c r="H25" s="452">
        <f t="shared" si="8"/>
        <v>0</v>
      </c>
      <c r="I25" s="452">
        <f t="shared" si="9"/>
        <v>0</v>
      </c>
      <c r="J25" s="452">
        <f t="shared" si="10"/>
        <v>36.161323815163264</v>
      </c>
      <c r="K25" s="452">
        <f t="shared" si="11"/>
        <v>0</v>
      </c>
      <c r="L25" s="452">
        <f t="shared" si="12"/>
        <v>0</v>
      </c>
      <c r="M25" s="452">
        <f t="shared" si="13"/>
        <v>0</v>
      </c>
      <c r="N25" s="452">
        <f t="shared" si="14"/>
        <v>0</v>
      </c>
      <c r="O25" s="452">
        <f t="shared" si="15"/>
        <v>0</v>
      </c>
      <c r="P25" s="453">
        <f t="shared" si="16"/>
        <v>0</v>
      </c>
      <c r="Q25" s="451">
        <f t="shared" ca="1" si="17"/>
        <v>459.59346629628703</v>
      </c>
    </row>
    <row r="26" spans="1:17">
      <c r="A26" s="451" t="s">
        <v>625</v>
      </c>
      <c r="B26" s="452">
        <f t="shared" ca="1" si="2"/>
        <v>36.676055588412865</v>
      </c>
      <c r="C26" s="452">
        <f t="shared" ca="1" si="3"/>
        <v>0</v>
      </c>
      <c r="D26" s="452">
        <f t="shared" si="4"/>
        <v>31.983748345296</v>
      </c>
      <c r="E26" s="452">
        <f t="shared" si="5"/>
        <v>5.9497079593985562</v>
      </c>
      <c r="F26" s="452">
        <f t="shared" si="6"/>
        <v>22.069312529643025</v>
      </c>
      <c r="G26" s="452">
        <f t="shared" si="7"/>
        <v>0</v>
      </c>
      <c r="H26" s="452">
        <f t="shared" si="8"/>
        <v>0</v>
      </c>
      <c r="I26" s="452">
        <f t="shared" si="9"/>
        <v>0</v>
      </c>
      <c r="J26" s="452">
        <f t="shared" si="10"/>
        <v>0.34237126257541778</v>
      </c>
      <c r="K26" s="452">
        <f t="shared" si="11"/>
        <v>0</v>
      </c>
      <c r="L26" s="452">
        <f t="shared" si="12"/>
        <v>0</v>
      </c>
      <c r="M26" s="452">
        <f t="shared" si="13"/>
        <v>0</v>
      </c>
      <c r="N26" s="452">
        <f t="shared" si="14"/>
        <v>0</v>
      </c>
      <c r="O26" s="452">
        <f t="shared" si="15"/>
        <v>0</v>
      </c>
      <c r="P26" s="453">
        <f t="shared" si="16"/>
        <v>0</v>
      </c>
      <c r="Q26" s="451">
        <f t="shared" ca="1" si="17"/>
        <v>97.021195685325864</v>
      </c>
    </row>
    <row r="27" spans="1:17" s="457" customFormat="1">
      <c r="A27" s="455" t="s">
        <v>551</v>
      </c>
      <c r="B27" s="775">
        <f t="shared" ca="1" si="2"/>
        <v>1.1120178287320113</v>
      </c>
      <c r="C27" s="456">
        <f t="shared" ca="1" si="3"/>
        <v>0</v>
      </c>
      <c r="D27" s="456">
        <f t="shared" si="4"/>
        <v>4.1711110574843131</v>
      </c>
      <c r="E27" s="456">
        <f t="shared" si="5"/>
        <v>3.9630238627955108</v>
      </c>
      <c r="F27" s="456">
        <f t="shared" si="6"/>
        <v>0</v>
      </c>
      <c r="G27" s="456">
        <f t="shared" si="7"/>
        <v>2007.8215544754851</v>
      </c>
      <c r="H27" s="456">
        <f t="shared" si="8"/>
        <v>479.838645295204</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2496.9063525197007</v>
      </c>
    </row>
    <row r="28" spans="1:17" ht="16.5" customHeight="1">
      <c r="A28" s="451" t="s">
        <v>541</v>
      </c>
      <c r="B28" s="452">
        <f t="shared" ca="1" si="2"/>
        <v>0</v>
      </c>
      <c r="C28" s="452">
        <f t="shared" ca="1" si="3"/>
        <v>0</v>
      </c>
      <c r="D28" s="452">
        <f t="shared" si="4"/>
        <v>0</v>
      </c>
      <c r="E28" s="452">
        <f t="shared" si="5"/>
        <v>0</v>
      </c>
      <c r="F28" s="452">
        <f t="shared" si="6"/>
        <v>0</v>
      </c>
      <c r="G28" s="452">
        <f t="shared" si="7"/>
        <v>45.840884533235666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45.840884533235666</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21.188788848530674</v>
      </c>
      <c r="C32" s="452">
        <f t="shared" ca="1" si="3"/>
        <v>0</v>
      </c>
      <c r="D32" s="452">
        <f t="shared" si="4"/>
        <v>34.350022836000001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55.538811684530671</v>
      </c>
    </row>
    <row r="33" spans="1:17" s="463" customFormat="1">
      <c r="A33" s="461" t="s">
        <v>545</v>
      </c>
      <c r="B33" s="462">
        <f ca="1">SUM(B22:B32)</f>
        <v>1434.2604202070975</v>
      </c>
      <c r="C33" s="462">
        <f t="shared" ref="C33:Q33" ca="1" si="19">SUM(C22:C32)</f>
        <v>0</v>
      </c>
      <c r="D33" s="462">
        <f t="shared" ca="1" si="19"/>
        <v>1167.8106891283803</v>
      </c>
      <c r="E33" s="462">
        <f t="shared" si="19"/>
        <v>512.54502167747273</v>
      </c>
      <c r="F33" s="462">
        <f t="shared" ca="1" si="19"/>
        <v>2112.7657947610537</v>
      </c>
      <c r="G33" s="462">
        <f t="shared" si="19"/>
        <v>2053.6624390087209</v>
      </c>
      <c r="H33" s="462">
        <f t="shared" si="19"/>
        <v>479.838645295204</v>
      </c>
      <c r="I33" s="462">
        <f t="shared" si="19"/>
        <v>0</v>
      </c>
      <c r="J33" s="462">
        <f t="shared" si="19"/>
        <v>277.05689362259722</v>
      </c>
      <c r="K33" s="462">
        <f t="shared" si="19"/>
        <v>0</v>
      </c>
      <c r="L33" s="462">
        <f t="shared" ca="1" si="19"/>
        <v>0</v>
      </c>
      <c r="M33" s="462">
        <f t="shared" si="19"/>
        <v>0</v>
      </c>
      <c r="N33" s="462">
        <f t="shared" ca="1" si="19"/>
        <v>0</v>
      </c>
      <c r="O33" s="462">
        <f t="shared" si="19"/>
        <v>0</v>
      </c>
      <c r="P33" s="462">
        <f t="shared" si="19"/>
        <v>0</v>
      </c>
      <c r="Q33" s="462">
        <f t="shared" ca="1" si="19"/>
        <v>8037.939903700526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1006.3205083788434</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1006.3205083788434</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0.19133200447840615</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0.19133200447840615</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2020-06-20T15:36:29Z</dcterms:modified>
</cp:coreProperties>
</file>