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56" i="22"/>
  <c r="C58" i="22" s="1"/>
  <c r="D49" i="14" s="1"/>
  <c r="D52" i="14" s="1"/>
  <c r="C17" i="49"/>
  <c r="C10" i="13"/>
  <c r="C12" i="13" s="1"/>
  <c r="D41" i="14" s="1"/>
  <c r="D46" i="14" s="1"/>
  <c r="D61" i="14" s="1"/>
  <c r="D63" i="14" s="1"/>
  <c r="C22" i="59"/>
  <c r="C29" i="20"/>
  <c r="C17" i="19"/>
  <c r="C19" i="19" s="1"/>
  <c r="D39" i="14" s="1"/>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<sst xmlns="http://schemas.openxmlformats.org/spreadsheetml/2006/main" count="2438" uniqueCount="905">
  <si>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</si>
  <si>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</si>
  <si>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</si>
  <si>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</si>
  <si>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</si>
  <si>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</si>
  <si>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</si>
  <si>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</si>
  <si>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</si>
  <si>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</si>
  <si>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</si>
  <si>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</si>
  <si>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</si>
  <si>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</si>
  <si>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</si>
  <si>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</si>
  <si>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</si>
  <si>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</si>
  <si>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</si>
  <si>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</si>
  <si>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</si>
  <si>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</si>
  <si>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</si>
  <si>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</si>
  <si>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</si>
  <si>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</si>
  <si>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</si>
  <si>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</si>
  <si>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</si>
  <si>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</si>
  <si>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</si>
  <si>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</si>
  <si>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</si>
  <si>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</si>
  <si>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</si>
  <si>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</si>
  <si>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</si>
  <si>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</si>
  <si>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</si>
  <si>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</si>
  <si>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</si>
  <si>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</si>
  <si>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</si>
  <si>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</si>
  <si>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</si>
  <si>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</si>
  <si>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</si>
  <si>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</si>
  <si>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</si>
  <si>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</si>
  <si>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</si>
  <si>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</si>
  <si>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</si>
  <si>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</si>
  <si>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</si>
  <si>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</si>
  <si>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</si>
  <si>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</si>
  <si>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</si>
  <si>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</si>
  <si>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</si>
  <si>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</si>
  <si>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</si>
  <si>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</si>
  <si>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</si>
  <si>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</si>
  <si>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</si>
  <si>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</si>
  <si>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</si>
  <si>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</si>
  <si>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</si>
  <si>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</si>
  <si>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</si>
  <si>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</si>
  <si>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</si>
  <si>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</si>
  <si>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</si>
  <si>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</si>
  <si>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</si>
  <si>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</si>
  <si>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</si>
  <si>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</si>
  <si>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</si>
  <si>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</si>
  <si>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</si>
  <si>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</si>
  <si>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</si>
  <si>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</si>
  <si>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</si>
  <si>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</si>
  <si>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</si>
  <si>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</si>
  <si>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</si>
  <si>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</si>
  <si>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</si>
  <si>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</si>
  <si>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</si>
  <si>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</si>
  <si>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</si>
  <si>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</si>
  <si>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</si>
  <si>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</si>
  <si>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</si>
  <si>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</si>
  <si>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</si>
  <si>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</si>
  <si>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</si>
  <si>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</si>
  <si>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</si>
  <si>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</si>
  <si>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</si>
  <si>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</si>
  <si>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</si>
  <si>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</si>
  <si>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</si>
  <si>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</si>
  <si>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</si>
  <si>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</si>
  <si>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</si>
  <si>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</si>
  <si>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</si>
  <si>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</si>
  <si>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</si>
  <si>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</si>
  <si>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</si>
  <si>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</si>
  <si>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</si>
  <si>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</si>
  <si>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</si>
  <si>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</si>
  <si>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</si>
  <si>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</si>
  <si>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</si>
  <si>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</si>
  <si>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</si>
  <si>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</si>
  <si>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</si>
  <si>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</si>
  <si>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</si>
  <si>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</si>
  <si>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</si>
  <si>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</si>
  <si>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</si>
  <si>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</si>
  <si>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</si>
  <si>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</si>
  <si>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</si>
  <si>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</si>
  <si>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</si>
  <si>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</si>
  <si>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</si>
  <si>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</si>
  <si>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</si>
  <si>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</si>
  <si>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</si>
  <si>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</si>
  <si>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</si>
  <si>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</si>
  <si>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</si>
  <si>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</si>
  <si>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</si>
  <si>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</si>
  <si>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</si>
  <si>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</si>
  <si>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</si>
  <si>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</si>
  <si>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</si>
  <si>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</si>
  <si>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</si>
  <si>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</si>
  <si>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</si>
  <si>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</si>
  <si>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</si>
  <si>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</si>
  <si>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</si>
  <si>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</si>
  <si>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</si>
  <si>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</si>
  <si>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</si>
  <si>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</si>
  <si>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</si>
  <si>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</si>
  <si>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</si>
  <si>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</si>
  <si>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</si>
  <si>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</si>
  <si>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</si>
  <si>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</si>
  <si>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</si>
  <si>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</si>
  <si>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</si>
  <si>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</si>
  <si>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</si>
  <si>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</si>
  <si>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</si>
  <si>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</si>
  <si>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</si>
  <si>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</si>
  <si>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</si>
  <si>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</si>
  <si>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</si>
  <si>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</si>
  <si>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</si>
  <si>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</si>
  <si>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</si>
  <si>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</si>
  <si>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</si>
  <si>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</si>
  <si>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</si>
  <si>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</si>
  <si>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</si>
  <si>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</si>
  <si>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</si>
  <si>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</si>
  <si>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</si>
  <si>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</si>
  <si>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</si>
  <si>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</si>
  <si>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</si>
  <si>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</si>
  <si>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</si>
  <si>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</si>
  <si>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</si>
  <si>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</si>
  <si>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</si>
  <si>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</si>
  <si>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</si>
  <si>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</si>
  <si>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</si>
  <si>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</si>
  <si>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</si>
  <si>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</si>
  <si>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</si>
  <si>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</si>
  <si>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</si>
  <si>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</si>
  <si>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</si>
  <si>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</si>
  <si>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</si>
  <si>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</si>
  <si>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</si>
  <si>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</si>
  <si>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</si>
  <si>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</si>
  <si>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</si>
  <si>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</si>
  <si>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</si>
  <si>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</si>
  <si>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</si>
  <si>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</si>
  <si>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</si>
  <si>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</si>
  <si>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</si>
  <si>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</si>
  <si>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</si>
  <si>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</si>
  <si>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</si>
  <si>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</si>
  <si>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</si>
  <si>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</si>
  <si>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</si>
  <si>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</si>
  <si>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</si>
  <si>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</si>
  <si>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</si>
  <si>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</si>
  <si>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</si>
  <si>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</si>
  <si>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</si>
  <si>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</si>
  <si>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</si>
  <si>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</si>
  <si>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</si>
  <si>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</si>
  <si>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</si>
  <si>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</si>
  <si>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</si>
  <si>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</si>
  <si>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</si>
  <si>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</si>
  <si>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</si>
  <si>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</si>
  <si>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</si>
  <si>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</si>
  <si>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</si>
  <si>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</si>
  <si>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</si>
  <si>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</si>
  <si>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</si>
  <si>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</si>
  <si>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</si>
  <si>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</si>
  <si>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</si>
  <si>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</si>
  <si>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</si>
  <si>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</si>
  <si>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</si>
  <si>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</si>
  <si>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</si>
  <si>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</si>
  <si>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</si>
  <si>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</si>
  <si>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</si>
  <si>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</si>
  <si>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</si>
  <si>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</si>
  <si>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</si>
  <si>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</si>
  <si>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</si>
  <si>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</si>
  <si>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</si>
  <si>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</si>
  <si>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</si>
  <si>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</si>
  <si>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</si>
  <si>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</si>
  <si>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</si>
  <si>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</si>
  <si>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</si>
  <si>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</si>
  <si>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</si>
  <si>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</si>
  <si>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</si>
  <si>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</si>
  <si>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</si>
  <si>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</si>
  <si>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</si>
  <si>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</si>
  <si>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</si>
  <si>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</si>
  <si>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</si>
  <si>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</si>
  <si>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</si>
  <si>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</si>
  <si>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</si>
  <si>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</si>
  <si>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</si>
  <si>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</si>
  <si>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</si>
  <si>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</si>
  <si>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</si>
  <si>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</si>
  <si>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</si>
  <si>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</si>
  <si>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</si>
  <si>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</si>
  <si>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</si>
  <si>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</si>
  <si>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</si>
  <si>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</si>
  <si>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</si>
  <si>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</si>
  <si>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</si>
  <si>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</si>
  <si>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</si>
  <si>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</si>
  <si>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</si>
  <si>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</si>
  <si>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</si>
  <si>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</si>
  <si>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</si>
  <si>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</si>
  <si>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</si>
  <si>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</si>
  <si>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</si>
  <si>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</si>
  <si>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</si>
  <si>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</si>
  <si>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</si>
  <si>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</si>
  <si>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</si>
  <si>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</si>
  <si>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</si>
  <si>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</si>
  <si>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</si>
  <si>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</si>
  <si>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</si>
  <si>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</si>
  <si>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</si>
  <si>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</si>
  <si>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</si>
  <si>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</si>
  <si>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</si>
  <si>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</si>
  <si>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</si>
  <si>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</si>
  <si>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</si>
  <si>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</si>
  <si>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</si>
  <si>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</si>
  <si>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</si>
  <si>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</si>
  <si>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</si>
  <si>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</si>
  <si>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</si>
  <si>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</si>
  <si>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</si>
  <si>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</si>
  <si>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</si>
  <si>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</si>
  <si>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</si>
  <si>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</si>
  <si>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</si>
  <si>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</si>
  <si>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</si>
  <si>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</si>
  <si>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</si>
  <si>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</si>
  <si>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</si>
  <si>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</si>
  <si>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</si>
  <si>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</si>
  <si>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</si>
  <si>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</si>
  <si>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</si>
  <si>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</si>
  <si>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</si>
  <si>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</si>
  <si>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</si>
  <si>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</si>
  <si>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</si>
  <si>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</si>
  <si>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</si>
  <si>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</si>
  <si>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</si>
  <si>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</si>
  <si>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</si>
  <si>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</si>
  <si>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</si>
  <si>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</si>
  <si>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</si>
  <si>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</si>
  <si>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</si>
  <si>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</si>
  <si>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</si>
  <si>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</si>
  <si>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</si>
  <si>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</si>
  <si>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</si>
  <si>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</si>
  <si>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</si>
  <si>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</si>
  <si>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</si>
  <si>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</si>
  <si>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</si>
  <si>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</si>
  <si>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</si>
  <si>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</si>
  <si>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</si>
  <si>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</si>
  <si>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</si>
  <si>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</si>
  <si>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</si>
  <si>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</si>
  <si>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</si>
  <si>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</si>
  <si>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</si>
  <si>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</si>
  <si>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</si>
  <si>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</si>
  <si>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</si>
  <si>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</si>
  <si>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</si>
  <si>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</si>
  <si>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</si>
  <si>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</si>
  <si>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</si>
  <si>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</si>
  <si>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</si>
  <si>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</si>
  <si>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</si>
  <si>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</si>
  <si>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</si>
  <si>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</si>
  <si>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</si>
  <si>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</si>
  <si>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</si>
  <si>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</si>
  <si>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</si>
  <si>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</si>
  <si>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</si>
  <si>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</si>
  <si>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</si>
  <si>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</si>
  <si>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</si>
  <si>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</si>
  <si>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</si>
  <si>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</si>
  <si>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</si>
  <si>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</si>
  <si>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</si>
  <si>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</si>
  <si>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</si>
  <si>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</si>
  <si>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</si>
  <si>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</si>
  <si>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</si>
  <si>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</si>
  <si>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</si>
  <si>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</si>
  <si>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</si>
  <si>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</si>
  <si>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</si>
  <si>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</si>
  <si>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</si>
  <si>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</si>
  <si>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</si>
  <si>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</si>
  <si>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</si>
  <si>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</si>
  <si>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</si>
  <si>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</si>
  <si>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</si>
  <si>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</si>
  <si>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</si>
  <si>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</si>
  <si>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</si>
  <si>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</si>
  <si>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</si>
  <si>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</si>
  <si>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</si>
  <si>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</si>
  <si>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</si>
  <si>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</si>
  <si>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</si>
  <si>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</si>
  <si>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</si>
  <si>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</si>
  <si>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</si>
  <si>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</si>
  <si>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</si>
  <si>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</si>
  <si>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</si>
  <si>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</si>
  <si>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</si>
  <si>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</si>
  <si>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</si>
  <si>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</si>
  <si>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</si>
  <si>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</si>
  <si>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</si>
  <si>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</si>
  <si>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</si>
  <si>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</si>
  <si>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</si>
  <si>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</si>
  <si>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</si>
  <si>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</si>
  <si>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</si>
  <si>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</si>
  <si>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</si>
  <si>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</si>
  <si>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</si>
  <si>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</si>
  <si>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</si>
  <si>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</si>
  <si>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</si>
  <si>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</si>
  <si>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</si>
  <si>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</si>
  <si>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</si>
  <si>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</si>
  <si>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</si>
  <si>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</si>
  <si>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</si>
  <si>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</si>
  <si>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</si>
  <si>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</si>
  <si>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</si>
  <si>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</si>
  <si>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</si>
  <si>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</si>
  <si>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</si>
  <si>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</si>
  <si>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</si>
  <si>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</si>
  <si>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</si>
  <si>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</si>
  <si>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</si>
  <si>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</si>
  <si>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</si>
  <si>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</si>
  <si>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</si>
  <si>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</si>
  <si>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</si>
  <si>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</si>
  <si>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</si>
  <si>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</si>
  <si>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</si>
  <si>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</si>
  <si>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</si>
  <si>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</si>
  <si>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</si>
  <si>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</si>
  <si>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</si>
  <si>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</si>
  <si>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</si>
  <si>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</si>
  <si>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</si>
  <si>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</si>
  <si>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</si>
  <si>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</si>
  <si>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</si>
  <si>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</si>
  <si>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</si>
  <si>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</si>
  <si>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</si>
  <si>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</si>
  <si>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</si>
  <si>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</si>
  <si>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</si>
  <si>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</si>
  <si>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</si>
  <si>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</si>
  <si>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</si>
  <si>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</si>
  <si>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</si>
  <si>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</si>
  <si>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</si>
  <si>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</si>
  <si>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</si>
  <si>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</si>
  <si>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</si>
  <si>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</si>
  <si>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</si>
  <si>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</si>
  <si>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</si>
  <si>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</si>
  <si>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</si>
  <si>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</si>
  <si>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</si>
  <si>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</si>
  <si>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</si>
  <si>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</si>
  <si>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</si>
  <si>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</si>
  <si>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</si>
  <si>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</si>
  <si>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</si>
  <si>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</si>
  <si>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</si>
  <si>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</si>
  <si>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</si>
  <si>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</si>
  <si>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</si>
  <si>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</si>
  <si>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</si>
  <si>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</si>
  <si>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</si>
  <si>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</si>
  <si>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</si>
  <si>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</si>
  <si>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</si>
  <si>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</si>
  <si>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</si>
  <si>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</si>
  <si>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</si>
  <si>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</si>
  <si>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</si>
  <si>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</si>
  <si>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</si>
  <si>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</si>
  <si>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</si>
  <si>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</si>
  <si>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</si>
  <si>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</si>
  <si>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</si>
  <si>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</si>
  <si>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</si>
  <si>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</si>
  <si>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</si>
  <si>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</si>
  <si>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</si>
  <si>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</si>
  <si>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</si>
  <si>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</si>
  <si>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</si>
  <si>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</si>
  <si>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</si>
  <si>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</si>
  <si>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</si>
  <si>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</si>
  <si>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</si>
  <si>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</si>
  <si>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</si>
  <si>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</si>
  <si>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</si>
  <si>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</si>
  <si>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</si>
  <si>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</si>
  <si>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</si>
  <si>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</si>
  <si>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</si>
  <si>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</si>
  <si>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</si>
  <si>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</si>
  <si>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</si>
  <si>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</si>
  <si>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</si>
  <si>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</si>
  <si>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</si>
  <si>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</si>
  <si>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</si>
  <si>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</si>
  <si>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</si>
  <si>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</si>
  <si>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</si>
  <si>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</si>
  <si>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</si>
  <si>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</si>
  <si>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</si>
  <si>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</si>
  <si>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</si>
  <si>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</si>
  <si>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</si>
  <si>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</si>
  <si>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</si>
  <si>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</si>
  <si>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</si>
  <si>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</si>
  <si>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</si>
  <si>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</si>
  <si>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</si>
  <si>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</si>
  <si>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</si>
  <si>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</si>
  <si>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</si>
  <si>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</si>
  <si>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</si>
  <si>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</si>
  <si>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</si>
  <si>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</si>
  <si>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</si>
  <si>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</si>
  <si>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</si>
  <si>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</si>
  <si>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</si>
  <si>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</si>
  <si>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</si>
  <si>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</si>
  <si>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</si>
  <si>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</si>
  <si>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</si>
  <si>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</si>
  <si>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</si>
  <si>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</si>
  <si>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</si>
  <si>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</si>
  <si>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</si>
  <si>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</si>
  <si>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</si>
  <si>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</si>
  <si>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</si>
  <si>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</si>
  <si>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</si>
  <si>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</si>
  <si>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</si>
  <si>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</si>
  <si>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</si>
  <si>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</si>
  <si>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</si>
  <si>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</si>
  <si>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</si>
  <si>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</si>
  <si>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</si>
  <si>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</si>
  <si>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</si>
  <si>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</si>
  <si>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</si>
  <si>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</si>
  <si>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</si>
  <si>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</si>
  <si>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</si>
  <si>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</si>
  <si>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</si>
  <si>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</si>
  <si>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</si>
  <si>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</si>
  <si>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</si>
  <si>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</si>
  <si>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</si>
  <si>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</si>
  <si>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</si>
  <si>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</si>
  <si>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</si>
  <si>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</si>
  <si>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</si>
  <si>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</si>
  <si>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</si>
  <si>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</si>
  <si>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</si>
  <si>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</si>
  <si>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</si>
  <si>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</si>
  <si>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</si>
  <si>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</si>
  <si>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</si>
  <si>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</si>
  <si>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</si>
  <si>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</si>
  <si>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</si>
  <si>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</si>
  <si>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</si>
  <si>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</si>
  <si>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</si>
  <si>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</si>
  <si>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</si>
  <si>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</si>
  <si>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</si>
  <si>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</si>
  <si>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</si>
  <si>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</si>
  <si>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</si>
  <si>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</si>
  <si>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</si>
  <si>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</si>
  <si>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</si>
  <si>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</si>
  <si>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</si>
  <si>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</si>
  <si>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</si>
  <si>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</si>
  <si>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</si>
  <si>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</si>
  <si>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</si>
  <si>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</si>
  <si>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</si>
  <si>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</si>
  <si>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</si>
  <si>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</si>
  <si>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</si>
  <si>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</si>
  <si>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</si>
  <si>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</si>
  <si>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</si>
  <si>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</si>
  <si>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</si>
  <si>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</si>
  <si>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</si>
  <si>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</si>
  <si>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</si>
  <si>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</si>
  <si>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</si>
  <si>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</si>
  <si>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</si>
  <si>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</si>
  <si>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</si>
  <si>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</si>
  <si>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</si>
  <si>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</si>
  <si>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</si>
  <si>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</si>
  <si>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</si>
  <si>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</si>
  <si>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</si>
  <si>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</si>
  <si>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</si>
  <si>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</si>
  <si>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</si>
  <si>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</si>
  <si>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</si>
  <si>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</si>
  <si>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</si>
  <si>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</si>
  <si>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</si>
  <si>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</si>
  <si>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</si>
  <si>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</si>
  <si>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</si>
  <si>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</si>
  <si>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</si>
  <si>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</si>
  <si>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</si>
  <si>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</si>
  <si>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</si>
  <si>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</si>
  <si>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</si>
  <si>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</si>
  <si>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</si>
  <si>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</si>
  <si>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</si>
  <si>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</si>
  <si>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</si>
  <si>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</si>
  <si>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</si>
  <si>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45035</t>
  </si>
  <si>
    <t>OUDENAARDE</t>
  </si>
  <si>
    <t>referentietaak LNE (2017); Jaarverslag De Lijn</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</si>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</sst>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248036.76306845696</c:v>
                </c:pt>
                <c:pt idx="1">
                  <c:v>169853.790642101</c:v>
                </c:pt>
                <c:pt idx="2">
                  <c:v>2336.1039999999998</c:v>
                </c:pt>
                <c:pt idx="3">
                  <c:v>8890.2133592224563</c:v>
                </c:pt>
                <c:pt idx="4">
                  <c:v>397526.67849169433</c:v>
                </c:pt>
                <c:pt idx="5">
                  <c:v>181403.22104925514</c:v>
                </c:pt>
                <c:pt idx="6">
                  <c:v>2511.099735987681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248036.76306845696</c:v>
                </c:pt>
                <c:pt idx="1">
                  <c:v>169853.790642101</c:v>
                </c:pt>
                <c:pt idx="2">
                  <c:v>2336.1039999999998</c:v>
                </c:pt>
                <c:pt idx="3">
                  <c:v>8890.2133592224563</c:v>
                </c:pt>
                <c:pt idx="4">
                  <c:v>397526.67849169433</c:v>
                </c:pt>
                <c:pt idx="5">
                  <c:v>181403.22104925514</c:v>
                </c:pt>
                <c:pt idx="6">
                  <c:v>2511.099735987681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47153.222360659311</c:v>
                </c:pt>
                <c:pt idx="1">
                  <c:v>34074.93552422514</c:v>
                </c:pt>
                <c:pt idx="2">
                  <c:v>485.22071100309188</c:v>
                </c:pt>
                <c:pt idx="3">
                  <c:v>2292.0754545792875</c:v>
                </c:pt>
                <c:pt idx="4">
                  <c:v>82524.451243768519</c:v>
                </c:pt>
                <c:pt idx="5">
                  <c:v>45132.980849515836</c:v>
                </c:pt>
                <c:pt idx="6">
                  <c:v>635.16655618799166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47153.222360659311</c:v>
                </c:pt>
                <c:pt idx="1">
                  <c:v>34074.93552422514</c:v>
                </c:pt>
                <c:pt idx="2">
                  <c:v>485.22071100309188</c:v>
                </c:pt>
                <c:pt idx="3">
                  <c:v>2292.0754545792875</c:v>
                </c:pt>
                <c:pt idx="4">
                  <c:v>82524.451243768519</c:v>
                </c:pt>
                <c:pt idx="5">
                  <c:v>45132.980849515836</c:v>
                </c:pt>
                <c:pt idx="6">
                  <c:v>635.16655618799166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45035</v>
      </c>
      <c r="B6" s="390"/>
      <c r="C6" s="391"/>
    </row>
    <row r="7" spans="1:7" s="388" customFormat="1" ht="15.75" customHeight="1">
      <c r="A7" s="392" t="str">
        <f>txtMunicipality</f>
        <v>OUDENAARDE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0.20770509831886419</v>
      </c>
      <c r="C17" s="501">
        <f ca="1">'EF ele_warmte'!B22</f>
        <v>0.2375733654061262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0.20770509831886419</v>
      </c>
      <c r="C29" s="502">
        <f ca="1">'EF ele_warmte'!B22</f>
        <v>0.2375733654061262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13496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3783.59</v>
      </c>
      <c r="C14" s="330"/>
      <c r="D14" s="330"/>
      <c r="E14" s="330"/>
      <c r="F14" s="330"/>
    </row>
    <row r="15" spans="1:6">
      <c r="A15" s="1298" t="s">
        <v>183</v>
      </c>
      <c r="B15" s="1299">
        <v>32</v>
      </c>
      <c r="C15" s="330"/>
      <c r="D15" s="330"/>
      <c r="E15" s="330"/>
      <c r="F15" s="330"/>
    </row>
    <row r="16" spans="1:6">
      <c r="A16" s="1298" t="s">
        <v>6</v>
      </c>
      <c r="B16" s="1299">
        <v>1249</v>
      </c>
      <c r="C16" s="330"/>
      <c r="D16" s="330"/>
      <c r="E16" s="330"/>
      <c r="F16" s="330"/>
    </row>
    <row r="17" spans="1:6">
      <c r="A17" s="1298" t="s">
        <v>7</v>
      </c>
      <c r="B17" s="1299">
        <v>745</v>
      </c>
      <c r="C17" s="330"/>
      <c r="D17" s="330"/>
      <c r="E17" s="330"/>
      <c r="F17" s="330"/>
    </row>
    <row r="18" spans="1:6">
      <c r="A18" s="1298" t="s">
        <v>8</v>
      </c>
      <c r="B18" s="1299">
        <v>1221</v>
      </c>
      <c r="C18" s="330"/>
      <c r="D18" s="330"/>
      <c r="E18" s="330"/>
      <c r="F18" s="330"/>
    </row>
    <row r="19" spans="1:6">
      <c r="A19" s="1298" t="s">
        <v>9</v>
      </c>
      <c r="B19" s="1299">
        <v>1154</v>
      </c>
      <c r="C19" s="330"/>
      <c r="D19" s="330"/>
      <c r="E19" s="330"/>
      <c r="F19" s="330"/>
    </row>
    <row r="20" spans="1:6">
      <c r="A20" s="1298" t="s">
        <v>10</v>
      </c>
      <c r="B20" s="1299">
        <v>698</v>
      </c>
      <c r="C20" s="330"/>
      <c r="D20" s="330"/>
      <c r="E20" s="330"/>
      <c r="F20" s="330"/>
    </row>
    <row r="21" spans="1:6">
      <c r="A21" s="1298" t="s">
        <v>11</v>
      </c>
      <c r="B21" s="1299">
        <v>1593</v>
      </c>
      <c r="C21" s="330"/>
      <c r="D21" s="330"/>
      <c r="E21" s="330"/>
      <c r="F21" s="330"/>
    </row>
    <row r="22" spans="1:6">
      <c r="A22" s="1298" t="s">
        <v>12</v>
      </c>
      <c r="B22" s="1299">
        <v>5220</v>
      </c>
      <c r="C22" s="330"/>
      <c r="D22" s="330"/>
      <c r="E22" s="330"/>
      <c r="F22" s="330"/>
    </row>
    <row r="23" spans="1:6">
      <c r="A23" s="1298" t="s">
        <v>13</v>
      </c>
      <c r="B23" s="1299">
        <v>132</v>
      </c>
      <c r="C23" s="330"/>
      <c r="D23" s="330"/>
      <c r="E23" s="330"/>
      <c r="F23" s="330"/>
    </row>
    <row r="24" spans="1:6">
      <c r="A24" s="1298" t="s">
        <v>14</v>
      </c>
      <c r="B24" s="1299">
        <v>30</v>
      </c>
      <c r="C24" s="330"/>
      <c r="D24" s="330"/>
      <c r="E24" s="330"/>
      <c r="F24" s="330"/>
    </row>
    <row r="25" spans="1:6">
      <c r="A25" s="1298" t="s">
        <v>15</v>
      </c>
      <c r="B25" s="1299">
        <v>332</v>
      </c>
      <c r="C25" s="330"/>
      <c r="D25" s="330"/>
      <c r="E25" s="330"/>
      <c r="F25" s="330"/>
    </row>
    <row r="26" spans="1:6">
      <c r="A26" s="1298" t="s">
        <v>16</v>
      </c>
      <c r="B26" s="1299">
        <v>10</v>
      </c>
      <c r="C26" s="330"/>
      <c r="D26" s="330"/>
      <c r="E26" s="330"/>
      <c r="F26" s="330"/>
    </row>
    <row r="27" spans="1:6">
      <c r="A27" s="1298" t="s">
        <v>17</v>
      </c>
      <c r="B27" s="1299">
        <v>3</v>
      </c>
      <c r="C27" s="330"/>
      <c r="D27" s="330"/>
      <c r="E27" s="330"/>
      <c r="F27" s="330"/>
    </row>
    <row r="28" spans="1:6" s="43" customFormat="1">
      <c r="A28" s="1300" t="s">
        <v>18</v>
      </c>
      <c r="B28" s="1301">
        <v>225563</v>
      </c>
      <c r="C28" s="336"/>
      <c r="D28" s="336"/>
      <c r="E28" s="336"/>
      <c r="F28" s="336"/>
    </row>
    <row r="29" spans="1:6">
      <c r="A29" s="1300" t="s">
        <v>705</v>
      </c>
      <c r="B29" s="1301">
        <v>81</v>
      </c>
      <c r="C29" s="336"/>
      <c r="D29" s="336"/>
      <c r="E29" s="336"/>
      <c r="F29" s="336"/>
    </row>
    <row r="30" spans="1:6">
      <c r="A30" s="1293" t="s">
        <v>706</v>
      </c>
      <c r="B30" s="1302">
        <v>28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4</v>
      </c>
      <c r="F35" s="1299">
        <v>12292.647000000001</v>
      </c>
    </row>
    <row r="36" spans="1:6">
      <c r="A36" s="1298" t="s">
        <v>24</v>
      </c>
      <c r="B36" s="1298" t="s">
        <v>26</v>
      </c>
      <c r="C36" s="1299">
        <v>0</v>
      </c>
      <c r="D36" s="1299">
        <v>0</v>
      </c>
      <c r="E36" s="1299">
        <v>8</v>
      </c>
      <c r="F36" s="1299">
        <v>51818.535000000003</v>
      </c>
    </row>
    <row r="37" spans="1:6">
      <c r="A37" s="1298" t="s">
        <v>24</v>
      </c>
      <c r="B37" s="1298" t="s">
        <v>27</v>
      </c>
      <c r="C37" s="1299">
        <v>0</v>
      </c>
      <c r="D37" s="1299">
        <v>0</v>
      </c>
      <c r="E37" s="1299">
        <v>0</v>
      </c>
      <c r="F37" s="1299">
        <v>0</v>
      </c>
    </row>
    <row r="38" spans="1:6">
      <c r="A38" s="1298" t="s">
        <v>24</v>
      </c>
      <c r="B38" s="1298" t="s">
        <v>28</v>
      </c>
      <c r="C38" s="1299">
        <v>3</v>
      </c>
      <c r="D38" s="1299">
        <v>124323.768</v>
      </c>
      <c r="E38" s="1299">
        <v>1</v>
      </c>
      <c r="F38" s="1299">
        <v>453644.08899999998</v>
      </c>
    </row>
    <row r="39" spans="1:6">
      <c r="A39" s="1298" t="s">
        <v>29</v>
      </c>
      <c r="B39" s="1298" t="s">
        <v>30</v>
      </c>
      <c r="C39" s="1299">
        <v>8595</v>
      </c>
      <c r="D39" s="1299">
        <v>123481484.2</v>
      </c>
      <c r="E39" s="1299">
        <v>13330</v>
      </c>
      <c r="F39" s="1299">
        <v>46702510.259999998</v>
      </c>
    </row>
    <row r="40" spans="1:6">
      <c r="A40" s="1298" t="s">
        <v>29</v>
      </c>
      <c r="B40" s="1298" t="s">
        <v>28</v>
      </c>
      <c r="C40" s="1299">
        <v>0</v>
      </c>
      <c r="D40" s="1299">
        <v>0</v>
      </c>
      <c r="E40" s="1299">
        <v>0</v>
      </c>
      <c r="F40" s="1299">
        <v>0</v>
      </c>
    </row>
    <row r="41" spans="1:6">
      <c r="A41" s="1298" t="s">
        <v>31</v>
      </c>
      <c r="B41" s="1298" t="s">
        <v>32</v>
      </c>
      <c r="C41" s="1299">
        <v>235</v>
      </c>
      <c r="D41" s="1299">
        <v>47300030.75</v>
      </c>
      <c r="E41" s="1299">
        <v>400</v>
      </c>
      <c r="F41" s="1299">
        <v>5263787.1950000003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14</v>
      </c>
      <c r="D44" s="1299">
        <v>644950.29200000002</v>
      </c>
      <c r="E44" s="1299">
        <v>40</v>
      </c>
      <c r="F44" s="1299">
        <v>3249398.0060000001</v>
      </c>
    </row>
    <row r="45" spans="1:6">
      <c r="A45" s="1298" t="s">
        <v>31</v>
      </c>
      <c r="B45" s="1298" t="s">
        <v>36</v>
      </c>
      <c r="C45" s="1299">
        <v>0</v>
      </c>
      <c r="D45" s="1299">
        <v>0</v>
      </c>
      <c r="E45" s="1299">
        <v>7</v>
      </c>
      <c r="F45" s="1299">
        <v>1316153.1370000001</v>
      </c>
    </row>
    <row r="46" spans="1:6">
      <c r="A46" s="1298" t="s">
        <v>31</v>
      </c>
      <c r="B46" s="1298" t="s">
        <v>37</v>
      </c>
      <c r="C46" s="1299">
        <v>0</v>
      </c>
      <c r="D46" s="1299">
        <v>0</v>
      </c>
      <c r="E46" s="1299">
        <v>0</v>
      </c>
      <c r="F46" s="1299">
        <v>0</v>
      </c>
    </row>
    <row r="47" spans="1:6">
      <c r="A47" s="1298" t="s">
        <v>31</v>
      </c>
      <c r="B47" s="1298" t="s">
        <v>38</v>
      </c>
      <c r="C47" s="1299">
        <v>11</v>
      </c>
      <c r="D47" s="1299">
        <v>714849.22900000005</v>
      </c>
      <c r="E47" s="1299">
        <v>17</v>
      </c>
      <c r="F47" s="1299">
        <v>1899690.6059999999</v>
      </c>
    </row>
    <row r="48" spans="1:6">
      <c r="A48" s="1298" t="s">
        <v>31</v>
      </c>
      <c r="B48" s="1298" t="s">
        <v>28</v>
      </c>
      <c r="C48" s="1299">
        <v>57</v>
      </c>
      <c r="D48" s="1299">
        <v>145361757.09999999</v>
      </c>
      <c r="E48" s="1299">
        <v>56</v>
      </c>
      <c r="F48" s="1299">
        <v>144371653.90000001</v>
      </c>
    </row>
    <row r="49" spans="1:6">
      <c r="A49" s="1298" t="s">
        <v>31</v>
      </c>
      <c r="B49" s="1298" t="s">
        <v>39</v>
      </c>
      <c r="C49" s="1299">
        <v>0</v>
      </c>
      <c r="D49" s="1299">
        <v>0</v>
      </c>
      <c r="E49" s="1299">
        <v>10</v>
      </c>
      <c r="F49" s="1299">
        <v>448763.92099999997</v>
      </c>
    </row>
    <row r="50" spans="1:6">
      <c r="A50" s="1298" t="s">
        <v>31</v>
      </c>
      <c r="B50" s="1298" t="s">
        <v>40</v>
      </c>
      <c r="C50" s="1299">
        <v>24</v>
      </c>
      <c r="D50" s="1299">
        <v>12545766.01</v>
      </c>
      <c r="E50" s="1299">
        <v>47</v>
      </c>
      <c r="F50" s="1299">
        <v>8296477.2609999999</v>
      </c>
    </row>
    <row r="51" spans="1:6">
      <c r="A51" s="1298" t="s">
        <v>41</v>
      </c>
      <c r="B51" s="1298" t="s">
        <v>42</v>
      </c>
      <c r="C51" s="1299">
        <v>15</v>
      </c>
      <c r="D51" s="1299">
        <v>262126.49299999999</v>
      </c>
      <c r="E51" s="1299">
        <v>110</v>
      </c>
      <c r="F51" s="1299">
        <v>1638078.59</v>
      </c>
    </row>
    <row r="52" spans="1:6">
      <c r="A52" s="1298" t="s">
        <v>41</v>
      </c>
      <c r="B52" s="1298" t="s">
        <v>28</v>
      </c>
      <c r="C52" s="1299">
        <v>5</v>
      </c>
      <c r="D52" s="1299">
        <v>125299.29</v>
      </c>
      <c r="E52" s="1299">
        <v>10</v>
      </c>
      <c r="F52" s="1299">
        <v>136375.66200000001</v>
      </c>
    </row>
    <row r="53" spans="1:6">
      <c r="A53" s="1298" t="s">
        <v>43</v>
      </c>
      <c r="B53" s="1298" t="s">
        <v>44</v>
      </c>
      <c r="C53" s="1299">
        <v>281</v>
      </c>
      <c r="D53" s="1299">
        <v>7210771.9299999997</v>
      </c>
      <c r="E53" s="1299">
        <v>621</v>
      </c>
      <c r="F53" s="1299">
        <v>2177108.4720000001</v>
      </c>
    </row>
    <row r="54" spans="1:6">
      <c r="A54" s="1298" t="s">
        <v>45</v>
      </c>
      <c r="B54" s="1298" t="s">
        <v>46</v>
      </c>
      <c r="C54" s="1299">
        <v>0</v>
      </c>
      <c r="D54" s="1299">
        <v>0</v>
      </c>
      <c r="E54" s="1299">
        <v>1</v>
      </c>
      <c r="F54" s="1299">
        <v>2336104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121</v>
      </c>
      <c r="D57" s="1299">
        <v>8239292.4900000002</v>
      </c>
      <c r="E57" s="1299">
        <v>292</v>
      </c>
      <c r="F57" s="1299">
        <v>6181293.2170000002</v>
      </c>
    </row>
    <row r="58" spans="1:6">
      <c r="A58" s="1298" t="s">
        <v>48</v>
      </c>
      <c r="B58" s="1298" t="s">
        <v>50</v>
      </c>
      <c r="C58" s="1299">
        <v>91</v>
      </c>
      <c r="D58" s="1299">
        <v>7733661.6550000003</v>
      </c>
      <c r="E58" s="1299">
        <v>129</v>
      </c>
      <c r="F58" s="1299">
        <v>5202272.3</v>
      </c>
    </row>
    <row r="59" spans="1:6">
      <c r="A59" s="1298" t="s">
        <v>48</v>
      </c>
      <c r="B59" s="1298" t="s">
        <v>51</v>
      </c>
      <c r="C59" s="1299">
        <v>295</v>
      </c>
      <c r="D59" s="1299">
        <v>11184520.630000001</v>
      </c>
      <c r="E59" s="1299">
        <v>534</v>
      </c>
      <c r="F59" s="1299">
        <v>19185164.190000001</v>
      </c>
    </row>
    <row r="60" spans="1:6">
      <c r="A60" s="1298" t="s">
        <v>48</v>
      </c>
      <c r="B60" s="1298" t="s">
        <v>52</v>
      </c>
      <c r="C60" s="1299">
        <v>131</v>
      </c>
      <c r="D60" s="1299">
        <v>5627291.1600000001</v>
      </c>
      <c r="E60" s="1299">
        <v>183</v>
      </c>
      <c r="F60" s="1299">
        <v>4582901.085</v>
      </c>
    </row>
    <row r="61" spans="1:6">
      <c r="A61" s="1298" t="s">
        <v>48</v>
      </c>
      <c r="B61" s="1298" t="s">
        <v>53</v>
      </c>
      <c r="C61" s="1299">
        <v>429</v>
      </c>
      <c r="D61" s="1299">
        <v>77171886.370000005</v>
      </c>
      <c r="E61" s="1299">
        <v>828</v>
      </c>
      <c r="F61" s="1299">
        <v>11621778.99</v>
      </c>
    </row>
    <row r="62" spans="1:6">
      <c r="A62" s="1298" t="s">
        <v>48</v>
      </c>
      <c r="B62" s="1298" t="s">
        <v>54</v>
      </c>
      <c r="C62" s="1299">
        <v>40</v>
      </c>
      <c r="D62" s="1299">
        <v>6655607.4380000001</v>
      </c>
      <c r="E62" s="1299">
        <v>54</v>
      </c>
      <c r="F62" s="1299">
        <v>2301309.6379999998</v>
      </c>
    </row>
    <row r="63" spans="1:6">
      <c r="A63" s="1298" t="s">
        <v>48</v>
      </c>
      <c r="B63" s="1298" t="s">
        <v>28</v>
      </c>
      <c r="C63" s="1299">
        <v>76</v>
      </c>
      <c r="D63" s="1299">
        <v>2826018.5649999999</v>
      </c>
      <c r="E63" s="1299">
        <v>87</v>
      </c>
      <c r="F63" s="1299">
        <v>2043112.321</v>
      </c>
    </row>
    <row r="64" spans="1:6">
      <c r="A64" s="1298" t="s">
        <v>55</v>
      </c>
      <c r="B64" s="1298" t="s">
        <v>56</v>
      </c>
      <c r="C64" s="1299">
        <v>0</v>
      </c>
      <c r="D64" s="1299">
        <v>0</v>
      </c>
      <c r="E64" s="1299">
        <v>0</v>
      </c>
      <c r="F64" s="1299">
        <v>0</v>
      </c>
    </row>
    <row r="65" spans="1:6">
      <c r="A65" s="1298" t="s">
        <v>55</v>
      </c>
      <c r="B65" s="1298" t="s">
        <v>28</v>
      </c>
      <c r="C65" s="1299">
        <v>2</v>
      </c>
      <c r="D65" s="1299">
        <v>137246.80900000001</v>
      </c>
      <c r="E65" s="1299">
        <v>1</v>
      </c>
      <c r="F65" s="1299">
        <v>4111.348</v>
      </c>
    </row>
    <row r="66" spans="1:6">
      <c r="A66" s="1298" t="s">
        <v>55</v>
      </c>
      <c r="B66" s="1298" t="s">
        <v>57</v>
      </c>
      <c r="C66" s="1299">
        <v>4</v>
      </c>
      <c r="D66" s="1299">
        <v>514724.56300000002</v>
      </c>
      <c r="E66" s="1299">
        <v>20</v>
      </c>
      <c r="F66" s="1299">
        <v>396749.43</v>
      </c>
    </row>
    <row r="67" spans="1:6">
      <c r="A67" s="1300" t="s">
        <v>55</v>
      </c>
      <c r="B67" s="1300" t="s">
        <v>58</v>
      </c>
      <c r="C67" s="1299">
        <v>0</v>
      </c>
      <c r="D67" s="1299">
        <v>0</v>
      </c>
      <c r="E67" s="1299">
        <v>0</v>
      </c>
      <c r="F67" s="1299">
        <v>0</v>
      </c>
    </row>
    <row r="68" spans="1:6">
      <c r="A68" s="1293" t="s">
        <v>55</v>
      </c>
      <c r="B68" s="1293" t="s">
        <v>59</v>
      </c>
      <c r="C68" s="1302">
        <v>6</v>
      </c>
      <c r="D68" s="1302">
        <v>704658.46699999995</v>
      </c>
      <c r="E68" s="1302">
        <v>22</v>
      </c>
      <c r="F68" s="1302">
        <v>586271.88199999998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160758982</v>
      </c>
      <c r="E73" s="450"/>
      <c r="F73" s="330"/>
    </row>
    <row r="74" spans="1:6">
      <c r="A74" s="1298" t="s">
        <v>63</v>
      </c>
      <c r="B74" s="1298" t="s">
        <v>647</v>
      </c>
      <c r="C74" s="1312" t="s">
        <v>649</v>
      </c>
      <c r="D74" s="1313">
        <v>17658096.5</v>
      </c>
      <c r="E74" s="450"/>
      <c r="F74" s="330"/>
    </row>
    <row r="75" spans="1:6">
      <c r="A75" s="1298" t="s">
        <v>64</v>
      </c>
      <c r="B75" s="1298" t="s">
        <v>646</v>
      </c>
      <c r="C75" s="1312" t="s">
        <v>650</v>
      </c>
      <c r="D75" s="1313">
        <v>34183762</v>
      </c>
      <c r="E75" s="450"/>
      <c r="F75" s="330"/>
    </row>
    <row r="76" spans="1:6">
      <c r="A76" s="1298" t="s">
        <v>64</v>
      </c>
      <c r="B76" s="1298" t="s">
        <v>647</v>
      </c>
      <c r="C76" s="1312" t="s">
        <v>651</v>
      </c>
      <c r="D76" s="1313">
        <v>673850.5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689317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5944.748490092652</v>
      </c>
      <c r="C91" s="330"/>
      <c r="D91" s="330"/>
      <c r="E91" s="330"/>
      <c r="F91" s="330"/>
    </row>
    <row r="92" spans="1:6">
      <c r="A92" s="1293" t="s">
        <v>68</v>
      </c>
      <c r="B92" s="1294">
        <v>11132.813532835517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3773</v>
      </c>
      <c r="C97" s="330"/>
      <c r="D97" s="330"/>
      <c r="E97" s="330"/>
      <c r="F97" s="330"/>
    </row>
    <row r="98" spans="1:6">
      <c r="A98" s="1298" t="s">
        <v>71</v>
      </c>
      <c r="B98" s="1299">
        <v>0</v>
      </c>
      <c r="C98" s="330"/>
      <c r="D98" s="330"/>
      <c r="E98" s="330"/>
      <c r="F98" s="330"/>
    </row>
    <row r="99" spans="1:6">
      <c r="A99" s="1298" t="s">
        <v>72</v>
      </c>
      <c r="B99" s="1299">
        <v>254</v>
      </c>
      <c r="C99" s="330"/>
      <c r="D99" s="330"/>
      <c r="E99" s="330"/>
      <c r="F99" s="330"/>
    </row>
    <row r="100" spans="1:6">
      <c r="A100" s="1298" t="s">
        <v>73</v>
      </c>
      <c r="B100" s="1299">
        <v>1056</v>
      </c>
      <c r="C100" s="330"/>
      <c r="D100" s="330"/>
      <c r="E100" s="330"/>
      <c r="F100" s="330"/>
    </row>
    <row r="101" spans="1:6">
      <c r="A101" s="1298" t="s">
        <v>74</v>
      </c>
      <c r="B101" s="1299">
        <v>140</v>
      </c>
      <c r="C101" s="330"/>
      <c r="D101" s="330"/>
      <c r="E101" s="330"/>
      <c r="F101" s="330"/>
    </row>
    <row r="102" spans="1:6">
      <c r="A102" s="1298" t="s">
        <v>75</v>
      </c>
      <c r="B102" s="1299">
        <v>192</v>
      </c>
      <c r="C102" s="330"/>
      <c r="D102" s="330"/>
      <c r="E102" s="330"/>
      <c r="F102" s="330"/>
    </row>
    <row r="103" spans="1:6">
      <c r="A103" s="1298" t="s">
        <v>76</v>
      </c>
      <c r="B103" s="1299">
        <v>423</v>
      </c>
      <c r="C103" s="330"/>
      <c r="D103" s="330"/>
      <c r="E103" s="330"/>
      <c r="F103" s="330"/>
    </row>
    <row r="104" spans="1:6">
      <c r="A104" s="1298" t="s">
        <v>77</v>
      </c>
      <c r="B104" s="1299">
        <v>5315</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2</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38</v>
      </c>
      <c r="C123" s="1299">
        <v>96</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474</v>
      </c>
      <c r="C129" s="330"/>
      <c r="D129" s="330"/>
      <c r="E129" s="330"/>
      <c r="F129" s="330"/>
    </row>
    <row r="130" spans="1:6">
      <c r="A130" s="1298" t="s">
        <v>294</v>
      </c>
      <c r="B130" s="1299">
        <v>5</v>
      </c>
      <c r="C130" s="330"/>
      <c r="D130" s="330"/>
      <c r="E130" s="330"/>
      <c r="F130" s="330"/>
    </row>
    <row r="131" spans="1:6">
      <c r="A131" s="1298" t="s">
        <v>295</v>
      </c>
      <c r="B131" s="1299">
        <v>2</v>
      </c>
      <c r="C131" s="330"/>
      <c r="D131" s="330"/>
      <c r="E131" s="330"/>
      <c r="F131" s="330"/>
    </row>
    <row r="132" spans="1:6">
      <c r="A132" s="1293" t="s">
        <v>296</v>
      </c>
      <c r="B132" s="1294">
        <v>38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278929.41479880898</v>
      </c>
      <c r="C3" s="43" t="s">
        <v>169</v>
      </c>
      <c r="D3" s="43"/>
      <c r="E3" s="154"/>
      <c r="F3" s="43"/>
      <c r="G3" s="43"/>
      <c r="H3" s="43"/>
      <c r="I3" s="43"/>
      <c r="J3" s="43"/>
      <c r="K3" s="96"/>
    </row>
    <row r="4" spans="1:11">
      <c r="A4" s="358" t="s">
        <v>170</v>
      </c>
      <c r="B4" s="49">
        <f>IF(ISERROR('SEAP template'!B78+'SEAP template'!C78),0,'SEAP template'!B78+'SEAP template'!C78)</f>
        <v>21047.912022928169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943.2494113402131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0.20770509831886419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1355.1354458026442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5704.0714285714284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0.2375733654061262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2336.1039999999998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2336.1039999999998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0.20770509831886419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485.22071100309188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46702.510259999995</v>
      </c>
      <c r="C5" s="17">
        <f>IF(ISERROR('Eigen informatie GS &amp; warmtenet'!B59),0,'Eigen informatie GS &amp; warmtenet'!B59)</f>
        <v>0</v>
      </c>
      <c r="D5" s="30">
        <f>(SUM(HH_hh_gas_kWh,HH_rest_gas_kWh)/1000)*0.902</f>
        <v>111380.2987484</v>
      </c>
      <c r="E5" s="17">
        <f>B46*B57</f>
        <v>36631.878605184291</v>
      </c>
      <c r="F5" s="17">
        <f>B51*B62</f>
        <v>20239.181704865139</v>
      </c>
      <c r="G5" s="18"/>
      <c r="H5" s="17"/>
      <c r="I5" s="17"/>
      <c r="J5" s="17">
        <f>B50*B61+C50*C61</f>
        <v>0</v>
      </c>
      <c r="K5" s="17"/>
      <c r="L5" s="17"/>
      <c r="M5" s="17"/>
      <c r="N5" s="17">
        <f>B48*B59+C48*C59</f>
        <v>25192.206291733761</v>
      </c>
      <c r="O5" s="17">
        <f>B69*B70*B71</f>
        <v>1134.8241014893822</v>
      </c>
      <c r="P5" s="17">
        <f>B77*B78*B79/1000-B77*B78*B79/1000/B80</f>
        <v>811.11486669174678</v>
      </c>
    </row>
    <row r="6" spans="1:16">
      <c r="A6" s="16" t="s">
        <v>611</v>
      </c>
      <c r="B6" s="783">
        <f>kWh_PV_kleiner_dan_10kW</f>
        <v>5944.748490092652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52647.258750092646</v>
      </c>
      <c r="C8" s="21">
        <f>C5</f>
        <v>0</v>
      </c>
      <c r="D8" s="21">
        <f>D5</f>
        <v>111380.2987484</v>
      </c>
      <c r="E8" s="21">
        <f>E5</f>
        <v>36631.878605184291</v>
      </c>
      <c r="F8" s="21">
        <f>F5</f>
        <v>20239.181704865139</v>
      </c>
      <c r="G8" s="21"/>
      <c r="H8" s="21"/>
      <c r="I8" s="21"/>
      <c r="J8" s="21">
        <f>J5</f>
        <v>0</v>
      </c>
      <c r="K8" s="21"/>
      <c r="L8" s="21">
        <f>L5</f>
        <v>0</v>
      </c>
      <c r="M8" s="21">
        <f>M5</f>
        <v>0</v>
      </c>
      <c r="N8" s="21">
        <f>N5</f>
        <v>25192.206291733761</v>
      </c>
      <c r="O8" s="21">
        <f>O5</f>
        <v>1134.8241014893822</v>
      </c>
      <c r="P8" s="21">
        <f>P5</f>
        <v>811.11486669174678</v>
      </c>
    </row>
    <row r="9" spans="1:16">
      <c r="B9" s="19"/>
      <c r="C9" s="19"/>
      <c r="D9" s="258"/>
      <c r="E9" s="19"/>
      <c r="F9" s="19"/>
      <c r="G9" s="19"/>
      <c r="H9" s="19"/>
      <c r="I9" s="19"/>
      <c r="J9" s="19"/>
      <c r="K9" s="19"/>
      <c r="L9" s="19"/>
      <c r="M9" s="19"/>
      <c r="N9" s="19"/>
      <c r="O9" s="19"/>
      <c r="P9" s="19"/>
    </row>
    <row r="10" spans="1:16">
      <c r="A10" s="24" t="s">
        <v>213</v>
      </c>
      <c r="B10" s="25">
        <f ca="1">'EF ele_warmte'!B12</f>
        <v>0.20770509831886419</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10935.104054906677</v>
      </c>
      <c r="C12" s="23">
        <f ca="1">C10*C8</f>
        <v>0</v>
      </c>
      <c r="D12" s="23">
        <f>D8*D10</f>
        <v>22498.820347176803</v>
      </c>
      <c r="E12" s="23">
        <f>E10*E8</f>
        <v>8315.4364433768351</v>
      </c>
      <c r="F12" s="23">
        <f>F10*F8</f>
        <v>5403.8615151989925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3773</v>
      </c>
      <c r="C18" s="166" t="s">
        <v>110</v>
      </c>
      <c r="D18" s="228"/>
      <c r="E18" s="15"/>
    </row>
    <row r="19" spans="1:7">
      <c r="A19" s="171" t="s">
        <v>71</v>
      </c>
      <c r="B19" s="37">
        <f>aantalw2001_ander</f>
        <v>0</v>
      </c>
      <c r="C19" s="166" t="s">
        <v>110</v>
      </c>
      <c r="D19" s="229"/>
      <c r="E19" s="15"/>
    </row>
    <row r="20" spans="1:7">
      <c r="A20" s="171" t="s">
        <v>72</v>
      </c>
      <c r="B20" s="37">
        <f>aantalw2001_propaan</f>
        <v>254</v>
      </c>
      <c r="C20" s="167">
        <f>IF(ISERROR(B20/SUM($B$20,$B$21,$B$22)*100),0,B20/SUM($B$20,$B$21,$B$22)*100)</f>
        <v>17.517241379310345</v>
      </c>
      <c r="D20" s="229"/>
      <c r="E20" s="15"/>
    </row>
    <row r="21" spans="1:7">
      <c r="A21" s="171" t="s">
        <v>73</v>
      </c>
      <c r="B21" s="37">
        <f>aantalw2001_elektriciteit</f>
        <v>1056</v>
      </c>
      <c r="C21" s="167">
        <f>IF(ISERROR(B21/SUM($B$20,$B$21,$B$22)*100),0,B21/SUM($B$20,$B$21,$B$22)*100)</f>
        <v>72.827586206896555</v>
      </c>
      <c r="D21" s="229"/>
      <c r="E21" s="15"/>
    </row>
    <row r="22" spans="1:7">
      <c r="A22" s="171" t="s">
        <v>74</v>
      </c>
      <c r="B22" s="37">
        <f>aantalw2001_hout</f>
        <v>140</v>
      </c>
      <c r="C22" s="167">
        <f>IF(ISERROR(B22/SUM($B$20,$B$21,$B$22)*100),0,B22/SUM($B$20,$B$21,$B$22)*100)</f>
        <v>9.6551724137931032</v>
      </c>
      <c r="D22" s="229"/>
      <c r="E22" s="15"/>
    </row>
    <row r="23" spans="1:7">
      <c r="A23" s="171" t="s">
        <v>75</v>
      </c>
      <c r="B23" s="37">
        <f>aantalw2001_niet_gespec</f>
        <v>192</v>
      </c>
      <c r="C23" s="166" t="s">
        <v>110</v>
      </c>
      <c r="D23" s="228"/>
      <c r="E23" s="15"/>
    </row>
    <row r="24" spans="1:7">
      <c r="A24" s="171" t="s">
        <v>76</v>
      </c>
      <c r="B24" s="37">
        <f>aantalw2001_steenkool</f>
        <v>423</v>
      </c>
      <c r="C24" s="166" t="s">
        <v>110</v>
      </c>
      <c r="D24" s="229"/>
      <c r="E24" s="15"/>
    </row>
    <row r="25" spans="1:7">
      <c r="A25" s="171" t="s">
        <v>77</v>
      </c>
      <c r="B25" s="37">
        <f>aantalw2001_stookolie</f>
        <v>5315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13496</v>
      </c>
      <c r="C28" s="36"/>
      <c r="D28" s="228"/>
    </row>
    <row r="29" spans="1:7" s="15" customFormat="1">
      <c r="A29" s="230" t="s">
        <v>819</v>
      </c>
      <c r="B29" s="37">
        <f>SUM(HH_hh_gas_aantal,HH_rest_gas_aantal)</f>
        <v>8595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8595</v>
      </c>
      <c r="C32" s="167">
        <f>IF(ISERROR(B32/SUM($B$32,$B$34,$B$35,$B$36,$B$38,$B$39)*100),0,B32/SUM($B$32,$B$34,$B$35,$B$36,$B$38,$B$39)*100)</f>
        <v>64.050972501676725</v>
      </c>
      <c r="D32" s="233"/>
      <c r="G32" s="15"/>
    </row>
    <row r="33" spans="1:7">
      <c r="A33" s="171" t="s">
        <v>71</v>
      </c>
      <c r="B33" s="34" t="s">
        <v>110</v>
      </c>
      <c r="C33" s="167"/>
      <c r="D33" s="233"/>
      <c r="G33" s="15"/>
    </row>
    <row r="34" spans="1:7">
      <c r="A34" s="171" t="s">
        <v>72</v>
      </c>
      <c r="B34" s="33">
        <f>IF((($B$28-$B$32-$B$39-$B$77-$B$38)*C20/100)&lt;0,0,($B$28-$B$32-$B$39-$B$77-$B$38)*C20/100)</f>
        <v>674.2035862068966</v>
      </c>
      <c r="C34" s="167">
        <f>IF(ISERROR(B34/SUM($B$32,$B$34,$B$35,$B$36,$B$38,$B$39)*100),0,B34/SUM($B$32,$B$34,$B$35,$B$36,$B$38,$B$39)*100)</f>
        <v>5.0242461152611719</v>
      </c>
      <c r="D34" s="233"/>
      <c r="G34" s="15"/>
    </row>
    <row r="35" spans="1:7">
      <c r="A35" s="171" t="s">
        <v>73</v>
      </c>
      <c r="B35" s="33">
        <f>IF((($B$28-$B$32-$B$39-$B$77-$B$38)*C21/100)&lt;0,0,($B$28-$B$32-$B$39-$B$77-$B$38)*C21/100)</f>
        <v>2802.988137931035</v>
      </c>
      <c r="C35" s="167">
        <f>IF(ISERROR(B35/SUM($B$32,$B$34,$B$35,$B$36,$B$38,$B$39)*100),0,B35/SUM($B$32,$B$34,$B$35,$B$36,$B$38,$B$39)*100)</f>
        <v>20.88820432171574</v>
      </c>
      <c r="D35" s="233"/>
      <c r="G35" s="15"/>
    </row>
    <row r="36" spans="1:7">
      <c r="A36" s="171" t="s">
        <v>74</v>
      </c>
      <c r="B36" s="33">
        <f>IF((($B$28-$B$32-$B$39-$B$77-$B$38)*C22/100)&lt;0,0,($B$28-$B$32-$B$39-$B$77-$B$38)*C22/100)</f>
        <v>371.60827586206898</v>
      </c>
      <c r="C36" s="167">
        <f>IF(ISERROR(B36/SUM($B$32,$B$34,$B$35,$B$36,$B$38,$B$39)*100),0,B36/SUM($B$32,$B$34,$B$35,$B$36,$B$38,$B$39)*100)</f>
        <v>2.7692695123486768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975.19999999999982</v>
      </c>
      <c r="C39" s="167">
        <f>IF(ISERROR(B39/SUM($B$32,$B$34,$B$35,$B$36,$B$38,$B$39)*100),0,B39/SUM($B$32,$B$34,$B$35,$B$36,$B$38,$B$39)*100)</f>
        <v>7.2673075489976879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8595</v>
      </c>
      <c r="C44" s="34" t="s">
        <v>110</v>
      </c>
      <c r="D44" s="174"/>
    </row>
    <row r="45" spans="1:7">
      <c r="A45" s="171" t="s">
        <v>71</v>
      </c>
      <c r="B45" s="33" t="str">
        <f t="shared" si="0"/>
        <v>-</v>
      </c>
      <c r="C45" s="34" t="s">
        <v>110</v>
      </c>
      <c r="D45" s="174"/>
    </row>
    <row r="46" spans="1:7">
      <c r="A46" s="171" t="s">
        <v>72</v>
      </c>
      <c r="B46" s="33">
        <f t="shared" si="0"/>
        <v>674.2035862068966</v>
      </c>
      <c r="C46" s="34" t="s">
        <v>110</v>
      </c>
      <c r="D46" s="174"/>
    </row>
    <row r="47" spans="1:7">
      <c r="A47" s="171" t="s">
        <v>73</v>
      </c>
      <c r="B47" s="33">
        <f t="shared" si="0"/>
        <v>2802.988137931035</v>
      </c>
      <c r="C47" s="34" t="s">
        <v>110</v>
      </c>
      <c r="D47" s="174"/>
    </row>
    <row r="48" spans="1:7">
      <c r="A48" s="171" t="s">
        <v>74</v>
      </c>
      <c r="B48" s="33">
        <f t="shared" si="0"/>
        <v>371.60827586206898</v>
      </c>
      <c r="C48" s="33">
        <f>B48*10</f>
        <v>3716.0827586206897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975.19999999999982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572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51117.831741000002</v>
      </c>
      <c r="C5" s="17">
        <f>IF(ISERROR('Eigen informatie GS &amp; warmtenet'!B60),0,'Eigen informatie GS &amp; warmtenet'!B60)</f>
        <v>0</v>
      </c>
      <c r="D5" s="30">
        <f>SUM(D6:D12)</f>
        <v>107733.32703381601</v>
      </c>
      <c r="E5" s="17">
        <f>SUM(E6:E12)</f>
        <v>761.94858367589916</v>
      </c>
      <c r="F5" s="17">
        <f>SUM(F6:F12)</f>
        <v>5701.7540620583559</v>
      </c>
      <c r="G5" s="18"/>
      <c r="H5" s="17"/>
      <c r="I5" s="17"/>
      <c r="J5" s="17">
        <f>SUM(J6:J12)</f>
        <v>0.10884948796903776</v>
      </c>
      <c r="K5" s="17"/>
      <c r="L5" s="17"/>
      <c r="M5" s="17"/>
      <c r="N5" s="17">
        <f>SUM(N6:N12)</f>
        <v>4304.1775150075891</v>
      </c>
      <c r="O5" s="17">
        <f>B38*B39*B40</f>
        <v>24.486303829205774</v>
      </c>
      <c r="P5" s="17">
        <f>B46*B47*B48/1000-B46*B47*B48/1000/B49</f>
        <v>210.15655322598008</v>
      </c>
      <c r="R5" s="32"/>
    </row>
    <row r="6" spans="1:18">
      <c r="A6" s="32" t="s">
        <v>53</v>
      </c>
      <c r="B6" s="37">
        <f>B26</f>
        <v>11621.778990000001</v>
      </c>
      <c r="C6" s="33"/>
      <c r="D6" s="37">
        <f>IF(ISERROR(TER_kantoor_gas_kWh/1000),0,TER_kantoor_gas_kWh/1000)*0.902</f>
        <v>69609.04150574001</v>
      </c>
      <c r="E6" s="33">
        <f>$C$26*'E Balans VL '!I12/100/3.6*1000000</f>
        <v>93.516729296623993</v>
      </c>
      <c r="F6" s="33">
        <f>$C$26*('E Balans VL '!L12+'E Balans VL '!N12)/100/3.6*1000000</f>
        <v>1420.8847387283301</v>
      </c>
      <c r="G6" s="34"/>
      <c r="H6" s="33"/>
      <c r="I6" s="33"/>
      <c r="J6" s="33">
        <f>$C$26*('E Balans VL '!D12+'E Balans VL '!E12)/100/3.6*1000000</f>
        <v>0</v>
      </c>
      <c r="K6" s="33"/>
      <c r="L6" s="33"/>
      <c r="M6" s="33"/>
      <c r="N6" s="33">
        <f>$C$26*'E Balans VL '!Y12/100/3.6*1000000</f>
        <v>6.2461338964534985</v>
      </c>
      <c r="O6" s="33"/>
      <c r="P6" s="33"/>
      <c r="R6" s="32"/>
    </row>
    <row r="7" spans="1:18">
      <c r="A7" s="32" t="s">
        <v>52</v>
      </c>
      <c r="B7" s="37">
        <f t="shared" ref="B7:B12" si="0">B27</f>
        <v>4582.9010849999995</v>
      </c>
      <c r="C7" s="33"/>
      <c r="D7" s="37">
        <f>IF(ISERROR(TER_horeca_gas_kWh/1000),0,TER_horeca_gas_kWh/1000)*0.902</f>
        <v>5075.8166263200001</v>
      </c>
      <c r="E7" s="33">
        <f>$C$27*'E Balans VL '!I9/100/3.6*1000000</f>
        <v>49.209104015289199</v>
      </c>
      <c r="F7" s="33">
        <f>$C$27*('E Balans VL '!L9+'E Balans VL '!N9)/100/3.6*1000000</f>
        <v>551.21187116539033</v>
      </c>
      <c r="G7" s="34"/>
      <c r="H7" s="33"/>
      <c r="I7" s="33"/>
      <c r="J7" s="33">
        <f>$C$27*('E Balans VL '!D9+'E Balans VL '!E9)/100/3.6*1000000</f>
        <v>0</v>
      </c>
      <c r="K7" s="33"/>
      <c r="L7" s="33"/>
      <c r="M7" s="33"/>
      <c r="N7" s="33">
        <f>$C$27*'E Balans VL '!Y9/100/3.6*1000000</f>
        <v>0.68706975726272435</v>
      </c>
      <c r="O7" s="33"/>
      <c r="P7" s="33"/>
      <c r="R7" s="32"/>
    </row>
    <row r="8" spans="1:18">
      <c r="A8" s="6" t="s">
        <v>51</v>
      </c>
      <c r="B8" s="37">
        <f t="shared" si="0"/>
        <v>19185.164190000003</v>
      </c>
      <c r="C8" s="33"/>
      <c r="D8" s="37">
        <f>IF(ISERROR(TER_handel_gas_kWh/1000),0,TER_handel_gas_kWh/1000)*0.902</f>
        <v>10088.437608260001</v>
      </c>
      <c r="E8" s="33">
        <f>$C$28*'E Balans VL '!I13/100/3.6*1000000</f>
        <v>514.87107204920676</v>
      </c>
      <c r="F8" s="33">
        <f>$C$28*('E Balans VL '!L13+'E Balans VL '!N13)/100/3.6*1000000</f>
        <v>1830.8559657329126</v>
      </c>
      <c r="G8" s="34"/>
      <c r="H8" s="33"/>
      <c r="I8" s="33"/>
      <c r="J8" s="33">
        <f>$C$28*('E Balans VL '!D13+'E Balans VL '!E13)/100/3.6*1000000</f>
        <v>0</v>
      </c>
      <c r="K8" s="33"/>
      <c r="L8" s="33"/>
      <c r="M8" s="33"/>
      <c r="N8" s="33">
        <f>$C$28*'E Balans VL '!Y13/100/3.6*1000000</f>
        <v>7.6052172276283514</v>
      </c>
      <c r="O8" s="33"/>
      <c r="P8" s="33"/>
      <c r="R8" s="32"/>
    </row>
    <row r="9" spans="1:18">
      <c r="A9" s="32" t="s">
        <v>50</v>
      </c>
      <c r="B9" s="37">
        <f t="shared" si="0"/>
        <v>5202.2722999999996</v>
      </c>
      <c r="C9" s="33"/>
      <c r="D9" s="37">
        <f>IF(ISERROR(TER_gezond_gas_kWh/1000),0,TER_gezond_gas_kWh/1000)*0.902</f>
        <v>6975.7628128100005</v>
      </c>
      <c r="E9" s="33">
        <f>$C$29*'E Balans VL '!I10/100/3.6*1000000</f>
        <v>9.7507522236179032</v>
      </c>
      <c r="F9" s="33">
        <f>$C$29*('E Balans VL '!L10+'E Balans VL '!N10)/100/3.6*1000000</f>
        <v>427.67425013724187</v>
      </c>
      <c r="G9" s="34"/>
      <c r="H9" s="33"/>
      <c r="I9" s="33"/>
      <c r="J9" s="33">
        <f>$C$29*('E Balans VL '!D10+'E Balans VL '!E10)/100/3.6*1000000</f>
        <v>0</v>
      </c>
      <c r="K9" s="33"/>
      <c r="L9" s="33"/>
      <c r="M9" s="33"/>
      <c r="N9" s="33">
        <f>$C$29*'E Balans VL '!Y10/100/3.6*1000000</f>
        <v>40.477559946849944</v>
      </c>
      <c r="O9" s="33"/>
      <c r="P9" s="33"/>
      <c r="R9" s="32"/>
    </row>
    <row r="10" spans="1:18">
      <c r="A10" s="32" t="s">
        <v>49</v>
      </c>
      <c r="B10" s="37">
        <f t="shared" si="0"/>
        <v>6181.2932170000004</v>
      </c>
      <c r="C10" s="33"/>
      <c r="D10" s="37">
        <f>IF(ISERROR(TER_ander_gas_kWh/1000),0,TER_ander_gas_kWh/1000)*0.902</f>
        <v>7431.8418259800001</v>
      </c>
      <c r="E10" s="33">
        <f>$C$30*'E Balans VL '!I14/100/3.6*1000000</f>
        <v>9.5285261280818911</v>
      </c>
      <c r="F10" s="33">
        <f>$C$30*('E Balans VL '!L14+'E Balans VL '!N14)/100/3.6*1000000</f>
        <v>959.64747837906054</v>
      </c>
      <c r="G10" s="34"/>
      <c r="H10" s="33"/>
      <c r="I10" s="33"/>
      <c r="J10" s="33">
        <f>$C$30*('E Balans VL '!D14+'E Balans VL '!E14)/100/3.6*1000000</f>
        <v>0.10493397130369669</v>
      </c>
      <c r="K10" s="33"/>
      <c r="L10" s="33"/>
      <c r="M10" s="33"/>
      <c r="N10" s="33">
        <f>$C$30*'E Balans VL '!Y14/100/3.6*1000000</f>
        <v>4089.3454834066752</v>
      </c>
      <c r="O10" s="33"/>
      <c r="P10" s="33"/>
      <c r="R10" s="32"/>
    </row>
    <row r="11" spans="1:18">
      <c r="A11" s="32" t="s">
        <v>54</v>
      </c>
      <c r="B11" s="37">
        <f t="shared" si="0"/>
        <v>2301.3096379999997</v>
      </c>
      <c r="C11" s="33"/>
      <c r="D11" s="37">
        <f>IF(ISERROR(TER_onderwijs_gas_kWh/1000),0,TER_onderwijs_gas_kWh/1000)*0.902</f>
        <v>6003.3579090760004</v>
      </c>
      <c r="E11" s="33">
        <f>$C$31*'E Balans VL '!I11/100/3.6*1000000</f>
        <v>58.69911384369815</v>
      </c>
      <c r="F11" s="33">
        <f>$C$31*('E Balans VL '!L11+'E Balans VL '!N11)/100/3.6*1000000</f>
        <v>276.75414472068314</v>
      </c>
      <c r="G11" s="34"/>
      <c r="H11" s="33"/>
      <c r="I11" s="33"/>
      <c r="J11" s="33">
        <f>$C$31*('E Balans VL '!D11+'E Balans VL '!E11)/100/3.6*1000000</f>
        <v>0</v>
      </c>
      <c r="K11" s="33"/>
      <c r="L11" s="33"/>
      <c r="M11" s="33"/>
      <c r="N11" s="33">
        <f>$C$31*'E Balans VL '!Y11/100/3.6*1000000</f>
        <v>5.1180564824729853</v>
      </c>
      <c r="O11" s="33"/>
      <c r="P11" s="33"/>
      <c r="R11" s="32"/>
    </row>
    <row r="12" spans="1:18">
      <c r="A12" s="32" t="s">
        <v>259</v>
      </c>
      <c r="B12" s="37">
        <f t="shared" si="0"/>
        <v>2043.1123210000001</v>
      </c>
      <c r="C12" s="33"/>
      <c r="D12" s="37">
        <f>IF(ISERROR(TER_rest_gas_kWh/1000),0,TER_rest_gas_kWh/1000)*0.902</f>
        <v>2549.0687456299997</v>
      </c>
      <c r="E12" s="33">
        <f>$C$32*'E Balans VL '!I8/100/3.6*1000000</f>
        <v>26.373286119381163</v>
      </c>
      <c r="F12" s="33">
        <f>$C$32*('E Balans VL '!L8+'E Balans VL '!N8)/100/3.6*1000000</f>
        <v>234.72561319473709</v>
      </c>
      <c r="G12" s="34"/>
      <c r="H12" s="33"/>
      <c r="I12" s="33"/>
      <c r="J12" s="33">
        <f>$C$32*('E Balans VL '!D8+'E Balans VL '!E8)/100/3.6*1000000</f>
        <v>3.9155166653410617E-3</v>
      </c>
      <c r="K12" s="33"/>
      <c r="L12" s="33"/>
      <c r="M12" s="33"/>
      <c r="N12" s="33">
        <f>$C$32*'E Balans VL '!Y8/100/3.6*1000000</f>
        <v>154.69799429024729</v>
      </c>
      <c r="O12" s="33"/>
      <c r="P12" s="33"/>
      <c r="R12" s="32"/>
    </row>
    <row r="13" spans="1:18">
      <c r="A13" s="16" t="s">
        <v>478</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51117.831741000002</v>
      </c>
      <c r="C16" s="21">
        <f t="shared" ca="1" si="1"/>
        <v>0</v>
      </c>
      <c r="D16" s="21">
        <f t="shared" ca="1" si="1"/>
        <v>107733.32703381601</v>
      </c>
      <c r="E16" s="21">
        <f t="shared" si="1"/>
        <v>761.94858367589916</v>
      </c>
      <c r="F16" s="21">
        <f t="shared" ca="1" si="1"/>
        <v>5701.7540620583559</v>
      </c>
      <c r="G16" s="21">
        <f t="shared" si="1"/>
        <v>0</v>
      </c>
      <c r="H16" s="21">
        <f t="shared" si="1"/>
        <v>0</v>
      </c>
      <c r="I16" s="21">
        <f t="shared" si="1"/>
        <v>0</v>
      </c>
      <c r="J16" s="21">
        <f t="shared" si="1"/>
        <v>0.10884948796903776</v>
      </c>
      <c r="K16" s="21">
        <f t="shared" si="1"/>
        <v>0</v>
      </c>
      <c r="L16" s="21">
        <f t="shared" ca="1" si="1"/>
        <v>0</v>
      </c>
      <c r="M16" s="21">
        <f t="shared" si="1"/>
        <v>0</v>
      </c>
      <c r="N16" s="21">
        <f t="shared" ca="1" si="1"/>
        <v>4304.1775150075891</v>
      </c>
      <c r="O16" s="21">
        <f>O5</f>
        <v>24.486303829205774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0.20770509831886419</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10617.434267611561</v>
      </c>
      <c r="C20" s="23">
        <f t="shared" ref="C20:P20" ca="1" si="2">C16*C18</f>
        <v>0</v>
      </c>
      <c r="D20" s="23">
        <f t="shared" ca="1" si="2"/>
        <v>21762.132060830834</v>
      </c>
      <c r="E20" s="23">
        <f t="shared" si="2"/>
        <v>172.9623284944291</v>
      </c>
      <c r="F20" s="23">
        <f t="shared" ca="1" si="2"/>
        <v>1522.3683345695811</v>
      </c>
      <c r="G20" s="23">
        <f t="shared" si="2"/>
        <v>0</v>
      </c>
      <c r="H20" s="23">
        <f t="shared" si="2"/>
        <v>0</v>
      </c>
      <c r="I20" s="23">
        <f t="shared" si="2"/>
        <v>0</v>
      </c>
      <c r="J20" s="23">
        <f t="shared" si="2"/>
        <v>3.8532718741039362E-2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11621.778990000001</v>
      </c>
      <c r="C26" s="39">
        <f>IF(ISERROR(B26*3.6/1000000/'E Balans VL '!Z12*100),0,B26*3.6/1000000/'E Balans VL '!Z12*100)</f>
        <v>0.24654540856606683</v>
      </c>
      <c r="D26" s="237" t="s">
        <v>708</v>
      </c>
      <c r="F26" s="6"/>
    </row>
    <row r="27" spans="1:18">
      <c r="A27" s="231" t="s">
        <v>52</v>
      </c>
      <c r="B27" s="33">
        <f>IF(ISERROR(TER_horeca_ele_kWh/1000),0,TER_horeca_ele_kWh/1000)</f>
        <v>4582.9010849999995</v>
      </c>
      <c r="C27" s="39">
        <f>IF(ISERROR(B27*3.6/1000000/'E Balans VL '!Z9*100),0,B27*3.6/1000000/'E Balans VL '!Z9*100)</f>
        <v>0.3451330493598142</v>
      </c>
      <c r="D27" s="237" t="s">
        <v>708</v>
      </c>
      <c r="F27" s="6"/>
    </row>
    <row r="28" spans="1:18">
      <c r="A28" s="171" t="s">
        <v>51</v>
      </c>
      <c r="B28" s="33">
        <f>IF(ISERROR(TER_handel_ele_kWh/1000),0,TER_handel_ele_kWh/1000)</f>
        <v>19185.164190000003</v>
      </c>
      <c r="C28" s="39">
        <f>IF(ISERROR(B28*3.6/1000000/'E Balans VL '!Z13*100),0,B28*3.6/1000000/'E Balans VL '!Z13*100)</f>
        <v>0.55687733809518225</v>
      </c>
      <c r="D28" s="237" t="s">
        <v>708</v>
      </c>
      <c r="F28" s="6"/>
    </row>
    <row r="29" spans="1:18">
      <c r="A29" s="231" t="s">
        <v>50</v>
      </c>
      <c r="B29" s="33">
        <f>IF(ISERROR(TER_gezond_ele_kWh/1000),0,TER_gezond_ele_kWh/1000)</f>
        <v>5202.2722999999996</v>
      </c>
      <c r="C29" s="39">
        <f>IF(ISERROR(B29*3.6/1000000/'E Balans VL '!Z10*100),0,B29*3.6/1000000/'E Balans VL '!Z10*100)</f>
        <v>0.52465536541739966</v>
      </c>
      <c r="D29" s="237" t="s">
        <v>708</v>
      </c>
      <c r="F29" s="6"/>
    </row>
    <row r="30" spans="1:18">
      <c r="A30" s="231" t="s">
        <v>49</v>
      </c>
      <c r="B30" s="33">
        <f>IF(ISERROR(TER_ander_ele_kWh/1000),0,TER_ander_ele_kWh/1000)</f>
        <v>6181.2932170000004</v>
      </c>
      <c r="C30" s="39">
        <f>IF(ISERROR(B30*3.6/1000000/'E Balans VL '!Z14*100),0,B30*3.6/1000000/'E Balans VL '!Z14*100)</f>
        <v>0.44853715119485271</v>
      </c>
      <c r="D30" s="237" t="s">
        <v>708</v>
      </c>
      <c r="F30" s="6"/>
    </row>
    <row r="31" spans="1:18">
      <c r="A31" s="231" t="s">
        <v>54</v>
      </c>
      <c r="B31" s="33">
        <f>IF(ISERROR(TER_onderwijs_ele_kWh/1000),0,TER_onderwijs_ele_kWh/1000)</f>
        <v>2301.3096379999997</v>
      </c>
      <c r="C31" s="39">
        <f>IF(ISERROR(B31*3.6/1000000/'E Balans VL '!Z11*100),0,B31*3.6/1000000/'E Balans VL '!Z11*100)</f>
        <v>0.65596696052210868</v>
      </c>
      <c r="D31" s="237" t="s">
        <v>708</v>
      </c>
    </row>
    <row r="32" spans="1:18">
      <c r="A32" s="231" t="s">
        <v>259</v>
      </c>
      <c r="B32" s="33">
        <f>IF(ISERROR(TER_rest_ele_kWh/1000),0,TER_rest_ele_kWh/1000)</f>
        <v>2043.1123210000001</v>
      </c>
      <c r="C32" s="39">
        <f>IF(ISERROR(B32*3.6/1000000/'E Balans VL '!Z8*100),0,B32*3.6/1000000/'E Balans VL '!Z8*100)</f>
        <v>1.6736759971136047E-2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164845.92402600002</v>
      </c>
      <c r="C5" s="17">
        <f>IF(ISERROR('Eigen informatie GS &amp; warmtenet'!B61),0,'Eigen informatie GS &amp; warmtenet'!B61)</f>
        <v>0</v>
      </c>
      <c r="D5" s="30">
        <f>SUM(D6:D15)</f>
        <v>186323.752749662</v>
      </c>
      <c r="E5" s="17">
        <f>SUM(E6:E15)</f>
        <v>8382.2194015767927</v>
      </c>
      <c r="F5" s="17">
        <f>SUM(F6:F15)</f>
        <v>31334.001303889185</v>
      </c>
      <c r="G5" s="18"/>
      <c r="H5" s="17"/>
      <c r="I5" s="17"/>
      <c r="J5" s="17">
        <f>SUM(J6:J15)</f>
        <v>1404.1897562601253</v>
      </c>
      <c r="K5" s="17"/>
      <c r="L5" s="17"/>
      <c r="M5" s="17"/>
      <c r="N5" s="17">
        <f>SUM(N6:N15)</f>
        <v>6924.0912543062086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3249.3980059999999</v>
      </c>
      <c r="C8" s="33"/>
      <c r="D8" s="37">
        <f>IF( ISERROR(IND_metaal_Gas_kWH/1000),0,IND_metaal_Gas_kWH/1000)*0.902</f>
        <v>581.74516338399997</v>
      </c>
      <c r="E8" s="33">
        <f>C30*'E Balans VL '!I18/100/3.6*1000000</f>
        <v>23.442125972621707</v>
      </c>
      <c r="F8" s="33">
        <f>C30*'E Balans VL '!L18/100/3.6*1000000+C30*'E Balans VL '!N18/100/3.6*1000000</f>
        <v>307.33313666540693</v>
      </c>
      <c r="G8" s="34"/>
      <c r="H8" s="33"/>
      <c r="I8" s="33"/>
      <c r="J8" s="40">
        <f>C30*'E Balans VL '!D18/100/3.6*1000000+C30*'E Balans VL '!E18/100/3.6*1000000</f>
        <v>3.2682633973303741</v>
      </c>
      <c r="K8" s="33"/>
      <c r="L8" s="33"/>
      <c r="M8" s="33"/>
      <c r="N8" s="33">
        <f>C30*'E Balans VL '!Y18/100/3.6*1000000</f>
        <v>41.080987854206818</v>
      </c>
      <c r="O8" s="33"/>
      <c r="P8" s="33"/>
      <c r="R8" s="32"/>
    </row>
    <row r="9" spans="1:18">
      <c r="A9" s="6" t="s">
        <v>32</v>
      </c>
      <c r="B9" s="37">
        <f t="shared" si="0"/>
        <v>5263.7871949999999</v>
      </c>
      <c r="C9" s="33"/>
      <c r="D9" s="37">
        <f>IF( ISERROR(IND_andere_gas_kWh/1000),0,IND_andere_gas_kWh/1000)*0.902</f>
        <v>42664.627736499999</v>
      </c>
      <c r="E9" s="33">
        <f>C31*'E Balans VL '!I19/100/3.6*1000000</f>
        <v>1458.6658173873686</v>
      </c>
      <c r="F9" s="33">
        <f>C31*'E Balans VL '!L19/100/3.6*1000000+C31*'E Balans VL '!N19/100/3.6*1000000</f>
        <v>4362.6382023477954</v>
      </c>
      <c r="G9" s="34"/>
      <c r="H9" s="33"/>
      <c r="I9" s="33"/>
      <c r="J9" s="40">
        <f>C31*'E Balans VL '!D19/100/3.6*1000000+C31*'E Balans VL '!E19/100/3.6*1000000</f>
        <v>0</v>
      </c>
      <c r="K9" s="33"/>
      <c r="L9" s="33"/>
      <c r="M9" s="33"/>
      <c r="N9" s="33">
        <f>C31*'E Balans VL '!Y19/100/3.6*1000000</f>
        <v>382.08656726960385</v>
      </c>
      <c r="O9" s="33"/>
      <c r="P9" s="33"/>
      <c r="R9" s="32"/>
    </row>
    <row r="10" spans="1:18">
      <c r="A10" s="6" t="s">
        <v>40</v>
      </c>
      <c r="B10" s="37">
        <f t="shared" si="0"/>
        <v>8296.477261</v>
      </c>
      <c r="C10" s="33"/>
      <c r="D10" s="37">
        <f>IF( ISERROR(IND_voed_gas_kWh/1000),0,IND_voed_gas_kWh/1000)*0.902</f>
        <v>11316.280941019999</v>
      </c>
      <c r="E10" s="33">
        <f>C32*'E Balans VL '!I20/100/3.6*1000000</f>
        <v>14.687574948988075</v>
      </c>
      <c r="F10" s="33">
        <f>C32*'E Balans VL '!L20/100/3.6*1000000+C32*'E Balans VL '!N20/100/3.6*1000000</f>
        <v>448.08330311238012</v>
      </c>
      <c r="G10" s="34"/>
      <c r="H10" s="33"/>
      <c r="I10" s="33"/>
      <c r="J10" s="40">
        <f>C32*'E Balans VL '!D20/100/3.6*1000000+C32*'E Balans VL '!E20/100/3.6*1000000</f>
        <v>0</v>
      </c>
      <c r="K10" s="33"/>
      <c r="L10" s="33"/>
      <c r="M10" s="33"/>
      <c r="N10" s="33">
        <f>C32*'E Balans VL '!Y20/100/3.6*1000000</f>
        <v>482.08868985047644</v>
      </c>
      <c r="O10" s="33"/>
      <c r="P10" s="33"/>
      <c r="R10" s="32"/>
    </row>
    <row r="11" spans="1:18">
      <c r="A11" s="6" t="s">
        <v>39</v>
      </c>
      <c r="B11" s="37">
        <f t="shared" si="0"/>
        <v>448.76392099999998</v>
      </c>
      <c r="C11" s="33"/>
      <c r="D11" s="37">
        <f>IF( ISERROR(IND_textiel_gas_kWh/1000),0,IND_textiel_gas_kWh/1000)*0.902</f>
        <v>0</v>
      </c>
      <c r="E11" s="33">
        <f>C33*'E Balans VL '!I21/100/3.6*1000000</f>
        <v>1.5819394009627605</v>
      </c>
      <c r="F11" s="33">
        <f>C33*'E Balans VL '!L21/100/3.6*1000000+C33*'E Balans VL '!N21/100/3.6*1000000</f>
        <v>13.17189214556859</v>
      </c>
      <c r="G11" s="34"/>
      <c r="H11" s="33"/>
      <c r="I11" s="33"/>
      <c r="J11" s="40">
        <f>C33*'E Balans VL '!D21/100/3.6*1000000+C33*'E Balans VL '!E21/100/3.6*1000000</f>
        <v>0</v>
      </c>
      <c r="K11" s="33"/>
      <c r="L11" s="33"/>
      <c r="M11" s="33"/>
      <c r="N11" s="33">
        <f>C33*'E Balans VL '!Y21/100/3.6*1000000</f>
        <v>19.772474120375666</v>
      </c>
      <c r="O11" s="33"/>
      <c r="P11" s="33"/>
      <c r="R11" s="32"/>
    </row>
    <row r="12" spans="1:18">
      <c r="A12" s="6" t="s">
        <v>36</v>
      </c>
      <c r="B12" s="37">
        <f t="shared" si="0"/>
        <v>1316.153137</v>
      </c>
      <c r="C12" s="33"/>
      <c r="D12" s="37">
        <f>IF( ISERROR(IND_min_gas_kWh/1000),0,IND_min_gas_kWh/1000)*0.902</f>
        <v>0</v>
      </c>
      <c r="E12" s="33">
        <f>C34*'E Balans VL '!I22/100/3.6*1000000</f>
        <v>57.95868939051028</v>
      </c>
      <c r="F12" s="33">
        <f>C34*'E Balans VL '!L22/100/3.6*1000000+C34*'E Balans VL '!N22/100/3.6*1000000</f>
        <v>514.66903014793263</v>
      </c>
      <c r="G12" s="34"/>
      <c r="H12" s="33"/>
      <c r="I12" s="33"/>
      <c r="J12" s="40">
        <f>C34*'E Balans VL '!D22/100/3.6*1000000+C34*'E Balans VL '!E22/100/3.6*1000000</f>
        <v>0.39963086315972363</v>
      </c>
      <c r="K12" s="33"/>
      <c r="L12" s="33"/>
      <c r="M12" s="33"/>
      <c r="N12" s="33">
        <f>C34*'E Balans VL '!Y22/100/3.6*1000000</f>
        <v>325.57639996770234</v>
      </c>
      <c r="O12" s="33"/>
      <c r="P12" s="33"/>
      <c r="R12" s="32"/>
    </row>
    <row r="13" spans="1:18">
      <c r="A13" s="6" t="s">
        <v>38</v>
      </c>
      <c r="B13" s="37">
        <f t="shared" si="0"/>
        <v>1899.6906059999999</v>
      </c>
      <c r="C13" s="33"/>
      <c r="D13" s="37">
        <f>IF( ISERROR(IND_papier_gas_kWh/1000),0,IND_papier_gas_kWh/1000)*0.902</f>
        <v>644.7940045580001</v>
      </c>
      <c r="E13" s="33">
        <f>C35*'E Balans VL '!I23/100/3.6*1000000</f>
        <v>2.7950971975207941</v>
      </c>
      <c r="F13" s="33">
        <f>C35*'E Balans VL '!L23/100/3.6*1000000+C35*'E Balans VL '!N23/100/3.6*1000000</f>
        <v>20.340569625954494</v>
      </c>
      <c r="G13" s="34"/>
      <c r="H13" s="33"/>
      <c r="I13" s="33"/>
      <c r="J13" s="40">
        <f>C35*'E Balans VL '!D23/100/3.6*1000000+C35*'E Balans VL '!E23/100/3.6*1000000</f>
        <v>207.83680520386073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144371.6539</v>
      </c>
      <c r="C15" s="33"/>
      <c r="D15" s="37">
        <f>IF( ISERROR(IND_rest_gas_kWh/1000),0,IND_rest_gas_kWh/1000)*0.902</f>
        <v>131116.30490419999</v>
      </c>
      <c r="E15" s="33">
        <f>C37*'E Balans VL '!I15/100/3.6*1000000</f>
        <v>6823.0881572788203</v>
      </c>
      <c r="F15" s="33">
        <f>C37*'E Balans VL '!L15/100/3.6*1000000+C37*'E Balans VL '!N15/100/3.6*1000000</f>
        <v>25667.765169844148</v>
      </c>
      <c r="G15" s="34"/>
      <c r="H15" s="33"/>
      <c r="I15" s="33"/>
      <c r="J15" s="40">
        <f>C37*'E Balans VL '!D15/100/3.6*1000000+C37*'E Balans VL '!E15/100/3.6*1000000</f>
        <v>1192.6850567957745</v>
      </c>
      <c r="K15" s="33"/>
      <c r="L15" s="33"/>
      <c r="M15" s="33"/>
      <c r="N15" s="33">
        <f>C37*'E Balans VL '!Y15/100/3.6*1000000</f>
        <v>5673.4861352438438</v>
      </c>
      <c r="O15" s="33"/>
      <c r="P15" s="33"/>
      <c r="R15" s="32"/>
    </row>
    <row r="16" spans="1:18">
      <c r="A16" s="16" t="s">
        <v>478</v>
      </c>
      <c r="B16" s="247">
        <f>'lokale energieproductie'!N40+'lokale energieproductie'!N33</f>
        <v>3937.5</v>
      </c>
      <c r="C16" s="247">
        <f>'lokale energieproductie'!O40+'lokale energieproductie'!O33</f>
        <v>5625</v>
      </c>
      <c r="D16" s="308">
        <f>('lokale energieproductie'!P33+'lokale energieproductie'!P40)*(-1)</f>
        <v>-11250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168783.42402600002</v>
      </c>
      <c r="C18" s="21">
        <f>C5+C16</f>
        <v>5625</v>
      </c>
      <c r="D18" s="21">
        <f>MAX((D5+D16),0)</f>
        <v>175073.752749662</v>
      </c>
      <c r="E18" s="21">
        <f>MAX((E5+E16),0)</f>
        <v>8382.2194015767927</v>
      </c>
      <c r="F18" s="21">
        <f>MAX((F5+F16),0)</f>
        <v>31334.001303889185</v>
      </c>
      <c r="G18" s="21"/>
      <c r="H18" s="21"/>
      <c r="I18" s="21"/>
      <c r="J18" s="21">
        <f>MAX((J5+J16),0)</f>
        <v>1404.1897562601253</v>
      </c>
      <c r="K18" s="21"/>
      <c r="L18" s="21">
        <f>MAX((L5+L16),0)</f>
        <v>0</v>
      </c>
      <c r="M18" s="21"/>
      <c r="N18" s="21">
        <f>MAX((N5+N16),0)</f>
        <v>6924.0912543062086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0.20770509831886419</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35057.17768191488</v>
      </c>
      <c r="C22" s="23">
        <f ca="1">C18*C20</f>
        <v>1336.3501804094599</v>
      </c>
      <c r="D22" s="23">
        <f>D18*D20</f>
        <v>35364.898055431724</v>
      </c>
      <c r="E22" s="23">
        <f>E18*E20</f>
        <v>1902.7638041579321</v>
      </c>
      <c r="F22" s="23">
        <f>F18*F20</f>
        <v>8366.1783481384136</v>
      </c>
      <c r="G22" s="23"/>
      <c r="H22" s="23"/>
      <c r="I22" s="23"/>
      <c r="J22" s="23">
        <f>J18*J20</f>
        <v>497.08317371608433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3249.3980059999999</v>
      </c>
      <c r="C30" s="39">
        <f>IF(ISERROR(B30*3.6/1000000/'E Balans VL '!Z18*100),0,B30*3.6/1000000/'E Balans VL '!Z18*100)</f>
        <v>0.18758267669577958</v>
      </c>
      <c r="D30" s="237" t="s">
        <v>708</v>
      </c>
    </row>
    <row r="31" spans="1:18">
      <c r="A31" s="6" t="s">
        <v>32</v>
      </c>
      <c r="B31" s="37">
        <f>IF( ISERROR(IND_ander_ele_kWh/1000),0,IND_ander_ele_kWh/1000)</f>
        <v>5263.7871949999999</v>
      </c>
      <c r="C31" s="39">
        <f>IF(ISERROR(B31*3.6/1000000/'E Balans VL '!Z19*100),0,B31*3.6/1000000/'E Balans VL '!Z19*100)</f>
        <v>0.26475143400296103</v>
      </c>
      <c r="D31" s="237" t="s">
        <v>708</v>
      </c>
    </row>
    <row r="32" spans="1:18">
      <c r="A32" s="171" t="s">
        <v>40</v>
      </c>
      <c r="B32" s="37">
        <f>IF( ISERROR(IND_voed_ele_kWh/1000),0,IND_voed_ele_kWh/1000)</f>
        <v>8296.477261</v>
      </c>
      <c r="C32" s="39">
        <f>IF(ISERROR(B32*3.6/1000000/'E Balans VL '!Z20*100),0,B32*3.6/1000000/'E Balans VL '!Z20*100)</f>
        <v>0.27632195933151038</v>
      </c>
      <c r="D32" s="237" t="s">
        <v>708</v>
      </c>
    </row>
    <row r="33" spans="1:5">
      <c r="A33" s="171" t="s">
        <v>39</v>
      </c>
      <c r="B33" s="37">
        <f>IF( ISERROR(IND_textiel_ele_kWh/1000),0,IND_textiel_ele_kWh/1000)</f>
        <v>448.76392099999998</v>
      </c>
      <c r="C33" s="39">
        <f>IF(ISERROR(B33*3.6/1000000/'E Balans VL '!Z21*100),0,B33*3.6/1000000/'E Balans VL '!Z21*100)</f>
        <v>6.9968006895975404E-2</v>
      </c>
      <c r="D33" s="237" t="s">
        <v>708</v>
      </c>
    </row>
    <row r="34" spans="1:5">
      <c r="A34" s="171" t="s">
        <v>36</v>
      </c>
      <c r="B34" s="37">
        <f>IF( ISERROR(IND_min_ele_kWh/1000),0,IND_min_ele_kWh/1000)</f>
        <v>1316.153137</v>
      </c>
      <c r="C34" s="39">
        <f>IF(ISERROR(B34*3.6/1000000/'E Balans VL '!Z22*100),0,B34*3.6/1000000/'E Balans VL '!Z22*100)</f>
        <v>0.24550701491039742</v>
      </c>
      <c r="D34" s="237" t="s">
        <v>708</v>
      </c>
    </row>
    <row r="35" spans="1:5">
      <c r="A35" s="171" t="s">
        <v>38</v>
      </c>
      <c r="B35" s="37">
        <f>IF( ISERROR(IND_papier_ele_kWh/1000),0,IND_papier_ele_kWh/1000)</f>
        <v>1899.6906059999999</v>
      </c>
      <c r="C35" s="39">
        <f>IF(ISERROR(B35*3.6/1000000/'E Balans VL '!Z22*100),0,B35*3.6/1000000/'E Balans VL '!Z22*100)</f>
        <v>0.35435646264951604</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144371.6539</v>
      </c>
      <c r="C37" s="39">
        <f>IF(ISERROR(B37*3.6/1000000/'E Balans VL '!Z15*100),0,B37*3.6/1000000/'E Balans VL '!Z15*100)</f>
        <v>1.1264937036481559</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1774.454252</v>
      </c>
      <c r="C5" s="17">
        <f>'Eigen informatie GS &amp; warmtenet'!B62</f>
        <v>0</v>
      </c>
      <c r="D5" s="30">
        <f>IF(ISERROR(SUM(LB_lb_gas_kWh,LB_rest_gas_kWh)/1000),0,SUM(LB_lb_gas_kWh,LB_rest_gas_kWh)/1000)*0.902</f>
        <v>349.45805626600003</v>
      </c>
      <c r="E5" s="17">
        <f>B17*'E Balans VL '!I25/3.6*1000000/100</f>
        <v>55.38013206209552</v>
      </c>
      <c r="F5" s="17">
        <f>B17*('E Balans VL '!L25/3.6*1000000+'E Balans VL '!N25/3.6*1000000)/100</f>
        <v>6271.1178953073986</v>
      </c>
      <c r="G5" s="18"/>
      <c r="H5" s="17"/>
      <c r="I5" s="17"/>
      <c r="J5" s="17">
        <f>('E Balans VL '!D25+'E Balans VL '!E25)/3.6*1000000*landbouw!B17/100</f>
        <v>488.87445215839091</v>
      </c>
      <c r="K5" s="17"/>
      <c r="L5" s="17">
        <f>L6*(-1)</f>
        <v>0</v>
      </c>
      <c r="M5" s="17"/>
      <c r="N5" s="17">
        <f>N6*(-1)</f>
        <v>0</v>
      </c>
      <c r="O5" s="17"/>
      <c r="P5" s="17"/>
      <c r="R5" s="32"/>
    </row>
    <row r="6" spans="1:18">
      <c r="A6" s="16" t="s">
        <v>478</v>
      </c>
      <c r="B6" s="17" t="s">
        <v>210</v>
      </c>
      <c r="C6" s="17">
        <f>'lokale energieproductie'!O42+'lokale energieproductie'!O35</f>
        <v>79.071428571428584</v>
      </c>
      <c r="D6" s="308">
        <f>('lokale energieproductie'!P35+'lokale energieproductie'!P42)*(-1)</f>
        <v>-128.14285714285717</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1774.454252</v>
      </c>
      <c r="C8" s="21">
        <f>C5+C6</f>
        <v>79.071428571428584</v>
      </c>
      <c r="D8" s="21">
        <f>MAX((D5+D6),0)</f>
        <v>221.31519912314286</v>
      </c>
      <c r="E8" s="21">
        <f>MAX((E5+E6),0)</f>
        <v>55.38013206209552</v>
      </c>
      <c r="F8" s="21">
        <f>MAX((F5+F6),0)</f>
        <v>6271.1178953073986</v>
      </c>
      <c r="G8" s="21"/>
      <c r="H8" s="21"/>
      <c r="I8" s="21"/>
      <c r="J8" s="21">
        <f>MAX((J5+J6),0)</f>
        <v>488.87445215839091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0.20770509831886419</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368.56319487398662</v>
      </c>
      <c r="C12" s="23">
        <f ca="1">C8*C10</f>
        <v>18.78526539318441</v>
      </c>
      <c r="D12" s="23">
        <f>D8*D10</f>
        <v>44.705670222874858</v>
      </c>
      <c r="E12" s="23">
        <f>E8*E10</f>
        <v>12.571289978095683</v>
      </c>
      <c r="F12" s="23">
        <f>F8*F10</f>
        <v>1674.3884780470755</v>
      </c>
      <c r="G12" s="23"/>
      <c r="H12" s="23"/>
      <c r="I12" s="23"/>
      <c r="J12" s="23">
        <f>J8*J10</f>
        <v>173.06155606407037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0.26378534505279111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404.19133778926414</v>
      </c>
      <c r="C26" s="247">
        <f>B26*'GWP N2O_CH4'!B5</f>
        <v>8488.0180935745466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98.45957259844667</v>
      </c>
      <c r="C27" s="247">
        <f>B27*'GWP N2O_CH4'!B5</f>
        <v>2067.6510245673799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5.0567970373929523</v>
      </c>
      <c r="C28" s="247">
        <f>B28*'GWP N2O_CH4'!B4</f>
        <v>1567.6070815918151</v>
      </c>
      <c r="D28" s="50"/>
    </row>
    <row r="29" spans="1:4">
      <c r="A29" s="41" t="s">
        <v>276</v>
      </c>
      <c r="B29" s="247">
        <f>B34*'ha_N2O bodem landbouw'!B4</f>
        <v>25.54626479491931</v>
      </c>
      <c r="C29" s="247">
        <f>B29*'GWP N2O_CH4'!B4</f>
        <v>7919.3420864249856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5.6018359193700665E-3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3.3564080777879481E-4</v>
      </c>
      <c r="C5" s="437" t="s">
        <v>210</v>
      </c>
      <c r="D5" s="422">
        <f>SUM(D6:D11)</f>
        <v>1.2128683124335027E-3</v>
      </c>
      <c r="E5" s="422">
        <f>SUM(E6:E11)</f>
        <v>1.0235264433454462E-3</v>
      </c>
      <c r="F5" s="435" t="s">
        <v>210</v>
      </c>
      <c r="G5" s="422">
        <f>SUM(G6:G11)</f>
        <v>0.50099124655854543</v>
      </c>
      <c r="H5" s="422">
        <f>SUM(H6:H11)</f>
        <v>0.11312053822648536</v>
      </c>
      <c r="I5" s="437" t="s">
        <v>210</v>
      </c>
      <c r="J5" s="437" t="s">
        <v>210</v>
      </c>
      <c r="K5" s="437" t="s">
        <v>210</v>
      </c>
      <c r="L5" s="437" t="s">
        <v>210</v>
      </c>
      <c r="M5" s="422">
        <f>SUM(M6:M11)</f>
        <v>3.6367775428729904E-2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2.7678524201022191E-4</v>
      </c>
      <c r="C6" s="423"/>
      <c r="D6" s="890">
        <f>vkm_GW_PW*SUMIFS(TableVerdeelsleutelVkm[CNG],TableVerdeelsleutelVkm[Voertuigtype],"Lichte voertuigen")*SUMIFS(TableECFTransport[EnergieConsumptieFactor (PJ per km)],TableECFTransport[Index],CONCATENATE($A6,"_CNG_CNG"))</f>
        <v>8.9163664414909161E-4</v>
      </c>
      <c r="E6" s="890">
        <f>vkm_GW_PW*SUMIFS(TableVerdeelsleutelVkm[LPG],TableVerdeelsleutelVkm[Voertuigtype],"Lichte voertuigen")*SUMIFS(TableECFTransport[EnergieConsumptieFactor (PJ per km)],TableECFTransport[Index],CONCATENATE($A6,"_LPG_LPG"))</f>
        <v>7.6250680036952991E-4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0.24632739435537201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8.3528108697017725E-2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1.9729212758688896E-2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0.16763477450589348</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2.3970267583441253E-6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9.662871784388195E-3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5.8855565768572899E-5</v>
      </c>
      <c r="C8" s="423"/>
      <c r="D8" s="425">
        <f>vkm_NGW_PW*SUMIFS(TableVerdeelsleutelVkm[CNG],TableVerdeelsleutelVkm[Voertuigtype],"Lichte voertuigen")*SUMIFS(TableECFTransport[EnergieConsumptieFactor (PJ per km)],TableECFTransport[Index],CONCATENATE($A8,"_CNG_CNG"))</f>
        <v>3.2123166828441105E-4</v>
      </c>
      <c r="E8" s="425">
        <f>vkm_NGW_PW*SUMIFS(TableVerdeelsleutelVkm[LPG],TableVerdeelsleutelVkm[Voertuigtype],"Lichte voertuigen")*SUMIFS(TableECFTransport[EnergieConsumptieFactor (PJ per km)],TableECFTransport[Index],CONCATENATE($A8,"_LPG_LPG"))</f>
        <v>2.6101964297591635E-4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7.8794028859800885E-2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2.9589883202451716E-2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6.5010007658031317E-3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8.2350488374790184E-3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1.4930025756862404E-7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4.7469011984968719E-4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93.233557716331902</v>
      </c>
      <c r="C14" s="21"/>
      <c r="D14" s="21">
        <f t="shared" ref="D14:M14" si="0">((D5)*10^9/3600)+D12</f>
        <v>336.90786456486182</v>
      </c>
      <c r="E14" s="21">
        <f t="shared" si="0"/>
        <v>284.31290092929061</v>
      </c>
      <c r="F14" s="21"/>
      <c r="G14" s="21">
        <f t="shared" si="0"/>
        <v>139164.23515515152</v>
      </c>
      <c r="H14" s="21">
        <f t="shared" si="0"/>
        <v>31422.37172957927</v>
      </c>
      <c r="I14" s="21"/>
      <c r="J14" s="21"/>
      <c r="K14" s="21"/>
      <c r="L14" s="21"/>
      <c r="M14" s="21">
        <f t="shared" si="0"/>
        <v>10102.159841313864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0.20770509831886419</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19.365085272088216</v>
      </c>
      <c r="C18" s="23"/>
      <c r="D18" s="23">
        <f t="shared" ref="D18:M18" si="1">D14*D16</f>
        <v>68.055388642102088</v>
      </c>
      <c r="E18" s="23">
        <f t="shared" si="1"/>
        <v>64.539028510948967</v>
      </c>
      <c r="F18" s="23"/>
      <c r="G18" s="23">
        <f t="shared" si="1"/>
        <v>37156.850786425457</v>
      </c>
      <c r="H18" s="23">
        <f t="shared" si="1"/>
        <v>7824.1705606652386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8.5640434542201133E-3</v>
      </c>
      <c r="H50" s="319">
        <f t="shared" si="2"/>
        <v>0</v>
      </c>
      <c r="I50" s="319">
        <f t="shared" si="2"/>
        <v>0</v>
      </c>
      <c r="J50" s="319">
        <f t="shared" si="2"/>
        <v>0</v>
      </c>
      <c r="K50" s="319">
        <f t="shared" si="2"/>
        <v>0</v>
      </c>
      <c r="L50" s="319">
        <f t="shared" si="2"/>
        <v>0</v>
      </c>
      <c r="M50" s="319">
        <f t="shared" si="2"/>
        <v>4.7591559533553964E-4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8.5640434542201133E-3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4.7591559533553964E-4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2378.9009595055868</v>
      </c>
      <c r="H54" s="21">
        <f t="shared" si="3"/>
        <v>0</v>
      </c>
      <c r="I54" s="21">
        <f t="shared" si="3"/>
        <v>0</v>
      </c>
      <c r="J54" s="21">
        <f t="shared" si="3"/>
        <v>0</v>
      </c>
      <c r="K54" s="21">
        <f t="shared" si="3"/>
        <v>0</v>
      </c>
      <c r="L54" s="21">
        <f t="shared" si="3"/>
        <v>0</v>
      </c>
      <c r="M54" s="21">
        <f t="shared" si="3"/>
        <v>132.19877648209436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0.20770509831886419</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635.16655618799166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53453.935741000001</v>
      </c>
      <c r="D10" s="686">
        <f ca="1">tertiair!C16</f>
        <v>0</v>
      </c>
      <c r="E10" s="686">
        <f ca="1">tertiair!D16</f>
        <v>107733.32703381601</v>
      </c>
      <c r="F10" s="686">
        <f>tertiair!E16</f>
        <v>761.94858367589916</v>
      </c>
      <c r="G10" s="686">
        <f ca="1">tertiair!F16</f>
        <v>5701.7540620583559</v>
      </c>
      <c r="H10" s="686">
        <f>tertiair!G16</f>
        <v>0</v>
      </c>
      <c r="I10" s="686">
        <f>tertiair!H16</f>
        <v>0</v>
      </c>
      <c r="J10" s="686">
        <f>tertiair!I16</f>
        <v>0</v>
      </c>
      <c r="K10" s="686">
        <f>tertiair!J16</f>
        <v>0.10884948796903776</v>
      </c>
      <c r="L10" s="686">
        <f>tertiair!K16</f>
        <v>0</v>
      </c>
      <c r="M10" s="686">
        <f ca="1">tertiair!L16</f>
        <v>0</v>
      </c>
      <c r="N10" s="686">
        <f>tertiair!M16</f>
        <v>0</v>
      </c>
      <c r="O10" s="686">
        <f ca="1">tertiair!N16</f>
        <v>4304.1775150075891</v>
      </c>
      <c r="P10" s="686">
        <f>tertiair!O16</f>
        <v>24.486303829205774</v>
      </c>
      <c r="Q10" s="687">
        <f>tertiair!P16</f>
        <v>210.15655322598008</v>
      </c>
      <c r="R10" s="689">
        <f ca="1">SUM(C10:Q10)</f>
        <v>172189.89464210099</v>
      </c>
      <c r="S10" s="67"/>
    </row>
    <row r="11" spans="1:19" s="448" customFormat="1">
      <c r="A11" s="808" t="s">
        <v>224</v>
      </c>
      <c r="B11" s="813"/>
      <c r="C11" s="686">
        <f>huishoudens!B8</f>
        <v>52647.258750092646</v>
      </c>
      <c r="D11" s="686">
        <f>huishoudens!C8</f>
        <v>0</v>
      </c>
      <c r="E11" s="686">
        <f>huishoudens!D8</f>
        <v>111380.2987484</v>
      </c>
      <c r="F11" s="686">
        <f>huishoudens!E8</f>
        <v>36631.878605184291</v>
      </c>
      <c r="G11" s="686">
        <f>huishoudens!F8</f>
        <v>20239.181704865139</v>
      </c>
      <c r="H11" s="686">
        <f>huishoudens!G8</f>
        <v>0</v>
      </c>
      <c r="I11" s="686">
        <f>huishoudens!H8</f>
        <v>0</v>
      </c>
      <c r="J11" s="686">
        <f>huishoudens!I8</f>
        <v>0</v>
      </c>
      <c r="K11" s="686">
        <f>huishoudens!J8</f>
        <v>0</v>
      </c>
      <c r="L11" s="686">
        <f>huishoudens!K8</f>
        <v>0</v>
      </c>
      <c r="M11" s="686">
        <f>huishoudens!L8</f>
        <v>0</v>
      </c>
      <c r="N11" s="686">
        <f>huishoudens!M8</f>
        <v>0</v>
      </c>
      <c r="O11" s="686">
        <f>huishoudens!N8</f>
        <v>25192.206291733761</v>
      </c>
      <c r="P11" s="686">
        <f>huishoudens!O8</f>
        <v>1134.8241014893822</v>
      </c>
      <c r="Q11" s="687">
        <f>huishoudens!P8</f>
        <v>811.11486669174678</v>
      </c>
      <c r="R11" s="689">
        <f>SUM(C11:Q11)</f>
        <v>248036.76306845696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168783.42402600002</v>
      </c>
      <c r="D13" s="686">
        <f>industrie!C18</f>
        <v>5625</v>
      </c>
      <c r="E13" s="686">
        <f>industrie!D18</f>
        <v>175073.752749662</v>
      </c>
      <c r="F13" s="686">
        <f>industrie!E18</f>
        <v>8382.2194015767927</v>
      </c>
      <c r="G13" s="686">
        <f>industrie!F18</f>
        <v>31334.001303889185</v>
      </c>
      <c r="H13" s="686">
        <f>industrie!G18</f>
        <v>0</v>
      </c>
      <c r="I13" s="686">
        <f>industrie!H18</f>
        <v>0</v>
      </c>
      <c r="J13" s="686">
        <f>industrie!I18</f>
        <v>0</v>
      </c>
      <c r="K13" s="686">
        <f>industrie!J18</f>
        <v>1404.1897562601253</v>
      </c>
      <c r="L13" s="686">
        <f>industrie!K18</f>
        <v>0</v>
      </c>
      <c r="M13" s="686">
        <f>industrie!L18</f>
        <v>0</v>
      </c>
      <c r="N13" s="686">
        <f>industrie!M18</f>
        <v>0</v>
      </c>
      <c r="O13" s="686">
        <f>industrie!N18</f>
        <v>6924.0912543062086</v>
      </c>
      <c r="P13" s="686">
        <f>industrie!O18</f>
        <v>0</v>
      </c>
      <c r="Q13" s="687">
        <f>industrie!P18</f>
        <v>0</v>
      </c>
      <c r="R13" s="689">
        <f>SUM(C13:Q13)</f>
        <v>397526.67849169433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274884.61851709266</v>
      </c>
      <c r="D16" s="722">
        <f t="shared" ref="D16:R16" ca="1" si="0">SUM(D9:D15)</f>
        <v>5625</v>
      </c>
      <c r="E16" s="722">
        <f t="shared" ca="1" si="0"/>
        <v>394187.378531878</v>
      </c>
      <c r="F16" s="722">
        <f t="shared" si="0"/>
        <v>45776.046590436978</v>
      </c>
      <c r="G16" s="722">
        <f t="shared" ca="1" si="0"/>
        <v>57274.937070812681</v>
      </c>
      <c r="H16" s="722">
        <f t="shared" si="0"/>
        <v>0</v>
      </c>
      <c r="I16" s="722">
        <f t="shared" si="0"/>
        <v>0</v>
      </c>
      <c r="J16" s="722">
        <f t="shared" si="0"/>
        <v>0</v>
      </c>
      <c r="K16" s="722">
        <f t="shared" si="0"/>
        <v>1404.2986057480944</v>
      </c>
      <c r="L16" s="722">
        <f t="shared" si="0"/>
        <v>0</v>
      </c>
      <c r="M16" s="722">
        <f t="shared" ca="1" si="0"/>
        <v>0</v>
      </c>
      <c r="N16" s="722">
        <f t="shared" si="0"/>
        <v>0</v>
      </c>
      <c r="O16" s="722">
        <f t="shared" ca="1" si="0"/>
        <v>36420.47506104756</v>
      </c>
      <c r="P16" s="722">
        <f t="shared" si="0"/>
        <v>1159.310405318588</v>
      </c>
      <c r="Q16" s="722">
        <f t="shared" si="0"/>
        <v>1021.2714199177269</v>
      </c>
      <c r="R16" s="722">
        <f t="shared" ca="1" si="0"/>
        <v>817753.33620225219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2378.9009595055868</v>
      </c>
      <c r="I19" s="686">
        <f>transport!H54</f>
        <v>0</v>
      </c>
      <c r="J19" s="686">
        <f>transport!I54</f>
        <v>0</v>
      </c>
      <c r="K19" s="686">
        <f>transport!J54</f>
        <v>0</v>
      </c>
      <c r="L19" s="686">
        <f>transport!K54</f>
        <v>0</v>
      </c>
      <c r="M19" s="686">
        <f>transport!L54</f>
        <v>0</v>
      </c>
      <c r="N19" s="686">
        <f>transport!M54</f>
        <v>132.19877648209436</v>
      </c>
      <c r="O19" s="686">
        <f>transport!N54</f>
        <v>0</v>
      </c>
      <c r="P19" s="686">
        <f>transport!O54</f>
        <v>0</v>
      </c>
      <c r="Q19" s="687">
        <f>transport!P54</f>
        <v>0</v>
      </c>
      <c r="R19" s="689">
        <f>SUM(C19:Q19)</f>
        <v>2511.099735987681</v>
      </c>
      <c r="S19" s="67"/>
    </row>
    <row r="20" spans="1:19" s="448" customFormat="1">
      <c r="A20" s="808" t="s">
        <v>306</v>
      </c>
      <c r="B20" s="813"/>
      <c r="C20" s="686">
        <f>transport!B14</f>
        <v>93.233557716331902</v>
      </c>
      <c r="D20" s="686">
        <f>transport!C14</f>
        <v>0</v>
      </c>
      <c r="E20" s="686">
        <f>transport!D14</f>
        <v>336.90786456486182</v>
      </c>
      <c r="F20" s="686">
        <f>transport!E14</f>
        <v>284.31290092929061</v>
      </c>
      <c r="G20" s="686">
        <f>transport!F14</f>
        <v>0</v>
      </c>
      <c r="H20" s="686">
        <f>transport!G14</f>
        <v>139164.23515515152</v>
      </c>
      <c r="I20" s="686">
        <f>transport!H14</f>
        <v>31422.37172957927</v>
      </c>
      <c r="J20" s="686">
        <f>transport!I14</f>
        <v>0</v>
      </c>
      <c r="K20" s="686">
        <f>transport!J14</f>
        <v>0</v>
      </c>
      <c r="L20" s="686">
        <f>transport!K14</f>
        <v>0</v>
      </c>
      <c r="M20" s="686">
        <f>transport!L14</f>
        <v>0</v>
      </c>
      <c r="N20" s="686">
        <f>transport!M14</f>
        <v>10102.159841313864</v>
      </c>
      <c r="O20" s="686">
        <f>transport!N14</f>
        <v>0</v>
      </c>
      <c r="P20" s="686">
        <f>transport!O14</f>
        <v>0</v>
      </c>
      <c r="Q20" s="687">
        <f>transport!P14</f>
        <v>0</v>
      </c>
      <c r="R20" s="689">
        <f>SUM(C20:Q20)</f>
        <v>181403.22104925514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93.233557716331902</v>
      </c>
      <c r="D22" s="811">
        <f t="shared" ref="D22:R22" si="1">SUM(D18:D21)</f>
        <v>0</v>
      </c>
      <c r="E22" s="811">
        <f t="shared" si="1"/>
        <v>336.90786456486182</v>
      </c>
      <c r="F22" s="811">
        <f t="shared" si="1"/>
        <v>284.31290092929061</v>
      </c>
      <c r="G22" s="811">
        <f t="shared" si="1"/>
        <v>0</v>
      </c>
      <c r="H22" s="811">
        <f t="shared" si="1"/>
        <v>141543.1361146571</v>
      </c>
      <c r="I22" s="811">
        <f t="shared" si="1"/>
        <v>31422.37172957927</v>
      </c>
      <c r="J22" s="811">
        <f t="shared" si="1"/>
        <v>0</v>
      </c>
      <c r="K22" s="811">
        <f t="shared" si="1"/>
        <v>0</v>
      </c>
      <c r="L22" s="811">
        <f t="shared" si="1"/>
        <v>0</v>
      </c>
      <c r="M22" s="811">
        <f t="shared" si="1"/>
        <v>0</v>
      </c>
      <c r="N22" s="811">
        <f t="shared" si="1"/>
        <v>10234.358617795959</v>
      </c>
      <c r="O22" s="811">
        <f t="shared" si="1"/>
        <v>0</v>
      </c>
      <c r="P22" s="811">
        <f t="shared" si="1"/>
        <v>0</v>
      </c>
      <c r="Q22" s="811">
        <f t="shared" si="1"/>
        <v>0</v>
      </c>
      <c r="R22" s="811">
        <f t="shared" si="1"/>
        <v>183914.32078524283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1774.454252</v>
      </c>
      <c r="D24" s="686">
        <f>+landbouw!C8</f>
        <v>79.071428571428584</v>
      </c>
      <c r="E24" s="686">
        <f>+landbouw!D8</f>
        <v>221.31519912314286</v>
      </c>
      <c r="F24" s="686">
        <f>+landbouw!E8</f>
        <v>55.38013206209552</v>
      </c>
      <c r="G24" s="686">
        <f>+landbouw!F8</f>
        <v>6271.1178953073986</v>
      </c>
      <c r="H24" s="686">
        <f>+landbouw!G8</f>
        <v>0</v>
      </c>
      <c r="I24" s="686">
        <f>+landbouw!H8</f>
        <v>0</v>
      </c>
      <c r="J24" s="686">
        <f>+landbouw!I8</f>
        <v>0</v>
      </c>
      <c r="K24" s="686">
        <f>+landbouw!J8</f>
        <v>488.87445215839091</v>
      </c>
      <c r="L24" s="686">
        <f>+landbouw!K8</f>
        <v>0</v>
      </c>
      <c r="M24" s="686">
        <f>+landbouw!L8</f>
        <v>0</v>
      </c>
      <c r="N24" s="686">
        <f>+landbouw!M8</f>
        <v>0</v>
      </c>
      <c r="O24" s="686">
        <f>+landbouw!N8</f>
        <v>0</v>
      </c>
      <c r="P24" s="686">
        <f>+landbouw!O8</f>
        <v>0</v>
      </c>
      <c r="Q24" s="687">
        <f>+landbouw!P8</f>
        <v>0</v>
      </c>
      <c r="R24" s="689">
        <f>SUM(C24:Q24)</f>
        <v>8890.2133592224563</v>
      </c>
      <c r="S24" s="67"/>
    </row>
    <row r="25" spans="1:19" s="448" customFormat="1" ht="15" thickBot="1">
      <c r="A25" s="830" t="s">
        <v>724</v>
      </c>
      <c r="B25" s="949"/>
      <c r="C25" s="950">
        <f>IF(Onbekend_ele_kWh="---",0,Onbekend_ele_kWh)/1000+IF(REST_rest_ele_kWh="---",0,REST_rest_ele_kWh)/1000</f>
        <v>2177.1084719999999</v>
      </c>
      <c r="D25" s="950"/>
      <c r="E25" s="950">
        <f>IF(onbekend_gas_kWh="---",0,onbekend_gas_kWh)/1000+IF(REST_rest_gas_kWh="---",0,REST_rest_gas_kWh)/1000</f>
        <v>7210.7719299999999</v>
      </c>
      <c r="F25" s="950"/>
      <c r="G25" s="950"/>
      <c r="H25" s="950"/>
      <c r="I25" s="950"/>
      <c r="J25" s="950"/>
      <c r="K25" s="950"/>
      <c r="L25" s="950"/>
      <c r="M25" s="950"/>
      <c r="N25" s="950"/>
      <c r="O25" s="950"/>
      <c r="P25" s="950"/>
      <c r="Q25" s="951"/>
      <c r="R25" s="689">
        <f>SUM(C25:Q25)</f>
        <v>9387.8804019999989</v>
      </c>
      <c r="S25" s="67"/>
    </row>
    <row r="26" spans="1:19" s="448" customFormat="1" ht="15.75" thickBot="1">
      <c r="A26" s="694" t="s">
        <v>725</v>
      </c>
      <c r="B26" s="816"/>
      <c r="C26" s="811">
        <f>SUM(C24:C25)</f>
        <v>3951.5627239999999</v>
      </c>
      <c r="D26" s="811">
        <f t="shared" ref="D26:R26" si="2">SUM(D24:D25)</f>
        <v>79.071428571428584</v>
      </c>
      <c r="E26" s="811">
        <f t="shared" si="2"/>
        <v>7432.0871291231424</v>
      </c>
      <c r="F26" s="811">
        <f t="shared" si="2"/>
        <v>55.38013206209552</v>
      </c>
      <c r="G26" s="811">
        <f t="shared" si="2"/>
        <v>6271.1178953073986</v>
      </c>
      <c r="H26" s="811">
        <f t="shared" si="2"/>
        <v>0</v>
      </c>
      <c r="I26" s="811">
        <f t="shared" si="2"/>
        <v>0</v>
      </c>
      <c r="J26" s="811">
        <f t="shared" si="2"/>
        <v>0</v>
      </c>
      <c r="K26" s="811">
        <f t="shared" si="2"/>
        <v>488.87445215839091</v>
      </c>
      <c r="L26" s="811">
        <f t="shared" si="2"/>
        <v>0</v>
      </c>
      <c r="M26" s="811">
        <f t="shared" si="2"/>
        <v>0</v>
      </c>
      <c r="N26" s="811">
        <f t="shared" si="2"/>
        <v>0</v>
      </c>
      <c r="O26" s="811">
        <f t="shared" si="2"/>
        <v>0</v>
      </c>
      <c r="P26" s="811">
        <f t="shared" si="2"/>
        <v>0</v>
      </c>
      <c r="Q26" s="811">
        <f t="shared" si="2"/>
        <v>0</v>
      </c>
      <c r="R26" s="811">
        <f t="shared" si="2"/>
        <v>18278.093761222455</v>
      </c>
      <c r="S26" s="67"/>
    </row>
    <row r="27" spans="1:19" s="448" customFormat="1" ht="17.25" thickTop="1" thickBot="1">
      <c r="A27" s="695" t="s">
        <v>115</v>
      </c>
      <c r="B27" s="803"/>
      <c r="C27" s="696">
        <f ca="1">C22+C16+C26</f>
        <v>278929.41479880898</v>
      </c>
      <c r="D27" s="696">
        <f t="shared" ref="D27:R27" ca="1" si="3">D22+D16+D26</f>
        <v>5704.0714285714284</v>
      </c>
      <c r="E27" s="696">
        <f t="shared" ca="1" si="3"/>
        <v>401956.37352556601</v>
      </c>
      <c r="F27" s="696">
        <f t="shared" si="3"/>
        <v>46115.739623428366</v>
      </c>
      <c r="G27" s="696">
        <f t="shared" ca="1" si="3"/>
        <v>63546.054966120078</v>
      </c>
      <c r="H27" s="696">
        <f t="shared" si="3"/>
        <v>141543.1361146571</v>
      </c>
      <c r="I27" s="696">
        <f t="shared" si="3"/>
        <v>31422.37172957927</v>
      </c>
      <c r="J27" s="696">
        <f t="shared" si="3"/>
        <v>0</v>
      </c>
      <c r="K27" s="696">
        <f t="shared" si="3"/>
        <v>1893.1730579064852</v>
      </c>
      <c r="L27" s="696">
        <f t="shared" si="3"/>
        <v>0</v>
      </c>
      <c r="M27" s="696">
        <f t="shared" ca="1" si="3"/>
        <v>0</v>
      </c>
      <c r="N27" s="696">
        <f t="shared" si="3"/>
        <v>10234.358617795959</v>
      </c>
      <c r="O27" s="696">
        <f t="shared" ca="1" si="3"/>
        <v>36420.47506104756</v>
      </c>
      <c r="P27" s="696">
        <f t="shared" si="3"/>
        <v>1159.310405318588</v>
      </c>
      <c r="Q27" s="696">
        <f t="shared" si="3"/>
        <v>1021.2714199177269</v>
      </c>
      <c r="R27" s="696">
        <f t="shared" ca="1" si="3"/>
        <v>1019945.7507487175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11102.654978614653</v>
      </c>
      <c r="D40" s="686">
        <f ca="1">tertiair!C20</f>
        <v>0</v>
      </c>
      <c r="E40" s="686">
        <f ca="1">tertiair!D20</f>
        <v>21762.132060830834</v>
      </c>
      <c r="F40" s="686">
        <f>tertiair!E20</f>
        <v>172.9623284944291</v>
      </c>
      <c r="G40" s="686">
        <f ca="1">tertiair!F20</f>
        <v>1522.3683345695811</v>
      </c>
      <c r="H40" s="686">
        <f>tertiair!G20</f>
        <v>0</v>
      </c>
      <c r="I40" s="686">
        <f>tertiair!H20</f>
        <v>0</v>
      </c>
      <c r="J40" s="686">
        <f>tertiair!I20</f>
        <v>0</v>
      </c>
      <c r="K40" s="686">
        <f>tertiair!J20</f>
        <v>3.8532718741039362E-2</v>
      </c>
      <c r="L40" s="686">
        <f>tertiair!K20</f>
        <v>0</v>
      </c>
      <c r="M40" s="686">
        <f ca="1">tertiair!L20</f>
        <v>0</v>
      </c>
      <c r="N40" s="686">
        <f>tertiair!M20</f>
        <v>0</v>
      </c>
      <c r="O40" s="686">
        <f ca="1">tertiair!N20</f>
        <v>0</v>
      </c>
      <c r="P40" s="686">
        <f>tertiair!O20</f>
        <v>0</v>
      </c>
      <c r="Q40" s="769">
        <f>tertiair!P20</f>
        <v>0</v>
      </c>
      <c r="R40" s="849">
        <f t="shared" ca="1" si="4"/>
        <v>34560.156235228242</v>
      </c>
    </row>
    <row r="41" spans="1:18">
      <c r="A41" s="821" t="s">
        <v>224</v>
      </c>
      <c r="B41" s="828"/>
      <c r="C41" s="686">
        <f ca="1">huishoudens!B12</f>
        <v>10935.104054906677</v>
      </c>
      <c r="D41" s="686">
        <f ca="1">huishoudens!C12</f>
        <v>0</v>
      </c>
      <c r="E41" s="686">
        <f>huishoudens!D12</f>
        <v>22498.820347176803</v>
      </c>
      <c r="F41" s="686">
        <f>huishoudens!E12</f>
        <v>8315.4364433768351</v>
      </c>
      <c r="G41" s="686">
        <f>huishoudens!F12</f>
        <v>5403.8615151989925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47153.222360659311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35057.17768191488</v>
      </c>
      <c r="D43" s="686">
        <f ca="1">industrie!C22</f>
        <v>1336.3501804094599</v>
      </c>
      <c r="E43" s="686">
        <f>industrie!D22</f>
        <v>35364.898055431724</v>
      </c>
      <c r="F43" s="686">
        <f>industrie!E22</f>
        <v>1902.7638041579321</v>
      </c>
      <c r="G43" s="686">
        <f>industrie!F22</f>
        <v>8366.1783481384136</v>
      </c>
      <c r="H43" s="686">
        <f>industrie!G22</f>
        <v>0</v>
      </c>
      <c r="I43" s="686">
        <f>industrie!H22</f>
        <v>0</v>
      </c>
      <c r="J43" s="686">
        <f>industrie!I22</f>
        <v>0</v>
      </c>
      <c r="K43" s="686">
        <f>industrie!J22</f>
        <v>497.08317371608433</v>
      </c>
      <c r="L43" s="686">
        <f>industrie!K22</f>
        <v>0</v>
      </c>
      <c r="M43" s="686">
        <f>industrie!L22</f>
        <v>0</v>
      </c>
      <c r="N43" s="686">
        <f>industrie!M22</f>
        <v>0</v>
      </c>
      <c r="O43" s="686">
        <f>industrie!N22</f>
        <v>0</v>
      </c>
      <c r="P43" s="686">
        <f>industrie!O22</f>
        <v>0</v>
      </c>
      <c r="Q43" s="769">
        <f>industrie!P22</f>
        <v>0</v>
      </c>
      <c r="R43" s="848">
        <f t="shared" ca="1" si="4"/>
        <v>82524.451243768519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57094.936715436212</v>
      </c>
      <c r="D46" s="722">
        <f t="shared" ref="D46:Q46" ca="1" si="5">SUM(D39:D45)</f>
        <v>1336.3501804094599</v>
      </c>
      <c r="E46" s="722">
        <f t="shared" ca="1" si="5"/>
        <v>79625.850463439361</v>
      </c>
      <c r="F46" s="722">
        <f t="shared" si="5"/>
        <v>10391.162576029195</v>
      </c>
      <c r="G46" s="722">
        <f t="shared" ca="1" si="5"/>
        <v>15292.408197906987</v>
      </c>
      <c r="H46" s="722">
        <f t="shared" si="5"/>
        <v>0</v>
      </c>
      <c r="I46" s="722">
        <f t="shared" si="5"/>
        <v>0</v>
      </c>
      <c r="J46" s="722">
        <f t="shared" si="5"/>
        <v>0</v>
      </c>
      <c r="K46" s="722">
        <f t="shared" si="5"/>
        <v>497.1217064348254</v>
      </c>
      <c r="L46" s="722">
        <f t="shared" si="5"/>
        <v>0</v>
      </c>
      <c r="M46" s="722">
        <f t="shared" ca="1" si="5"/>
        <v>0</v>
      </c>
      <c r="N46" s="722">
        <f t="shared" si="5"/>
        <v>0</v>
      </c>
      <c r="O46" s="722">
        <f t="shared" ca="1" si="5"/>
        <v>0</v>
      </c>
      <c r="P46" s="722">
        <f t="shared" si="5"/>
        <v>0</v>
      </c>
      <c r="Q46" s="722">
        <f t="shared" si="5"/>
        <v>0</v>
      </c>
      <c r="R46" s="722">
        <f ca="1">SUM(R39:R45)</f>
        <v>164237.82983965607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635.16655618799166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635.16655618799166</v>
      </c>
    </row>
    <row r="50" spans="1:18">
      <c r="A50" s="824" t="s">
        <v>306</v>
      </c>
      <c r="B50" s="834"/>
      <c r="C50" s="692">
        <f ca="1">transport!B18</f>
        <v>19.365085272088216</v>
      </c>
      <c r="D50" s="692">
        <f>transport!C18</f>
        <v>0</v>
      </c>
      <c r="E50" s="692">
        <f>transport!D18</f>
        <v>68.055388642102088</v>
      </c>
      <c r="F50" s="692">
        <f>transport!E18</f>
        <v>64.539028510948967</v>
      </c>
      <c r="G50" s="692">
        <f>transport!F18</f>
        <v>0</v>
      </c>
      <c r="H50" s="692">
        <f>transport!G18</f>
        <v>37156.850786425457</v>
      </c>
      <c r="I50" s="692">
        <f>transport!H18</f>
        <v>7824.1705606652386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45132.980849515836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19.365085272088216</v>
      </c>
      <c r="D52" s="722">
        <f t="shared" ref="D52:Q52" ca="1" si="6">SUM(D48:D51)</f>
        <v>0</v>
      </c>
      <c r="E52" s="722">
        <f t="shared" si="6"/>
        <v>68.055388642102088</v>
      </c>
      <c r="F52" s="722">
        <f t="shared" si="6"/>
        <v>64.539028510948967</v>
      </c>
      <c r="G52" s="722">
        <f t="shared" si="6"/>
        <v>0</v>
      </c>
      <c r="H52" s="722">
        <f t="shared" si="6"/>
        <v>37792.01734261345</v>
      </c>
      <c r="I52" s="722">
        <f t="shared" si="6"/>
        <v>7824.1705606652386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45768.147405703829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368.56319487398662</v>
      </c>
      <c r="D54" s="692">
        <f ca="1">+landbouw!C12</f>
        <v>18.78526539318441</v>
      </c>
      <c r="E54" s="692">
        <f>+landbouw!D12</f>
        <v>44.705670222874858</v>
      </c>
      <c r="F54" s="692">
        <f>+landbouw!E12</f>
        <v>12.571289978095683</v>
      </c>
      <c r="G54" s="692">
        <f>+landbouw!F12</f>
        <v>1674.3884780470755</v>
      </c>
      <c r="H54" s="692">
        <f>+landbouw!G12</f>
        <v>0</v>
      </c>
      <c r="I54" s="692">
        <f>+landbouw!H12</f>
        <v>0</v>
      </c>
      <c r="J54" s="692">
        <f>+landbouw!I12</f>
        <v>0</v>
      </c>
      <c r="K54" s="692">
        <f>+landbouw!J12</f>
        <v>173.06155606407037</v>
      </c>
      <c r="L54" s="692">
        <f>+landbouw!K12</f>
        <v>0</v>
      </c>
      <c r="M54" s="692">
        <f>+landbouw!L12</f>
        <v>0</v>
      </c>
      <c r="N54" s="692">
        <f>+landbouw!M12</f>
        <v>0</v>
      </c>
      <c r="O54" s="692">
        <f>+landbouw!N12</f>
        <v>0</v>
      </c>
      <c r="P54" s="692">
        <f>+landbouw!O12</f>
        <v>0</v>
      </c>
      <c r="Q54" s="693">
        <f>+landbouw!P12</f>
        <v>0</v>
      </c>
      <c r="R54" s="721">
        <f ca="1">SUM(C54:Q54)</f>
        <v>2292.0754545792875</v>
      </c>
    </row>
    <row r="55" spans="1:18" ht="15" thickBot="1">
      <c r="A55" s="824" t="s">
        <v>724</v>
      </c>
      <c r="B55" s="834"/>
      <c r="C55" s="692">
        <f ca="1">C25*'EF ele_warmte'!B12</f>
        <v>452.19652922759218</v>
      </c>
      <c r="D55" s="692"/>
      <c r="E55" s="692">
        <f>E25*EF_CO2_aardgas</f>
        <v>1456.5759298600001</v>
      </c>
      <c r="F55" s="692"/>
      <c r="G55" s="692"/>
      <c r="H55" s="692"/>
      <c r="I55" s="692"/>
      <c r="J55" s="692"/>
      <c r="K55" s="692"/>
      <c r="L55" s="692"/>
      <c r="M55" s="692"/>
      <c r="N55" s="692"/>
      <c r="O55" s="692"/>
      <c r="P55" s="692"/>
      <c r="Q55" s="693"/>
      <c r="R55" s="721">
        <f ca="1">SUM(C55:Q55)</f>
        <v>1908.7724590875923</v>
      </c>
    </row>
    <row r="56" spans="1:18" ht="15.75" thickBot="1">
      <c r="A56" s="822" t="s">
        <v>725</v>
      </c>
      <c r="B56" s="835"/>
      <c r="C56" s="722">
        <f ca="1">SUM(C54:C55)</f>
        <v>820.75972410157874</v>
      </c>
      <c r="D56" s="722">
        <f t="shared" ref="D56:Q56" ca="1" si="7">SUM(D54:D55)</f>
        <v>18.78526539318441</v>
      </c>
      <c r="E56" s="722">
        <f t="shared" si="7"/>
        <v>1501.281600082875</v>
      </c>
      <c r="F56" s="722">
        <f t="shared" si="7"/>
        <v>12.571289978095683</v>
      </c>
      <c r="G56" s="722">
        <f t="shared" si="7"/>
        <v>1674.3884780470755</v>
      </c>
      <c r="H56" s="722">
        <f t="shared" si="7"/>
        <v>0</v>
      </c>
      <c r="I56" s="722">
        <f t="shared" si="7"/>
        <v>0</v>
      </c>
      <c r="J56" s="722">
        <f t="shared" si="7"/>
        <v>0</v>
      </c>
      <c r="K56" s="722">
        <f t="shared" si="7"/>
        <v>173.06155606407037</v>
      </c>
      <c r="L56" s="722">
        <f t="shared" si="7"/>
        <v>0</v>
      </c>
      <c r="M56" s="722">
        <f t="shared" si="7"/>
        <v>0</v>
      </c>
      <c r="N56" s="722">
        <f t="shared" si="7"/>
        <v>0</v>
      </c>
      <c r="O56" s="722">
        <f t="shared" si="7"/>
        <v>0</v>
      </c>
      <c r="P56" s="722">
        <f t="shared" si="7"/>
        <v>0</v>
      </c>
      <c r="Q56" s="723">
        <f t="shared" si="7"/>
        <v>0</v>
      </c>
      <c r="R56" s="724">
        <f ca="1">SUM(R54:R55)</f>
        <v>4200.8479136668793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57935.061524809877</v>
      </c>
      <c r="D61" s="730">
        <f t="shared" ref="D61:Q61" ca="1" si="8">D46+D52+D56</f>
        <v>1355.1354458026442</v>
      </c>
      <c r="E61" s="730">
        <f t="shared" ca="1" si="8"/>
        <v>81195.187452164333</v>
      </c>
      <c r="F61" s="730">
        <f t="shared" si="8"/>
        <v>10468.272894518241</v>
      </c>
      <c r="G61" s="730">
        <f t="shared" ca="1" si="8"/>
        <v>16966.796675954061</v>
      </c>
      <c r="H61" s="730">
        <f t="shared" si="8"/>
        <v>37792.01734261345</v>
      </c>
      <c r="I61" s="730">
        <f t="shared" si="8"/>
        <v>7824.1705606652386</v>
      </c>
      <c r="J61" s="730">
        <f t="shared" si="8"/>
        <v>0</v>
      </c>
      <c r="K61" s="730">
        <f t="shared" si="8"/>
        <v>670.18326249889583</v>
      </c>
      <c r="L61" s="730">
        <f t="shared" si="8"/>
        <v>0</v>
      </c>
      <c r="M61" s="730">
        <f t="shared" ca="1" si="8"/>
        <v>0</v>
      </c>
      <c r="N61" s="730">
        <f t="shared" si="8"/>
        <v>0</v>
      </c>
      <c r="O61" s="730">
        <f t="shared" ca="1" si="8"/>
        <v>0</v>
      </c>
      <c r="P61" s="730">
        <f t="shared" si="8"/>
        <v>0</v>
      </c>
      <c r="Q61" s="730">
        <f t="shared" si="8"/>
        <v>0</v>
      </c>
      <c r="R61" s="730">
        <f ca="1">R46+R52+R56</f>
        <v>214206.8251590268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0.20770509831886422</v>
      </c>
      <c r="D63" s="776">
        <f t="shared" ca="1" si="9"/>
        <v>0.2375733654061262</v>
      </c>
      <c r="E63" s="975">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17077.56202292817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3970.35</v>
      </c>
      <c r="D76" s="958">
        <f>'lokale energieproductie'!C8</f>
        <v>4669.5515412881832</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943.2494113402131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17077.56202292817</v>
      </c>
      <c r="C78" s="748">
        <f>SUM(C72:C77)</f>
        <v>3970.35</v>
      </c>
      <c r="D78" s="749">
        <f t="shared" ref="D78:H78" si="10">SUM(D76:D77)</f>
        <v>4669.5515412881832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943.2494113402131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5704.0714285714284</v>
      </c>
      <c r="D87" s="772">
        <f>'lokale energieproductie'!C17</f>
        <v>6708.5913158546737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1355.1354458026442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5704.0714285714284</v>
      </c>
      <c r="D90" s="748">
        <f t="shared" ref="D90:H90" si="12">SUM(D87:D89)</f>
        <v>6708.5913158546737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1355.1354458026442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17077.56202292817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3970.35</v>
      </c>
      <c r="C8" s="548">
        <f>B51</f>
        <v>4669.5515412881832</v>
      </c>
      <c r="D8" s="549"/>
      <c r="E8" s="549">
        <f>E51</f>
        <v>0</v>
      </c>
      <c r="F8" s="550"/>
      <c r="G8" s="551"/>
      <c r="H8" s="549">
        <f>I51</f>
        <v>0</v>
      </c>
      <c r="I8" s="549">
        <f>G51+F51</f>
        <v>0</v>
      </c>
      <c r="J8" s="549">
        <f>H51+D51+C51</f>
        <v>0</v>
      </c>
      <c r="K8" s="549"/>
      <c r="L8" s="549"/>
      <c r="M8" s="549"/>
      <c r="N8" s="552"/>
      <c r="O8" s="553">
        <f>C8*$C$12+D8*$D$12+E8*$E$12+F8*$F$12+G8*$G$12+H8*$H$12+I8*$I$12+J8*$J$12</f>
        <v>943.2494113402131</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21047.912022928169</v>
      </c>
      <c r="C10" s="563">
        <f t="shared" ref="C10:L10" si="0">SUM(C8:C9)</f>
        <v>4669.5515412881832</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943.2494113402131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5704.0714285714284</v>
      </c>
      <c r="C17" s="579">
        <f>B52</f>
        <v>6708.5913158546737</v>
      </c>
      <c r="D17" s="580"/>
      <c r="E17" s="580">
        <f>E52</f>
        <v>0</v>
      </c>
      <c r="F17" s="581"/>
      <c r="G17" s="582"/>
      <c r="H17" s="579">
        <f>I52</f>
        <v>0</v>
      </c>
      <c r="I17" s="580">
        <f>G52+F52</f>
        <v>0</v>
      </c>
      <c r="J17" s="580">
        <f>H52+D52+C52</f>
        <v>0</v>
      </c>
      <c r="K17" s="580"/>
      <c r="L17" s="580"/>
      <c r="M17" s="580"/>
      <c r="N17" s="972"/>
      <c r="O17" s="583">
        <f>C17*$C$22+E17*$E$22+H17*$H$22+I17*$I$22+J17*$J$22+D17*$D$22+F17*$F$22+G17*$G$22+K17*$K$22+L17*$L$22</f>
        <v>1355.1354458026442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5704.0714285714284</v>
      </c>
      <c r="C20" s="562">
        <f>SUM(C17:C19)</f>
        <v>6708.5913158546737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1355.1354458026442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45035</v>
      </c>
      <c r="C28" s="791">
        <v>9700</v>
      </c>
      <c r="D28" s="640" t="s">
        <v>888</v>
      </c>
      <c r="E28" s="639" t="s">
        <v>889</v>
      </c>
      <c r="F28" s="639" t="s">
        <v>890</v>
      </c>
      <c r="G28" s="639" t="s">
        <v>891</v>
      </c>
      <c r="H28" s="639" t="s">
        <v>892</v>
      </c>
      <c r="I28" s="639" t="s">
        <v>889</v>
      </c>
      <c r="J28" s="790">
        <v>40660</v>
      </c>
      <c r="K28" s="790">
        <v>40975</v>
      </c>
      <c r="L28" s="639" t="s">
        <v>893</v>
      </c>
      <c r="M28" s="639">
        <v>875</v>
      </c>
      <c r="N28" s="639">
        <v>3937.5</v>
      </c>
      <c r="O28" s="639">
        <v>5625</v>
      </c>
      <c r="P28" s="639">
        <v>11250</v>
      </c>
      <c r="Q28" s="639">
        <v>0</v>
      </c>
      <c r="R28" s="639">
        <v>0</v>
      </c>
      <c r="S28" s="639">
        <v>0</v>
      </c>
      <c r="T28" s="639">
        <v>0</v>
      </c>
      <c r="U28" s="639">
        <v>0</v>
      </c>
      <c r="V28" s="639">
        <v>0</v>
      </c>
      <c r="W28" s="639">
        <v>0</v>
      </c>
      <c r="X28" s="639">
        <v>300</v>
      </c>
      <c r="Y28" s="639" t="s">
        <v>894</v>
      </c>
      <c r="Z28" s="641" t="s">
        <v>384</v>
      </c>
    </row>
    <row r="29" spans="1:26" s="593" customFormat="1" ht="25.5">
      <c r="A29" s="592"/>
      <c r="B29" s="791">
        <v>45035</v>
      </c>
      <c r="C29" s="791">
        <v>9700</v>
      </c>
      <c r="D29" s="640" t="s">
        <v>895</v>
      </c>
      <c r="E29" s="639" t="s">
        <v>896</v>
      </c>
      <c r="F29" s="639" t="s">
        <v>897</v>
      </c>
      <c r="G29" s="639" t="s">
        <v>898</v>
      </c>
      <c r="H29" s="639" t="s">
        <v>898</v>
      </c>
      <c r="I29" s="639" t="s">
        <v>896</v>
      </c>
      <c r="J29" s="790">
        <v>40892</v>
      </c>
      <c r="K29" s="790">
        <v>41000</v>
      </c>
      <c r="L29" s="639" t="s">
        <v>893</v>
      </c>
      <c r="M29" s="639">
        <v>1</v>
      </c>
      <c r="N29" s="639">
        <v>4.5</v>
      </c>
      <c r="O29" s="639">
        <v>22.5</v>
      </c>
      <c r="P29" s="639">
        <v>30</v>
      </c>
      <c r="Q29" s="639">
        <v>0</v>
      </c>
      <c r="R29" s="639">
        <v>0</v>
      </c>
      <c r="S29" s="639">
        <v>0</v>
      </c>
      <c r="T29" s="639">
        <v>0</v>
      </c>
      <c r="U29" s="639">
        <v>0</v>
      </c>
      <c r="V29" s="639">
        <v>0</v>
      </c>
      <c r="W29" s="639">
        <v>0</v>
      </c>
      <c r="X29" s="639">
        <v>10</v>
      </c>
      <c r="Y29" s="639" t="s">
        <v>111</v>
      </c>
      <c r="Z29" s="641" t="s">
        <v>111</v>
      </c>
    </row>
    <row r="30" spans="1:26" s="593" customFormat="1" ht="25.5">
      <c r="A30" s="592"/>
      <c r="B30" s="791">
        <v>45035</v>
      </c>
      <c r="C30" s="791">
        <v>9700</v>
      </c>
      <c r="D30" s="640" t="s">
        <v>899</v>
      </c>
      <c r="E30" s="639" t="s">
        <v>900</v>
      </c>
      <c r="F30" s="639" t="s">
        <v>901</v>
      </c>
      <c r="G30" s="639" t="s">
        <v>898</v>
      </c>
      <c r="H30" s="639" t="s">
        <v>898</v>
      </c>
      <c r="I30" s="639" t="s">
        <v>900</v>
      </c>
      <c r="J30" s="790">
        <v>40512</v>
      </c>
      <c r="K30" s="790">
        <v>41122</v>
      </c>
      <c r="L30" s="639" t="s">
        <v>893</v>
      </c>
      <c r="M30" s="639">
        <v>1</v>
      </c>
      <c r="N30" s="639">
        <v>4.5</v>
      </c>
      <c r="O30" s="639">
        <v>22.5</v>
      </c>
      <c r="P30" s="639">
        <v>30</v>
      </c>
      <c r="Q30" s="639">
        <v>0</v>
      </c>
      <c r="R30" s="639">
        <v>0</v>
      </c>
      <c r="S30" s="639">
        <v>0</v>
      </c>
      <c r="T30" s="639">
        <v>0</v>
      </c>
      <c r="U30" s="639">
        <v>0</v>
      </c>
      <c r="V30" s="639">
        <v>0</v>
      </c>
      <c r="W30" s="639">
        <v>0</v>
      </c>
      <c r="X30" s="639">
        <v>10</v>
      </c>
      <c r="Y30" s="639" t="s">
        <v>111</v>
      </c>
      <c r="Z30" s="641" t="s">
        <v>111</v>
      </c>
    </row>
    <row r="31" spans="1:26" s="593" customFormat="1" ht="38.25">
      <c r="A31" s="592"/>
      <c r="B31" s="791">
        <v>45035</v>
      </c>
      <c r="C31" s="791">
        <v>9700</v>
      </c>
      <c r="D31" s="640" t="s">
        <v>902</v>
      </c>
      <c r="E31" s="639" t="s">
        <v>903</v>
      </c>
      <c r="F31" s="639" t="s">
        <v>904</v>
      </c>
      <c r="G31" s="639" t="s">
        <v>891</v>
      </c>
      <c r="H31" s="639" t="s">
        <v>892</v>
      </c>
      <c r="I31" s="639" t="s">
        <v>903</v>
      </c>
      <c r="J31" s="790">
        <v>41463</v>
      </c>
      <c r="K31" s="790">
        <v>41495</v>
      </c>
      <c r="L31" s="639" t="s">
        <v>893</v>
      </c>
      <c r="M31" s="639">
        <v>5.3</v>
      </c>
      <c r="N31" s="639">
        <v>23.85</v>
      </c>
      <c r="O31" s="639">
        <v>34.071428571428577</v>
      </c>
      <c r="P31" s="639">
        <v>68.142857142857153</v>
      </c>
      <c r="Q31" s="639">
        <v>0</v>
      </c>
      <c r="R31" s="639">
        <v>0</v>
      </c>
      <c r="S31" s="639">
        <v>0</v>
      </c>
      <c r="T31" s="639">
        <v>0</v>
      </c>
      <c r="U31" s="639">
        <v>0</v>
      </c>
      <c r="V31" s="639">
        <v>0</v>
      </c>
      <c r="W31" s="639">
        <v>0</v>
      </c>
      <c r="X31" s="639">
        <v>10</v>
      </c>
      <c r="Y31" s="639" t="s">
        <v>111</v>
      </c>
      <c r="Z31" s="641" t="s">
        <v>111</v>
      </c>
    </row>
    <row r="32" spans="1:26" s="573" customFormat="1">
      <c r="A32" s="595" t="s">
        <v>279</v>
      </c>
      <c r="B32" s="596"/>
      <c r="C32" s="596"/>
      <c r="D32" s="596"/>
      <c r="E32" s="596"/>
      <c r="F32" s="596"/>
      <c r="G32" s="596"/>
      <c r="H32" s="596"/>
      <c r="I32" s="596"/>
      <c r="J32" s="596"/>
      <c r="K32" s="596"/>
      <c r="L32" s="597"/>
      <c r="M32" s="597">
        <f>SUM(M28:M31)</f>
        <v>882.3</v>
      </c>
      <c r="N32" s="597">
        <f>SUM(N28:N31)</f>
        <v>3970.35</v>
      </c>
      <c r="O32" s="597">
        <f>SUM(O28:O31)</f>
        <v>5704.0714285714284</v>
      </c>
      <c r="P32" s="597">
        <f>SUM(P28:P31)</f>
        <v>11378.142857142857</v>
      </c>
      <c r="Q32" s="597">
        <f>SUM(Q28:Q31)</f>
        <v>0</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875</v>
      </c>
      <c r="N33" s="597">
        <f>SUMIF($Z$28:$Z$31,"industrie",N28:N31)</f>
        <v>3937.5</v>
      </c>
      <c r="O33" s="597">
        <f>SUMIF($Z$28:$Z$31,"industrie",O28:O31)</f>
        <v>5625</v>
      </c>
      <c r="P33" s="597">
        <f>SUMIF($Z$28:$Z$31,"industrie",P28:P31)</f>
        <v>11250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0</v>
      </c>
      <c r="N34" s="597">
        <f ca="1">SUMIF($Z$28:AD31,"tertiair",N28:N31)</f>
        <v>0</v>
      </c>
      <c r="O34" s="597">
        <f ca="1">SUMIF($Z$28:AE31,"tertiair",O28:O31)</f>
        <v>0</v>
      </c>
      <c r="P34" s="597">
        <f ca="1">SUMIF($Z$28:AF31,"tertiair",P28:P31)</f>
        <v>0</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7.3</v>
      </c>
      <c r="N35" s="602">
        <f>SUMIF($Z$28:$Z$31,"landbouw",N28:N31)</f>
        <v>32.85</v>
      </c>
      <c r="O35" s="602">
        <f>SUMIF($Z$28:$Z$31,"landbouw",O28:O31)</f>
        <v>79.071428571428584</v>
      </c>
      <c r="P35" s="602">
        <f>SUMIF($Z$28:$Z$31,"landbouw",P28:P31)</f>
        <v>128.14285714285717</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0.58960336498528154</v>
      </c>
      <c r="C48" s="622">
        <f>IF(ISERROR(N32/(O32+N32)),0,N32/(N32+O32))</f>
        <v>0.41039663501471851</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4669.5515412881832</v>
      </c>
      <c r="C51" s="631">
        <f t="shared" si="2"/>
        <v>0</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6708.5913158546737</v>
      </c>
      <c r="C52" s="634">
        <f t="shared" si="3"/>
        <v>0</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52647.258750092646</v>
      </c>
      <c r="C4" s="452">
        <f>huishoudens!C8</f>
        <v>0</v>
      </c>
      <c r="D4" s="452">
        <f>huishoudens!D8</f>
        <v>111380.2987484</v>
      </c>
      <c r="E4" s="452">
        <f>huishoudens!E8</f>
        <v>36631.878605184291</v>
      </c>
      <c r="F4" s="452">
        <f>huishoudens!F8</f>
        <v>20239.181704865139</v>
      </c>
      <c r="G4" s="452">
        <f>huishoudens!G8</f>
        <v>0</v>
      </c>
      <c r="H4" s="452">
        <f>huishoudens!H8</f>
        <v>0</v>
      </c>
      <c r="I4" s="452">
        <f>huishoudens!I8</f>
        <v>0</v>
      </c>
      <c r="J4" s="452">
        <f>huishoudens!J8</f>
        <v>0</v>
      </c>
      <c r="K4" s="452">
        <f>huishoudens!K8</f>
        <v>0</v>
      </c>
      <c r="L4" s="452">
        <f>huishoudens!L8</f>
        <v>0</v>
      </c>
      <c r="M4" s="452">
        <f>huishoudens!M8</f>
        <v>0</v>
      </c>
      <c r="N4" s="452">
        <f>huishoudens!N8</f>
        <v>25192.206291733761</v>
      </c>
      <c r="O4" s="452">
        <f>huishoudens!O8</f>
        <v>1134.8241014893822</v>
      </c>
      <c r="P4" s="453">
        <f>huishoudens!P8</f>
        <v>811.11486669174678</v>
      </c>
      <c r="Q4" s="454">
        <f>SUM(B4:P4)</f>
        <v>248036.76306845696</v>
      </c>
    </row>
    <row r="5" spans="1:17">
      <c r="A5" s="451" t="s">
        <v>155</v>
      </c>
      <c r="B5" s="452">
        <f ca="1">tertiair!B16</f>
        <v>51117.831741000002</v>
      </c>
      <c r="C5" s="452">
        <f ca="1">tertiair!C16</f>
        <v>0</v>
      </c>
      <c r="D5" s="452">
        <f ca="1">tertiair!D16</f>
        <v>107733.32703381601</v>
      </c>
      <c r="E5" s="452">
        <f>tertiair!E16</f>
        <v>761.94858367589916</v>
      </c>
      <c r="F5" s="452">
        <f ca="1">tertiair!F16</f>
        <v>5701.7540620583559</v>
      </c>
      <c r="G5" s="452">
        <f>tertiair!G16</f>
        <v>0</v>
      </c>
      <c r="H5" s="452">
        <f>tertiair!H16</f>
        <v>0</v>
      </c>
      <c r="I5" s="452">
        <f>tertiair!I16</f>
        <v>0</v>
      </c>
      <c r="J5" s="452">
        <f>tertiair!J16</f>
        <v>0.10884948796903776</v>
      </c>
      <c r="K5" s="452">
        <f>tertiair!K16</f>
        <v>0</v>
      </c>
      <c r="L5" s="452">
        <f ca="1">tertiair!L16</f>
        <v>0</v>
      </c>
      <c r="M5" s="452">
        <f>tertiair!M16</f>
        <v>0</v>
      </c>
      <c r="N5" s="452">
        <f ca="1">tertiair!N16</f>
        <v>4304.1775150075891</v>
      </c>
      <c r="O5" s="452">
        <f>tertiair!O16</f>
        <v>24.486303829205774</v>
      </c>
      <c r="P5" s="453">
        <f>tertiair!P16</f>
        <v>210.15655322598008</v>
      </c>
      <c r="Q5" s="451">
        <f t="shared" ref="Q5:Q14" ca="1" si="0">SUM(B5:P5)</f>
        <v>169853.790642101</v>
      </c>
    </row>
    <row r="6" spans="1:17">
      <c r="A6" s="451" t="s">
        <v>193</v>
      </c>
      <c r="B6" s="452">
        <f>'openbare verlichting'!B8</f>
        <v>2336.1039999999998</v>
      </c>
      <c r="C6" s="452"/>
      <c r="D6" s="452"/>
      <c r="E6" s="452"/>
      <c r="F6" s="452"/>
      <c r="G6" s="452"/>
      <c r="H6" s="452"/>
      <c r="I6" s="452"/>
      <c r="J6" s="452"/>
      <c r="K6" s="452"/>
      <c r="L6" s="452"/>
      <c r="M6" s="452"/>
      <c r="N6" s="452"/>
      <c r="O6" s="452"/>
      <c r="P6" s="453"/>
      <c r="Q6" s="451">
        <f t="shared" si="0"/>
        <v>2336.1039999999998</v>
      </c>
    </row>
    <row r="7" spans="1:17">
      <c r="A7" s="451" t="s">
        <v>111</v>
      </c>
      <c r="B7" s="452">
        <f>landbouw!B8</f>
        <v>1774.454252</v>
      </c>
      <c r="C7" s="452">
        <f>landbouw!C8</f>
        <v>79.071428571428584</v>
      </c>
      <c r="D7" s="452">
        <f>landbouw!D8</f>
        <v>221.31519912314286</v>
      </c>
      <c r="E7" s="452">
        <f>landbouw!E8</f>
        <v>55.38013206209552</v>
      </c>
      <c r="F7" s="452">
        <f>landbouw!F8</f>
        <v>6271.1178953073986</v>
      </c>
      <c r="G7" s="452">
        <f>landbouw!G8</f>
        <v>0</v>
      </c>
      <c r="H7" s="452">
        <f>landbouw!H8</f>
        <v>0</v>
      </c>
      <c r="I7" s="452">
        <f>landbouw!I8</f>
        <v>0</v>
      </c>
      <c r="J7" s="452">
        <f>landbouw!J8</f>
        <v>488.87445215839091</v>
      </c>
      <c r="K7" s="452">
        <f>landbouw!K8</f>
        <v>0</v>
      </c>
      <c r="L7" s="452">
        <f>landbouw!L8</f>
        <v>0</v>
      </c>
      <c r="M7" s="452">
        <f>landbouw!M8</f>
        <v>0</v>
      </c>
      <c r="N7" s="452">
        <f>landbouw!N8</f>
        <v>0</v>
      </c>
      <c r="O7" s="452">
        <f>landbouw!O8</f>
        <v>0</v>
      </c>
      <c r="P7" s="453">
        <f>landbouw!P8</f>
        <v>0</v>
      </c>
      <c r="Q7" s="451">
        <f t="shared" si="0"/>
        <v>8890.2133592224563</v>
      </c>
    </row>
    <row r="8" spans="1:17">
      <c r="A8" s="451" t="s">
        <v>625</v>
      </c>
      <c r="B8" s="452">
        <f>industrie!B18</f>
        <v>168783.42402600002</v>
      </c>
      <c r="C8" s="452">
        <f>industrie!C18</f>
        <v>5625</v>
      </c>
      <c r="D8" s="452">
        <f>industrie!D18</f>
        <v>175073.752749662</v>
      </c>
      <c r="E8" s="452">
        <f>industrie!E18</f>
        <v>8382.2194015767927</v>
      </c>
      <c r="F8" s="452">
        <f>industrie!F18</f>
        <v>31334.001303889185</v>
      </c>
      <c r="G8" s="452">
        <f>industrie!G18</f>
        <v>0</v>
      </c>
      <c r="H8" s="452">
        <f>industrie!H18</f>
        <v>0</v>
      </c>
      <c r="I8" s="452">
        <f>industrie!I18</f>
        <v>0</v>
      </c>
      <c r="J8" s="452">
        <f>industrie!J18</f>
        <v>1404.1897562601253</v>
      </c>
      <c r="K8" s="452">
        <f>industrie!K18</f>
        <v>0</v>
      </c>
      <c r="L8" s="452">
        <f>industrie!L18</f>
        <v>0</v>
      </c>
      <c r="M8" s="452">
        <f>industrie!M18</f>
        <v>0</v>
      </c>
      <c r="N8" s="452">
        <f>industrie!N18</f>
        <v>6924.0912543062086</v>
      </c>
      <c r="O8" s="452">
        <f>industrie!O18</f>
        <v>0</v>
      </c>
      <c r="P8" s="453">
        <f>industrie!P18</f>
        <v>0</v>
      </c>
      <c r="Q8" s="451">
        <f t="shared" si="0"/>
        <v>397526.67849169433</v>
      </c>
    </row>
    <row r="9" spans="1:17" s="457" customFormat="1">
      <c r="A9" s="455" t="s">
        <v>551</v>
      </c>
      <c r="B9" s="456">
        <f>transport!B14</f>
        <v>93.233557716331902</v>
      </c>
      <c r="C9" s="456">
        <f>transport!C14</f>
        <v>0</v>
      </c>
      <c r="D9" s="456">
        <f>transport!D14</f>
        <v>336.90786456486182</v>
      </c>
      <c r="E9" s="456">
        <f>transport!E14</f>
        <v>284.31290092929061</v>
      </c>
      <c r="F9" s="456">
        <f>transport!F14</f>
        <v>0</v>
      </c>
      <c r="G9" s="456">
        <f>transport!G14</f>
        <v>139164.23515515152</v>
      </c>
      <c r="H9" s="456">
        <f>transport!H14</f>
        <v>31422.37172957927</v>
      </c>
      <c r="I9" s="456">
        <f>transport!I14</f>
        <v>0</v>
      </c>
      <c r="J9" s="456">
        <f>transport!J14</f>
        <v>0</v>
      </c>
      <c r="K9" s="456">
        <f>transport!K14</f>
        <v>0</v>
      </c>
      <c r="L9" s="456">
        <f>transport!L14</f>
        <v>0</v>
      </c>
      <c r="M9" s="456">
        <f>transport!M14</f>
        <v>10102.159841313864</v>
      </c>
      <c r="N9" s="456">
        <f>transport!N14</f>
        <v>0</v>
      </c>
      <c r="O9" s="456">
        <f>transport!O14</f>
        <v>0</v>
      </c>
      <c r="P9" s="456">
        <f>transport!P14</f>
        <v>0</v>
      </c>
      <c r="Q9" s="455">
        <f>SUM(B9:P9)</f>
        <v>181403.22104925514</v>
      </c>
    </row>
    <row r="10" spans="1:17">
      <c r="A10" s="451" t="s">
        <v>541</v>
      </c>
      <c r="B10" s="452">
        <f>transport!B54</f>
        <v>0</v>
      </c>
      <c r="C10" s="452">
        <f>transport!C54</f>
        <v>0</v>
      </c>
      <c r="D10" s="452">
        <f>transport!D54</f>
        <v>0</v>
      </c>
      <c r="E10" s="452">
        <f>transport!E54</f>
        <v>0</v>
      </c>
      <c r="F10" s="452">
        <f>transport!F54</f>
        <v>0</v>
      </c>
      <c r="G10" s="452">
        <f>transport!G54</f>
        <v>2378.9009595055868</v>
      </c>
      <c r="H10" s="452">
        <f>transport!H54</f>
        <v>0</v>
      </c>
      <c r="I10" s="452">
        <f>transport!I54</f>
        <v>0</v>
      </c>
      <c r="J10" s="452">
        <f>transport!J54</f>
        <v>0</v>
      </c>
      <c r="K10" s="452">
        <f>transport!K54</f>
        <v>0</v>
      </c>
      <c r="L10" s="452">
        <f>transport!L54</f>
        <v>0</v>
      </c>
      <c r="M10" s="452">
        <f>transport!M54</f>
        <v>132.19877648209436</v>
      </c>
      <c r="N10" s="452">
        <f>transport!N54</f>
        <v>0</v>
      </c>
      <c r="O10" s="452">
        <f>transport!O54</f>
        <v>0</v>
      </c>
      <c r="P10" s="453">
        <f>transport!P54</f>
        <v>0</v>
      </c>
      <c r="Q10" s="451">
        <f t="shared" si="0"/>
        <v>2511.099735987681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2177.1084719999999</v>
      </c>
      <c r="C14" s="459"/>
      <c r="D14" s="459">
        <f>'SEAP template'!E25</f>
        <v>7210.7719299999999</v>
      </c>
      <c r="E14" s="459"/>
      <c r="F14" s="459"/>
      <c r="G14" s="459"/>
      <c r="H14" s="459"/>
      <c r="I14" s="459"/>
      <c r="J14" s="459"/>
      <c r="K14" s="459"/>
      <c r="L14" s="459"/>
      <c r="M14" s="459"/>
      <c r="N14" s="459"/>
      <c r="O14" s="459"/>
      <c r="P14" s="460"/>
      <c r="Q14" s="451">
        <f t="shared" si="0"/>
        <v>9387.8804019999989</v>
      </c>
    </row>
    <row r="15" spans="1:17" s="463" customFormat="1">
      <c r="A15" s="461" t="s">
        <v>545</v>
      </c>
      <c r="B15" s="462">
        <f ca="1">SUM(B4:B14)</f>
        <v>278929.41479880898</v>
      </c>
      <c r="C15" s="462">
        <f t="shared" ref="C15:Q15" ca="1" si="1">SUM(C4:C14)</f>
        <v>5704.0714285714284</v>
      </c>
      <c r="D15" s="462">
        <f t="shared" ca="1" si="1"/>
        <v>401956.37352556601</v>
      </c>
      <c r="E15" s="462">
        <f t="shared" si="1"/>
        <v>46115.739623428366</v>
      </c>
      <c r="F15" s="462">
        <f t="shared" ca="1" si="1"/>
        <v>63546.054966120078</v>
      </c>
      <c r="G15" s="462">
        <f t="shared" si="1"/>
        <v>141543.1361146571</v>
      </c>
      <c r="H15" s="462">
        <f t="shared" si="1"/>
        <v>31422.37172957927</v>
      </c>
      <c r="I15" s="462">
        <f t="shared" si="1"/>
        <v>0</v>
      </c>
      <c r="J15" s="462">
        <f t="shared" si="1"/>
        <v>1893.1730579064852</v>
      </c>
      <c r="K15" s="462">
        <f t="shared" si="1"/>
        <v>0</v>
      </c>
      <c r="L15" s="462">
        <f t="shared" ca="1" si="1"/>
        <v>0</v>
      </c>
      <c r="M15" s="462">
        <f t="shared" si="1"/>
        <v>10234.358617795959</v>
      </c>
      <c r="N15" s="462">
        <f t="shared" ca="1" si="1"/>
        <v>36420.47506104756</v>
      </c>
      <c r="O15" s="462">
        <f t="shared" si="1"/>
        <v>1159.310405318588</v>
      </c>
      <c r="P15" s="462">
        <f t="shared" si="1"/>
        <v>1021.2714199177269</v>
      </c>
      <c r="Q15" s="462">
        <f t="shared" ca="1" si="1"/>
        <v>1019945.7507487176</v>
      </c>
    </row>
    <row r="17" spans="1:17">
      <c r="A17" s="464" t="s">
        <v>546</v>
      </c>
      <c r="B17" s="781">
        <f ca="1">huishoudens!B10</f>
        <v>0.20770509831886419</v>
      </c>
      <c r="C17" s="781">
        <f ca="1">huishoudens!C10</f>
        <v>0.2375733654061262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10935.104054906677</v>
      </c>
      <c r="C22" s="452">
        <f t="shared" ref="C22:C32" ca="1" si="3">C4*$C$17</f>
        <v>0</v>
      </c>
      <c r="D22" s="452">
        <f t="shared" ref="D22:D32" si="4">D4*$D$17</f>
        <v>22498.820347176803</v>
      </c>
      <c r="E22" s="452">
        <f t="shared" ref="E22:E32" si="5">E4*$E$17</f>
        <v>8315.4364433768351</v>
      </c>
      <c r="F22" s="452">
        <f t="shared" ref="F22:F32" si="6">F4*$F$17</f>
        <v>5403.8615151989925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47153.222360659311</v>
      </c>
    </row>
    <row r="23" spans="1:17">
      <c r="A23" s="451" t="s">
        <v>155</v>
      </c>
      <c r="B23" s="452">
        <f t="shared" ca="1" si="2"/>
        <v>10617.434267611561</v>
      </c>
      <c r="C23" s="452">
        <f t="shared" ca="1" si="3"/>
        <v>0</v>
      </c>
      <c r="D23" s="452">
        <f t="shared" ca="1" si="4"/>
        <v>21762.132060830834</v>
      </c>
      <c r="E23" s="452">
        <f t="shared" si="5"/>
        <v>172.9623284944291</v>
      </c>
      <c r="F23" s="452">
        <f t="shared" ca="1" si="6"/>
        <v>1522.3683345695811</v>
      </c>
      <c r="G23" s="452">
        <f t="shared" si="7"/>
        <v>0</v>
      </c>
      <c r="H23" s="452">
        <f t="shared" si="8"/>
        <v>0</v>
      </c>
      <c r="I23" s="452">
        <f t="shared" si="9"/>
        <v>0</v>
      </c>
      <c r="J23" s="452">
        <f t="shared" si="10"/>
        <v>3.8532718741039362E-2</v>
      </c>
      <c r="K23" s="452">
        <f t="shared" si="11"/>
        <v>0</v>
      </c>
      <c r="L23" s="452">
        <f t="shared" ca="1" si="12"/>
        <v>0</v>
      </c>
      <c r="M23" s="452">
        <f t="shared" si="13"/>
        <v>0</v>
      </c>
      <c r="N23" s="452">
        <f t="shared" ca="1" si="14"/>
        <v>0</v>
      </c>
      <c r="O23" s="452">
        <f t="shared" si="15"/>
        <v>0</v>
      </c>
      <c r="P23" s="453">
        <f t="shared" si="16"/>
        <v>0</v>
      </c>
      <c r="Q23" s="451">
        <f t="shared" ref="Q23:Q31" ca="1" si="17">SUM(B23:P23)</f>
        <v>34074.93552422514</v>
      </c>
    </row>
    <row r="24" spans="1:17">
      <c r="A24" s="451" t="s">
        <v>193</v>
      </c>
      <c r="B24" s="452">
        <f t="shared" ca="1" si="2"/>
        <v>485.22071100309188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485.22071100309188</v>
      </c>
    </row>
    <row r="25" spans="1:17">
      <c r="A25" s="451" t="s">
        <v>111</v>
      </c>
      <c r="B25" s="452">
        <f t="shared" ca="1" si="2"/>
        <v>368.56319487398662</v>
      </c>
      <c r="C25" s="452">
        <f t="shared" ca="1" si="3"/>
        <v>18.78526539318441</v>
      </c>
      <c r="D25" s="452">
        <f t="shared" si="4"/>
        <v>44.705670222874858</v>
      </c>
      <c r="E25" s="452">
        <f t="shared" si="5"/>
        <v>12.571289978095683</v>
      </c>
      <c r="F25" s="452">
        <f t="shared" si="6"/>
        <v>1674.3884780470755</v>
      </c>
      <c r="G25" s="452">
        <f t="shared" si="7"/>
        <v>0</v>
      </c>
      <c r="H25" s="452">
        <f t="shared" si="8"/>
        <v>0</v>
      </c>
      <c r="I25" s="452">
        <f t="shared" si="9"/>
        <v>0</v>
      </c>
      <c r="J25" s="452">
        <f t="shared" si="10"/>
        <v>173.06155606407037</v>
      </c>
      <c r="K25" s="452">
        <f t="shared" si="11"/>
        <v>0</v>
      </c>
      <c r="L25" s="452">
        <f t="shared" si="12"/>
        <v>0</v>
      </c>
      <c r="M25" s="452">
        <f t="shared" si="13"/>
        <v>0</v>
      </c>
      <c r="N25" s="452">
        <f t="shared" si="14"/>
        <v>0</v>
      </c>
      <c r="O25" s="452">
        <f t="shared" si="15"/>
        <v>0</v>
      </c>
      <c r="P25" s="453">
        <f t="shared" si="16"/>
        <v>0</v>
      </c>
      <c r="Q25" s="451">
        <f t="shared" ca="1" si="17"/>
        <v>2292.0754545792875</v>
      </c>
    </row>
    <row r="26" spans="1:17">
      <c r="A26" s="451" t="s">
        <v>625</v>
      </c>
      <c r="B26" s="452">
        <f t="shared" ca="1" si="2"/>
        <v>35057.17768191488</v>
      </c>
      <c r="C26" s="452">
        <f t="shared" ca="1" si="3"/>
        <v>1336.3501804094599</v>
      </c>
      <c r="D26" s="452">
        <f t="shared" si="4"/>
        <v>35364.898055431724</v>
      </c>
      <c r="E26" s="452">
        <f t="shared" si="5"/>
        <v>1902.7638041579321</v>
      </c>
      <c r="F26" s="452">
        <f t="shared" si="6"/>
        <v>8366.1783481384136</v>
      </c>
      <c r="G26" s="452">
        <f t="shared" si="7"/>
        <v>0</v>
      </c>
      <c r="H26" s="452">
        <f t="shared" si="8"/>
        <v>0</v>
      </c>
      <c r="I26" s="452">
        <f t="shared" si="9"/>
        <v>0</v>
      </c>
      <c r="J26" s="452">
        <f t="shared" si="10"/>
        <v>497.08317371608433</v>
      </c>
      <c r="K26" s="452">
        <f t="shared" si="11"/>
        <v>0</v>
      </c>
      <c r="L26" s="452">
        <f t="shared" si="12"/>
        <v>0</v>
      </c>
      <c r="M26" s="452">
        <f t="shared" si="13"/>
        <v>0</v>
      </c>
      <c r="N26" s="452">
        <f t="shared" si="14"/>
        <v>0</v>
      </c>
      <c r="O26" s="452">
        <f t="shared" si="15"/>
        <v>0</v>
      </c>
      <c r="P26" s="453">
        <f t="shared" si="16"/>
        <v>0</v>
      </c>
      <c r="Q26" s="451">
        <f t="shared" ca="1" si="17"/>
        <v>82524.451243768519</v>
      </c>
    </row>
    <row r="27" spans="1:17" s="457" customFormat="1">
      <c r="A27" s="455" t="s">
        <v>551</v>
      </c>
      <c r="B27" s="775">
        <f t="shared" ca="1" si="2"/>
        <v>19.365085272088216</v>
      </c>
      <c r="C27" s="456">
        <f t="shared" ca="1" si="3"/>
        <v>0</v>
      </c>
      <c r="D27" s="456">
        <f t="shared" si="4"/>
        <v>68.055388642102088</v>
      </c>
      <c r="E27" s="456">
        <f t="shared" si="5"/>
        <v>64.539028510948967</v>
      </c>
      <c r="F27" s="456">
        <f t="shared" si="6"/>
        <v>0</v>
      </c>
      <c r="G27" s="456">
        <f t="shared" si="7"/>
        <v>37156.850786425457</v>
      </c>
      <c r="H27" s="456">
        <f t="shared" si="8"/>
        <v>7824.1705606652386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45132.980849515836</v>
      </c>
    </row>
    <row r="28" spans="1:17" ht="16.5" customHeight="1">
      <c r="A28" s="451" t="s">
        <v>541</v>
      </c>
      <c r="B28" s="452">
        <f t="shared" ca="1" si="2"/>
        <v>0</v>
      </c>
      <c r="C28" s="452">
        <f t="shared" ca="1" si="3"/>
        <v>0</v>
      </c>
      <c r="D28" s="452">
        <f t="shared" si="4"/>
        <v>0</v>
      </c>
      <c r="E28" s="452">
        <f t="shared" si="5"/>
        <v>0</v>
      </c>
      <c r="F28" s="452">
        <f t="shared" si="6"/>
        <v>0</v>
      </c>
      <c r="G28" s="452">
        <f t="shared" si="7"/>
        <v>635.16655618799166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635.16655618799166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452.19652922759218</v>
      </c>
      <c r="C32" s="452">
        <f t="shared" ca="1" si="3"/>
        <v>0</v>
      </c>
      <c r="D32" s="452">
        <f t="shared" si="4"/>
        <v>1456.5759298600001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1908.7724590875923</v>
      </c>
    </row>
    <row r="33" spans="1:17" s="463" customFormat="1">
      <c r="A33" s="461" t="s">
        <v>545</v>
      </c>
      <c r="B33" s="462">
        <f ca="1">SUM(B22:B32)</f>
        <v>57935.061524809877</v>
      </c>
      <c r="C33" s="462">
        <f t="shared" ref="C33:Q33" ca="1" si="19">SUM(C22:C32)</f>
        <v>1355.1354458026442</v>
      </c>
      <c r="D33" s="462">
        <f t="shared" ca="1" si="19"/>
        <v>81195.187452164333</v>
      </c>
      <c r="E33" s="462">
        <f t="shared" si="19"/>
        <v>10468.272894518241</v>
      </c>
      <c r="F33" s="462">
        <f t="shared" ca="1" si="19"/>
        <v>16966.796675954065</v>
      </c>
      <c r="G33" s="462">
        <f t="shared" si="19"/>
        <v>37792.01734261345</v>
      </c>
      <c r="H33" s="462">
        <f t="shared" si="19"/>
        <v>7824.1705606652386</v>
      </c>
      <c r="I33" s="462">
        <f t="shared" si="19"/>
        <v>0</v>
      </c>
      <c r="J33" s="462">
        <f t="shared" si="19"/>
        <v>670.18326249889571</v>
      </c>
      <c r="K33" s="462">
        <f t="shared" si="19"/>
        <v>0</v>
      </c>
      <c r="L33" s="462">
        <f t="shared" ca="1" si="19"/>
        <v>0</v>
      </c>
      <c r="M33" s="462">
        <f t="shared" si="19"/>
        <v>0</v>
      </c>
      <c r="N33" s="462">
        <f t="shared" ca="1" si="19"/>
        <v>0</v>
      </c>
      <c r="O33" s="462">
        <f t="shared" si="19"/>
        <v>0</v>
      </c>
      <c r="P33" s="462">
        <f t="shared" si="19"/>
        <v>0</v>
      </c>
      <c r="Q33" s="462">
        <f t="shared" ca="1" si="19"/>
        <v>214206.82515902675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17077.56202292817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3970.35</v>
      </c>
      <c r="D8" s="1029">
        <f>'SEAP template'!D76</f>
        <v>4669.5515412881832</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943.2494113402131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17077.56202292817</v>
      </c>
      <c r="C10" s="1031">
        <f>SUM(C4:C9)</f>
        <v>3970.35</v>
      </c>
      <c r="D10" s="1031">
        <f t="shared" ref="D10:H10" si="0">SUM(D8:D9)</f>
        <v>4669.5515412881832</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943.2494113402131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0.20770509831886419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5704.0714285714284</v>
      </c>
      <c r="D17" s="1030">
        <f>'SEAP template'!D87</f>
        <v>6708.5913158546737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1355.1354458026442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5704.0714285714284</v>
      </c>
      <c r="D20" s="1031">
        <f t="shared" ref="D20:H20" si="2">SUM(D17:D19)</f>
        <v>6708.5913158546737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1355.1354458026442</v>
      </c>
    </row>
    <row r="21" spans="1:16">
      <c r="B21" s="887"/>
    </row>
    <row r="22" spans="1:16">
      <c r="A22" s="464" t="s">
        <v>797</v>
      </c>
      <c r="B22" s="781" t="s">
        <v>795</v>
      </c>
      <c r="C22" s="781">
        <f ca="1">'EF ele_warmte'!B22</f>
        <v>0.2375733654061262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0.20770509831886419</v>
      </c>
      <c r="C17" s="501">
        <f ca="1">'EF ele_warmte'!B22</f>
        <v>0.2375733654061262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2</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38.133333333333333</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2020-06-20T15:36:17Z</dcterms:modified>
</cp:coreProperties>
</file>