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D6" i="17" s="1"/>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I9" i="18" l="1"/>
  <c r="I77" i="14" s="1"/>
  <c r="I9" i="59" s="1"/>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I76" i="14" l="1"/>
  <c r="I8" i="59" s="1"/>
  <c r="I10" i="59" s="1"/>
  <c r="B15" i="48"/>
  <c r="E27" i="14"/>
  <c r="J20" i="15"/>
  <c r="K40" i="14" s="1"/>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<sst xmlns="http://schemas.openxmlformats.org/spreadsheetml/2006/main" count="2402" uniqueCount="888">
  <si>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</si>
  <si>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</si>
  <si>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</si>
  <si>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</si>
  <si>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</si>
  <si>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</si>
  <si>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</si>
  <si>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</si>
  <si>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</si>
  <si>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</si>
  <si>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</si>
  <si>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</si>
  <si>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</si>
  <si>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</si>
  <si>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</si>
  <si>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</si>
  <si>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</si>
  <si>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</si>
  <si>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</si>
  <si>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</si>
  <si>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</si>
  <si>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</si>
  <si>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</si>
  <si>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</si>
  <si>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</si>
  <si>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</si>
  <si>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</si>
  <si>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</si>
  <si>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</si>
  <si>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</si>
  <si>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</si>
  <si>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</si>
  <si>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</si>
  <si>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</si>
  <si>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</si>
  <si>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</si>
  <si>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</si>
  <si>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</si>
  <si>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</si>
  <si>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</si>
  <si>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</si>
  <si>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</si>
  <si>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</si>
  <si>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</si>
  <si>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</si>
  <si>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</si>
  <si>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</si>
  <si>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</si>
  <si>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</si>
  <si>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</si>
  <si>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</si>
  <si>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</si>
  <si>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</si>
  <si>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</si>
  <si>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</si>
  <si>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</si>
  <si>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</si>
  <si>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</si>
  <si>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</si>
  <si>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</si>
  <si>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</si>
  <si>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</si>
  <si>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</si>
  <si>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</si>
  <si>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</si>
  <si>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</si>
  <si>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</si>
  <si>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</si>
  <si>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</si>
  <si>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</si>
  <si>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</si>
  <si>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</si>
  <si>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</si>
  <si>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</si>
  <si>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</si>
  <si>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</si>
  <si>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</si>
  <si>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</si>
  <si>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</si>
  <si>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</si>
  <si>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</si>
  <si>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</si>
  <si>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</si>
  <si>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</si>
  <si>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</si>
  <si>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</si>
  <si>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</si>
  <si>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</si>
  <si>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</si>
  <si>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</si>
  <si>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</si>
  <si>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</si>
  <si>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</si>
  <si>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</si>
  <si>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</si>
  <si>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</si>
  <si>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</si>
  <si>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</si>
  <si>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</si>
  <si>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</si>
  <si>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</si>
  <si>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</si>
  <si>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</si>
  <si>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</si>
  <si>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</si>
  <si>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</si>
  <si>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</si>
  <si>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</si>
  <si>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</si>
  <si>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</si>
  <si>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</si>
  <si>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</si>
  <si>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</si>
  <si>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</si>
  <si>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</si>
  <si>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</si>
  <si>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</si>
  <si>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</si>
  <si>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</si>
  <si>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</si>
  <si>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</si>
  <si>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</si>
  <si>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</si>
  <si>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</si>
  <si>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</si>
  <si>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</si>
  <si>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</si>
  <si>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</si>
  <si>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</si>
  <si>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</si>
  <si>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</si>
  <si>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</si>
  <si>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</si>
  <si>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</si>
  <si>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</si>
  <si>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</si>
  <si>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</si>
  <si>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</si>
  <si>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</si>
  <si>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</si>
  <si>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</si>
  <si>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</si>
  <si>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</si>
  <si>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</si>
  <si>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</si>
  <si>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</si>
  <si>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</si>
  <si>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</si>
  <si>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</si>
  <si>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</si>
  <si>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</si>
  <si>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</si>
  <si>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</si>
  <si>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</si>
  <si>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</si>
  <si>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</si>
  <si>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</si>
  <si>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</si>
  <si>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</si>
  <si>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</si>
  <si>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</si>
  <si>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</si>
  <si>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</si>
  <si>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</si>
  <si>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</si>
  <si>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</si>
  <si>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</si>
  <si>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</si>
  <si>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</si>
  <si>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</si>
  <si>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</si>
  <si>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</si>
  <si>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</si>
  <si>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</si>
  <si>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</si>
  <si>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</si>
  <si>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</si>
  <si>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</si>
  <si>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</si>
  <si>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</si>
  <si>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</si>
  <si>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</si>
  <si>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</si>
  <si>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</si>
  <si>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</si>
  <si>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</si>
  <si>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</si>
  <si>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</si>
  <si>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</si>
  <si>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</si>
  <si>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</si>
  <si>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</si>
  <si>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</si>
  <si>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</si>
  <si>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</si>
  <si>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</si>
  <si>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</si>
  <si>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</si>
  <si>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</si>
  <si>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</si>
  <si>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</si>
  <si>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</si>
  <si>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</si>
  <si>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</si>
  <si>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</si>
  <si>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</si>
  <si>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</si>
  <si>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</si>
  <si>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</si>
  <si>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</si>
  <si>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</si>
  <si>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</si>
  <si>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</si>
  <si>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</si>
  <si>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</si>
  <si>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</si>
  <si>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</si>
  <si>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</si>
  <si>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</si>
  <si>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</si>
  <si>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</si>
  <si>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</si>
  <si>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</si>
  <si>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</si>
  <si>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</si>
  <si>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</si>
  <si>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</si>
  <si>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</si>
  <si>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</si>
  <si>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</si>
  <si>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</si>
  <si>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</si>
  <si>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</si>
  <si>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</si>
  <si>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</si>
  <si>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</si>
  <si>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</si>
  <si>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</si>
  <si>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</si>
  <si>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</si>
  <si>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</si>
  <si>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</si>
  <si>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</si>
  <si>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</si>
  <si>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</si>
  <si>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</si>
  <si>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</si>
  <si>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</si>
  <si>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</si>
  <si>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</si>
  <si>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</si>
  <si>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</si>
  <si>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</si>
  <si>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</si>
  <si>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</si>
  <si>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</si>
  <si>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</si>
  <si>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</si>
  <si>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</si>
  <si>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</si>
  <si>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</si>
  <si>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</si>
  <si>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</si>
  <si>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</si>
  <si>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</si>
  <si>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</si>
  <si>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</si>
  <si>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</si>
  <si>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</si>
  <si>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</si>
  <si>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</si>
  <si>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</si>
  <si>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</si>
  <si>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</si>
  <si>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</si>
  <si>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</si>
  <si>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</si>
  <si>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</si>
  <si>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</si>
  <si>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</si>
  <si>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</si>
  <si>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</si>
  <si>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</si>
  <si>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</si>
  <si>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</si>
  <si>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</si>
  <si>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</si>
  <si>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</si>
  <si>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</si>
  <si>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</si>
  <si>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</si>
  <si>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</si>
  <si>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</si>
  <si>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</si>
  <si>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</si>
  <si>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</si>
  <si>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</si>
  <si>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</si>
  <si>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</si>
  <si>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</si>
  <si>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</si>
  <si>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</si>
  <si>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</si>
  <si>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</si>
  <si>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</si>
  <si>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</si>
  <si>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</si>
  <si>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</si>
  <si>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</si>
  <si>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</si>
  <si>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</si>
  <si>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</si>
  <si>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</si>
  <si>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</si>
  <si>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</si>
  <si>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</si>
  <si>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</si>
  <si>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</si>
  <si>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</si>
  <si>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</si>
  <si>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</si>
  <si>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</si>
  <si>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</si>
  <si>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</si>
  <si>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</si>
  <si>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</si>
  <si>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</si>
  <si>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</si>
  <si>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</si>
  <si>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</si>
  <si>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</si>
  <si>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</si>
  <si>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</si>
  <si>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</si>
  <si>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</si>
  <si>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</si>
  <si>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</si>
  <si>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</si>
  <si>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</si>
  <si>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</si>
  <si>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</si>
  <si>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</si>
  <si>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</si>
  <si>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</si>
  <si>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</si>
  <si>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</si>
  <si>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</si>
  <si>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</si>
  <si>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</si>
  <si>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</si>
  <si>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</si>
  <si>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</si>
  <si>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</si>
  <si>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</si>
  <si>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</si>
  <si>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</si>
  <si>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</si>
  <si>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</si>
  <si>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</si>
  <si>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</si>
  <si>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</si>
  <si>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</si>
  <si>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</si>
  <si>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</si>
  <si>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</si>
  <si>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</si>
  <si>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</si>
  <si>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</si>
  <si>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</si>
  <si>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</si>
  <si>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</si>
  <si>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</si>
  <si>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</si>
  <si>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</si>
  <si>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</si>
  <si>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</si>
  <si>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</si>
  <si>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</si>
  <si>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</si>
  <si>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</si>
  <si>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</si>
  <si>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</si>
  <si>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</si>
  <si>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</si>
  <si>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</si>
  <si>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</si>
  <si>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</si>
  <si>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</si>
  <si>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</si>
  <si>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</si>
  <si>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</si>
  <si>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</si>
  <si>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</si>
  <si>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</si>
  <si>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</si>
  <si>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</si>
  <si>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</si>
  <si>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</si>
  <si>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</si>
  <si>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</si>
  <si>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</si>
  <si>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</si>
  <si>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</si>
  <si>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</si>
  <si>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</si>
  <si>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</si>
  <si>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</si>
  <si>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</si>
  <si>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</si>
  <si>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</si>
  <si>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</si>
  <si>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</si>
  <si>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</si>
  <si>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</si>
  <si>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</si>
  <si>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</si>
  <si>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</si>
  <si>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</si>
  <si>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</si>
  <si>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</si>
  <si>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</si>
  <si>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</si>
  <si>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</si>
  <si>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</si>
  <si>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</si>
  <si>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</si>
  <si>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</si>
  <si>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</si>
  <si>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</si>
  <si>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</si>
  <si>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</si>
  <si>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</si>
  <si>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</si>
  <si>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</si>
  <si>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</si>
  <si>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</si>
  <si>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</si>
  <si>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</si>
  <si>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</si>
  <si>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</si>
  <si>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</si>
  <si>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</si>
  <si>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</si>
  <si>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</si>
  <si>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</si>
  <si>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</si>
  <si>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</si>
  <si>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</si>
  <si>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</si>
  <si>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</si>
  <si>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</si>
  <si>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</si>
  <si>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</si>
  <si>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</si>
  <si>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</si>
  <si>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</si>
  <si>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</si>
  <si>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</si>
  <si>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</si>
  <si>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</si>
  <si>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</si>
  <si>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</si>
  <si>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</si>
  <si>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</si>
  <si>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</si>
  <si>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</si>
  <si>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</si>
  <si>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</si>
  <si>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</si>
  <si>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</si>
  <si>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</si>
  <si>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</si>
  <si>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</si>
  <si>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</si>
  <si>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</si>
  <si>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</si>
  <si>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</si>
  <si>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</si>
  <si>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</si>
  <si>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</si>
  <si>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</si>
  <si>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</si>
  <si>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</si>
  <si>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</si>
  <si>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</si>
  <si>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</si>
  <si>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</si>
  <si>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</si>
  <si>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</si>
  <si>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</si>
  <si>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</si>
  <si>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</si>
  <si>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</si>
  <si>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</si>
  <si>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</si>
  <si>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</si>
  <si>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</si>
  <si>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</si>
  <si>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</si>
  <si>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</si>
  <si>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</si>
  <si>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</si>
  <si>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</si>
  <si>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</si>
  <si>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</si>
  <si>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</si>
  <si>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</si>
  <si>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</si>
  <si>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</si>
  <si>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</si>
  <si>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</si>
  <si>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</si>
  <si>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</si>
  <si>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</si>
  <si>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</si>
  <si>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</si>
  <si>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</si>
  <si>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</si>
  <si>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</si>
  <si>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</si>
  <si>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</si>
  <si>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</si>
  <si>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</si>
  <si>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</si>
  <si>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</si>
  <si>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</si>
  <si>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</si>
  <si>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</si>
  <si>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</si>
  <si>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</si>
  <si>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</si>
  <si>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</si>
  <si>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</si>
  <si>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</si>
  <si>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</si>
  <si>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</si>
  <si>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</si>
  <si>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</si>
  <si>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</si>
  <si>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</si>
  <si>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</si>
  <si>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</si>
  <si>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</si>
  <si>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</si>
  <si>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</si>
  <si>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</si>
  <si>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</si>
  <si>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</si>
  <si>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</si>
  <si>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</si>
  <si>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</si>
  <si>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</si>
  <si>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</si>
  <si>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</si>
  <si>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</si>
  <si>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</si>
  <si>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</si>
  <si>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</si>
  <si>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</si>
  <si>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</si>
  <si>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</si>
  <si>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</si>
  <si>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</si>
  <si>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</si>
  <si>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</si>
  <si>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</si>
  <si>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</si>
  <si>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</si>
  <si>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</si>
  <si>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</si>
  <si>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</si>
  <si>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</si>
  <si>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</si>
  <si>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</si>
  <si>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</si>
  <si>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</si>
  <si>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</si>
  <si>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</si>
  <si>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</si>
  <si>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</si>
  <si>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</si>
  <si>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</si>
  <si>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</si>
  <si>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</si>
  <si>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</si>
  <si>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</si>
  <si>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</si>
  <si>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</si>
  <si>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</si>
  <si>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</si>
  <si>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</si>
  <si>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</si>
  <si>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</si>
  <si>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</si>
  <si>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</si>
  <si>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</si>
  <si>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</si>
  <si>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</si>
  <si>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</si>
  <si>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</si>
  <si>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</si>
  <si>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</si>
  <si>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</si>
  <si>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</si>
  <si>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</si>
  <si>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</si>
  <si>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</si>
  <si>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</si>
  <si>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</si>
  <si>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</si>
  <si>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</si>
  <si>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</si>
  <si>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</si>
  <si>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</si>
  <si>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</si>
  <si>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</si>
  <si>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</si>
  <si>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</si>
  <si>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</si>
  <si>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</si>
  <si>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</si>
  <si>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</si>
  <si>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</si>
  <si>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</si>
  <si>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</si>
  <si>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</si>
  <si>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</si>
  <si>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</si>
  <si>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</si>
  <si>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</si>
  <si>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</si>
  <si>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</si>
  <si>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</si>
  <si>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</si>
  <si>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</si>
  <si>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</si>
  <si>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</si>
  <si>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</si>
  <si>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</si>
  <si>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</si>
  <si>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</si>
  <si>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</si>
  <si>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</si>
  <si>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</si>
  <si>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</si>
  <si>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</si>
  <si>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</si>
  <si>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</si>
  <si>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</si>
  <si>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</si>
  <si>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</si>
  <si>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</si>
  <si>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</si>
  <si>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</si>
  <si>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</si>
  <si>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</si>
  <si>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</si>
  <si>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</si>
  <si>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</si>
  <si>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</si>
  <si>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</si>
  <si>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</si>
  <si>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</si>
  <si>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</si>
  <si>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</si>
  <si>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</si>
  <si>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</si>
  <si>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</si>
  <si>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</si>
  <si>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</si>
  <si>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</si>
  <si>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</si>
  <si>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</si>
  <si>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</si>
  <si>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</si>
  <si>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</si>
  <si>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</si>
  <si>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</si>
  <si>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</si>
  <si>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</si>
  <si>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</si>
  <si>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</si>
  <si>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</si>
  <si>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</si>
  <si>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</si>
  <si>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</si>
  <si>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</si>
  <si>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</si>
  <si>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</si>
  <si>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</si>
  <si>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</si>
  <si>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</si>
  <si>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</si>
  <si>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</si>
  <si>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</si>
  <si>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</si>
  <si>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</si>
  <si>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</si>
  <si>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</si>
  <si>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</si>
  <si>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</si>
  <si>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</si>
  <si>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</si>
  <si>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</si>
  <si>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</si>
  <si>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</si>
  <si>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</si>
  <si>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</si>
  <si>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</si>
  <si>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</si>
  <si>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</si>
  <si>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</si>
  <si>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</si>
  <si>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</si>
  <si>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</si>
  <si>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</si>
  <si>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</si>
  <si>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</si>
  <si>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</si>
  <si>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</si>
  <si>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</si>
  <si>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</si>
  <si>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</si>
  <si>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</si>
  <si>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</si>
  <si>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</si>
  <si>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</si>
  <si>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</si>
  <si>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</si>
  <si>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</si>
  <si>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</si>
  <si>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</si>
  <si>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</si>
  <si>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</si>
  <si>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</si>
  <si>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</si>
  <si>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</si>
  <si>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</si>
  <si>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</si>
  <si>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</si>
  <si>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</si>
  <si>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</si>
  <si>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</si>
  <si>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</si>
  <si>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</si>
  <si>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</si>
  <si>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</si>
  <si>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</si>
  <si>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</si>
  <si>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</si>
  <si>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</si>
  <si>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</si>
  <si>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</si>
  <si>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</si>
  <si>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</si>
  <si>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</si>
  <si>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</si>
  <si>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</si>
  <si>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</si>
  <si>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</si>
  <si>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</si>
  <si>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</si>
  <si>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</si>
  <si>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</si>
  <si>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</si>
  <si>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</si>
  <si>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</si>
  <si>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</si>
  <si>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</si>
  <si>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</si>
  <si>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</si>
  <si>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</si>
  <si>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</si>
  <si>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</si>
  <si>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</si>
  <si>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</si>
  <si>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</si>
  <si>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</si>
  <si>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</si>
  <si>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</si>
  <si>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</si>
  <si>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</si>
  <si>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</si>
  <si>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</si>
  <si>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</si>
  <si>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</si>
  <si>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</si>
  <si>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</si>
  <si>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</si>
  <si>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</si>
  <si>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</si>
  <si>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</si>
  <si>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</si>
  <si>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</si>
  <si>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</si>
  <si>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</si>
  <si>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</si>
  <si>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</si>
  <si>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</si>
  <si>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</si>
  <si>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</si>
  <si>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</si>
  <si>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</si>
  <si>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</si>
  <si>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</si>
  <si>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</si>
  <si>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</si>
  <si>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</si>
  <si>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</si>
  <si>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</si>
  <si>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</si>
  <si>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</si>
  <si>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</si>
  <si>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</si>
  <si>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</si>
  <si>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</si>
  <si>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</si>
  <si>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</si>
  <si>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</si>
  <si>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</si>
  <si>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</si>
  <si>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</si>
  <si>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</si>
  <si>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</si>
  <si>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</si>
  <si>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</si>
  <si>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</si>
  <si>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</si>
  <si>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</si>
  <si>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</si>
  <si>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</si>
  <si>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</si>
  <si>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</si>
  <si>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</si>
  <si>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</si>
  <si>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</si>
  <si>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</si>
  <si>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</si>
  <si>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</si>
  <si>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</si>
  <si>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</si>
  <si>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</si>
  <si>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</si>
  <si>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</si>
  <si>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</si>
  <si>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</si>
  <si>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</si>
  <si>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</si>
  <si>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</si>
  <si>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</si>
  <si>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</si>
  <si>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</si>
  <si>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</si>
  <si>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</si>
  <si>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</si>
  <si>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</si>
  <si>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</si>
  <si>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</si>
  <si>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</si>
  <si>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</si>
  <si>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</si>
  <si>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</si>
  <si>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</si>
  <si>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</si>
  <si>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</si>
  <si>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</si>
  <si>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</si>
  <si>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</si>
  <si>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</si>
  <si>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</si>
  <si>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</si>
  <si>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</si>
  <si>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</si>
  <si>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</si>
  <si>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</si>
  <si>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</si>
  <si>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</si>
  <si>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</si>
  <si>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</si>
  <si>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</si>
  <si>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</si>
  <si>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</si>
  <si>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</si>
  <si>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</si>
  <si>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</si>
  <si>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44052</t>
  </si>
  <si>
    <t>OOSTERZELE</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</si>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</sst>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114481.9419790729</c:v>
                </c:pt>
                <c:pt idx="1">
                  <c:v>21670.14186973172</c:v>
                </c:pt>
                <c:pt idx="2">
                  <c:v>1078.8869999999999</c:v>
                </c:pt>
                <c:pt idx="3">
                  <c:v>12904.56480201763</c:v>
                </c:pt>
                <c:pt idx="4">
                  <c:v>13027.056659655851</c:v>
                </c:pt>
                <c:pt idx="5">
                  <c:v>99382.936454596391</c:v>
                </c:pt>
                <c:pt idx="6">
                  <c:v>637.51508681354483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114481.9419790729</c:v>
                </c:pt>
                <c:pt idx="1">
                  <c:v>21670.14186973172</c:v>
                </c:pt>
                <c:pt idx="2">
                  <c:v>1078.8869999999999</c:v>
                </c:pt>
                <c:pt idx="3">
                  <c:v>12904.56480201763</c:v>
                </c:pt>
                <c:pt idx="4">
                  <c:v>13027.056659655851</c:v>
                </c:pt>
                <c:pt idx="5">
                  <c:v>99382.936454596391</c:v>
                </c:pt>
                <c:pt idx="6">
                  <c:v>637.51508681354483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22486.940454420641</c:v>
                </c:pt>
                <c:pt idx="1">
                  <c:v>4292.6120151008381</c:v>
                </c:pt>
                <c:pt idx="2">
                  <c:v>216.33436673696772</c:v>
                </c:pt>
                <c:pt idx="3">
                  <c:v>3311.0224491602708</c:v>
                </c:pt>
                <c:pt idx="4">
                  <c:v>2704.702852497705</c:v>
                </c:pt>
                <c:pt idx="5">
                  <c:v>24698.658317786343</c:v>
                </c:pt>
                <c:pt idx="6">
                  <c:v>161.25534816719616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22486.940454420641</c:v>
                </c:pt>
                <c:pt idx="1">
                  <c:v>4292.6120151008381</c:v>
                </c:pt>
                <c:pt idx="2">
                  <c:v>216.33436673696772</c:v>
                </c:pt>
                <c:pt idx="3">
                  <c:v>3311.0224491602708</c:v>
                </c:pt>
                <c:pt idx="4">
                  <c:v>2704.702852497705</c:v>
                </c:pt>
                <c:pt idx="5">
                  <c:v>24698.658317786343</c:v>
                </c:pt>
                <c:pt idx="6">
                  <c:v>161.25534816719616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44052</v>
      </c>
      <c r="B6" s="390"/>
      <c r="C6" s="391"/>
    </row>
    <row r="7" spans="1:7" s="388" customFormat="1" ht="15.75" customHeight="1">
      <c r="A7" s="392" t="str">
        <f>txtMunicipality</f>
        <v>OOSTERZELE</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10363.706563000002</v>
      </c>
      <c r="D10" s="686">
        <f ca="1">tertiair!C16</f>
        <v>0</v>
      </c>
      <c r="E10" s="686">
        <f ca="1">tertiair!D16</f>
        <v>10483.756528586</v>
      </c>
      <c r="F10" s="686">
        <f>tertiair!E16</f>
        <v>129.676116055542</v>
      </c>
      <c r="G10" s="686">
        <f ca="1">tertiair!F16</f>
        <v>1062.5269187636247</v>
      </c>
      <c r="H10" s="686">
        <f>tertiair!G16</f>
        <v>0</v>
      </c>
      <c r="I10" s="686">
        <f>tertiair!H16</f>
        <v>0</v>
      </c>
      <c r="J10" s="686">
        <f>tertiair!I16</f>
        <v>0</v>
      </c>
      <c r="K10" s="686">
        <f>tertiair!J16</f>
        <v>1.3854927402048437E-2</v>
      </c>
      <c r="L10" s="686">
        <f>tertiair!K16</f>
        <v>0</v>
      </c>
      <c r="M10" s="686">
        <f ca="1">tertiair!L16</f>
        <v>0</v>
      </c>
      <c r="N10" s="686">
        <f>tertiair!M16</f>
        <v>0</v>
      </c>
      <c r="O10" s="686">
        <f ca="1">tertiair!N16</f>
        <v>546.83421271382531</v>
      </c>
      <c r="P10" s="686">
        <f>tertiair!O16</f>
        <v>4.8972607658411542</v>
      </c>
      <c r="Q10" s="687">
        <f>tertiair!P16</f>
        <v>157.61741491948504</v>
      </c>
      <c r="R10" s="689">
        <f ca="1">SUM(C10:Q10)</f>
        <v>22749.028869731723</v>
      </c>
      <c r="S10" s="67"/>
    </row>
    <row r="11" spans="1:19" s="448" customFormat="1">
      <c r="A11" s="808" t="s">
        <v>224</v>
      </c>
      <c r="B11" s="813"/>
      <c r="C11" s="686">
        <f>huishoudens!B8</f>
        <v>27299.704077484006</v>
      </c>
      <c r="D11" s="686">
        <f>huishoudens!C8</f>
        <v>0</v>
      </c>
      <c r="E11" s="686">
        <f>huishoudens!D8</f>
        <v>37810.651192863996</v>
      </c>
      <c r="F11" s="686">
        <f>huishoudens!E8</f>
        <v>11030.950833790397</v>
      </c>
      <c r="G11" s="686">
        <f>huishoudens!F8</f>
        <v>22982.84436009809</v>
      </c>
      <c r="H11" s="686">
        <f>huishoudens!G8</f>
        <v>0</v>
      </c>
      <c r="I11" s="686">
        <f>huishoudens!H8</f>
        <v>0</v>
      </c>
      <c r="J11" s="686">
        <f>huishoudens!I8</f>
        <v>0</v>
      </c>
      <c r="K11" s="686">
        <f>huishoudens!J8</f>
        <v>2075.4507397524226</v>
      </c>
      <c r="L11" s="686">
        <f>huishoudens!K8</f>
        <v>0</v>
      </c>
      <c r="M11" s="686">
        <f>huishoudens!L8</f>
        <v>0</v>
      </c>
      <c r="N11" s="686">
        <f>huishoudens!M8</f>
        <v>0</v>
      </c>
      <c r="O11" s="686">
        <f>huishoudens!N8</f>
        <v>11797.19757428698</v>
      </c>
      <c r="P11" s="686">
        <f>huishoudens!O8</f>
        <v>410.67935141311563</v>
      </c>
      <c r="Q11" s="687">
        <f>huishoudens!P8</f>
        <v>1074.4638493838725</v>
      </c>
      <c r="R11" s="689">
        <f>SUM(C11:Q11)</f>
        <v>114481.9419790729</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5729.0085849999996</v>
      </c>
      <c r="D13" s="686">
        <f>industrie!C18</f>
        <v>0</v>
      </c>
      <c r="E13" s="686">
        <f>industrie!D18</f>
        <v>4627.1557964499998</v>
      </c>
      <c r="F13" s="686">
        <f>industrie!E18</f>
        <v>550.5737550166225</v>
      </c>
      <c r="G13" s="686">
        <f>industrie!F18</f>
        <v>1813.7222790750138</v>
      </c>
      <c r="H13" s="686">
        <f>industrie!G18</f>
        <v>0</v>
      </c>
      <c r="I13" s="686">
        <f>industrie!H18</f>
        <v>0</v>
      </c>
      <c r="J13" s="686">
        <f>industrie!I18</f>
        <v>0</v>
      </c>
      <c r="K13" s="686">
        <f>industrie!J18</f>
        <v>33.937907078148854</v>
      </c>
      <c r="L13" s="686">
        <f>industrie!K18</f>
        <v>0</v>
      </c>
      <c r="M13" s="686">
        <f>industrie!L18</f>
        <v>0</v>
      </c>
      <c r="N13" s="686">
        <f>industrie!M18</f>
        <v>0</v>
      </c>
      <c r="O13" s="686">
        <f>industrie!N18</f>
        <v>272.65833703606739</v>
      </c>
      <c r="P13" s="686">
        <f>industrie!O18</f>
        <v>0</v>
      </c>
      <c r="Q13" s="687">
        <f>industrie!P18</f>
        <v>0</v>
      </c>
      <c r="R13" s="689">
        <f>SUM(C13:Q13)</f>
        <v>13027.056659655851</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43392.419225484002</v>
      </c>
      <c r="D16" s="722">
        <f t="shared" ref="D16:R16" ca="1" si="0">SUM(D9:D15)</f>
        <v>0</v>
      </c>
      <c r="E16" s="722">
        <f t="shared" ca="1" si="0"/>
        <v>52921.563517900002</v>
      </c>
      <c r="F16" s="722">
        <f t="shared" si="0"/>
        <v>11711.200704862562</v>
      </c>
      <c r="G16" s="722">
        <f t="shared" ca="1" si="0"/>
        <v>25859.093557936729</v>
      </c>
      <c r="H16" s="722">
        <f t="shared" si="0"/>
        <v>0</v>
      </c>
      <c r="I16" s="722">
        <f t="shared" si="0"/>
        <v>0</v>
      </c>
      <c r="J16" s="722">
        <f t="shared" si="0"/>
        <v>0</v>
      </c>
      <c r="K16" s="722">
        <f t="shared" si="0"/>
        <v>2109.4025017579734</v>
      </c>
      <c r="L16" s="722">
        <f t="shared" si="0"/>
        <v>0</v>
      </c>
      <c r="M16" s="722">
        <f t="shared" ca="1" si="0"/>
        <v>0</v>
      </c>
      <c r="N16" s="722">
        <f t="shared" si="0"/>
        <v>0</v>
      </c>
      <c r="O16" s="722">
        <f t="shared" ca="1" si="0"/>
        <v>12616.690124036873</v>
      </c>
      <c r="P16" s="722">
        <f t="shared" si="0"/>
        <v>415.57661217895679</v>
      </c>
      <c r="Q16" s="722">
        <f t="shared" si="0"/>
        <v>1232.0812643033576</v>
      </c>
      <c r="R16" s="722">
        <f t="shared" ca="1" si="0"/>
        <v>150258.02750846048</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603.95261485841252</v>
      </c>
      <c r="I19" s="686">
        <f>transport!H54</f>
        <v>0</v>
      </c>
      <c r="J19" s="686">
        <f>transport!I54</f>
        <v>0</v>
      </c>
      <c r="K19" s="686">
        <f>transport!J54</f>
        <v>0</v>
      </c>
      <c r="L19" s="686">
        <f>transport!K54</f>
        <v>0</v>
      </c>
      <c r="M19" s="686">
        <f>transport!L54</f>
        <v>0</v>
      </c>
      <c r="N19" s="686">
        <f>transport!M54</f>
        <v>33.562471955132331</v>
      </c>
      <c r="O19" s="686">
        <f>transport!N54</f>
        <v>0</v>
      </c>
      <c r="P19" s="686">
        <f>transport!O54</f>
        <v>0</v>
      </c>
      <c r="Q19" s="687">
        <f>transport!P54</f>
        <v>0</v>
      </c>
      <c r="R19" s="689">
        <f>SUM(C19:Q19)</f>
        <v>637.51508681354483</v>
      </c>
      <c r="S19" s="67"/>
    </row>
    <row r="20" spans="1:19" s="448" customFormat="1">
      <c r="A20" s="808" t="s">
        <v>306</v>
      </c>
      <c r="B20" s="813"/>
      <c r="C20" s="686">
        <f>transport!B14</f>
        <v>51.505190735145852</v>
      </c>
      <c r="D20" s="686">
        <f>transport!C14</f>
        <v>0</v>
      </c>
      <c r="E20" s="686">
        <f>transport!D14</f>
        <v>199.05625833191718</v>
      </c>
      <c r="F20" s="686">
        <f>transport!E14</f>
        <v>166.78192282548054</v>
      </c>
      <c r="G20" s="686">
        <f>transport!F14</f>
        <v>0</v>
      </c>
      <c r="H20" s="686">
        <f>transport!G14</f>
        <v>74900.665812517633</v>
      </c>
      <c r="I20" s="686">
        <f>transport!H14</f>
        <v>18521.221116032848</v>
      </c>
      <c r="J20" s="686">
        <f>transport!I14</f>
        <v>0</v>
      </c>
      <c r="K20" s="686">
        <f>transport!J14</f>
        <v>0</v>
      </c>
      <c r="L20" s="686">
        <f>transport!K14</f>
        <v>0</v>
      </c>
      <c r="M20" s="686">
        <f>transport!L14</f>
        <v>0</v>
      </c>
      <c r="N20" s="686">
        <f>transport!M14</f>
        <v>5543.7061541533767</v>
      </c>
      <c r="O20" s="686">
        <f>transport!N14</f>
        <v>0</v>
      </c>
      <c r="P20" s="686">
        <f>transport!O14</f>
        <v>0</v>
      </c>
      <c r="Q20" s="687">
        <f>transport!P14</f>
        <v>0</v>
      </c>
      <c r="R20" s="689">
        <f>SUM(C20:Q20)</f>
        <v>99382.936454596391</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51.505190735145852</v>
      </c>
      <c r="D22" s="811">
        <f t="shared" ref="D22:R22" si="1">SUM(D18:D21)</f>
        <v>0</v>
      </c>
      <c r="E22" s="811">
        <f t="shared" si="1"/>
        <v>199.05625833191718</v>
      </c>
      <c r="F22" s="811">
        <f t="shared" si="1"/>
        <v>166.78192282548054</v>
      </c>
      <c r="G22" s="811">
        <f t="shared" si="1"/>
        <v>0</v>
      </c>
      <c r="H22" s="811">
        <f t="shared" si="1"/>
        <v>75504.618427376045</v>
      </c>
      <c r="I22" s="811">
        <f t="shared" si="1"/>
        <v>18521.221116032848</v>
      </c>
      <c r="J22" s="811">
        <f t="shared" si="1"/>
        <v>0</v>
      </c>
      <c r="K22" s="811">
        <f t="shared" si="1"/>
        <v>0</v>
      </c>
      <c r="L22" s="811">
        <f t="shared" si="1"/>
        <v>0</v>
      </c>
      <c r="M22" s="811">
        <f t="shared" si="1"/>
        <v>0</v>
      </c>
      <c r="N22" s="811">
        <f t="shared" si="1"/>
        <v>5577.2686261085091</v>
      </c>
      <c r="O22" s="811">
        <f t="shared" si="1"/>
        <v>0</v>
      </c>
      <c r="P22" s="811">
        <f t="shared" si="1"/>
        <v>0</v>
      </c>
      <c r="Q22" s="811">
        <f t="shared" si="1"/>
        <v>0</v>
      </c>
      <c r="R22" s="811">
        <f t="shared" si="1"/>
        <v>100020.45154140993</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2599.9425580000002</v>
      </c>
      <c r="D24" s="686">
        <f>+landbouw!C8</f>
        <v>0</v>
      </c>
      <c r="E24" s="686">
        <f>+landbouw!D8</f>
        <v>318.69167512600001</v>
      </c>
      <c r="F24" s="686">
        <f>+landbouw!E8</f>
        <v>81.143349879894473</v>
      </c>
      <c r="G24" s="686">
        <f>+landbouw!F8</f>
        <v>9188.4850138391139</v>
      </c>
      <c r="H24" s="686">
        <f>+landbouw!G8</f>
        <v>0</v>
      </c>
      <c r="I24" s="686">
        <f>+landbouw!H8</f>
        <v>0</v>
      </c>
      <c r="J24" s="686">
        <f>+landbouw!I8</f>
        <v>0</v>
      </c>
      <c r="K24" s="686">
        <f>+landbouw!J8</f>
        <v>716.30220517262205</v>
      </c>
      <c r="L24" s="686">
        <f>+landbouw!K8</f>
        <v>0</v>
      </c>
      <c r="M24" s="686">
        <f>+landbouw!L8</f>
        <v>0</v>
      </c>
      <c r="N24" s="686">
        <f>+landbouw!M8</f>
        <v>0</v>
      </c>
      <c r="O24" s="686">
        <f>+landbouw!N8</f>
        <v>0</v>
      </c>
      <c r="P24" s="686">
        <f>+landbouw!O8</f>
        <v>0</v>
      </c>
      <c r="Q24" s="687">
        <f>+landbouw!P8</f>
        <v>0</v>
      </c>
      <c r="R24" s="689">
        <f>SUM(C24:Q24)</f>
        <v>12904.56480201763</v>
      </c>
      <c r="S24" s="67"/>
    </row>
    <row r="25" spans="1:19" s="448" customFormat="1" ht="15" thickBot="1">
      <c r="A25" s="830" t="s">
        <v>724</v>
      </c>
      <c r="B25" s="949"/>
      <c r="C25" s="950">
        <f>IF(Onbekend_ele_kWh="---",0,Onbekend_ele_kWh)/1000+IF(REST_rest_ele_kWh="---",0,REST_rest_ele_kWh)/1000</f>
        <v>536.97379000000001</v>
      </c>
      <c r="D25" s="950"/>
      <c r="E25" s="950">
        <f>IF(onbekend_gas_kWh="---",0,onbekend_gas_kWh)/1000+IF(REST_rest_gas_kWh="---",0,REST_rest_gas_kWh)/1000</f>
        <v>1276.876663</v>
      </c>
      <c r="F25" s="950"/>
      <c r="G25" s="950"/>
      <c r="H25" s="950"/>
      <c r="I25" s="950"/>
      <c r="J25" s="950"/>
      <c r="K25" s="950"/>
      <c r="L25" s="950"/>
      <c r="M25" s="950"/>
      <c r="N25" s="950"/>
      <c r="O25" s="950"/>
      <c r="P25" s="950"/>
      <c r="Q25" s="951"/>
      <c r="R25" s="689">
        <f>SUM(C25:Q25)</f>
        <v>1813.850453</v>
      </c>
      <c r="S25" s="67"/>
    </row>
    <row r="26" spans="1:19" s="448" customFormat="1" ht="15.75" thickBot="1">
      <c r="A26" s="694" t="s">
        <v>725</v>
      </c>
      <c r="B26" s="816"/>
      <c r="C26" s="811">
        <f>SUM(C24:C25)</f>
        <v>3136.9163480000002</v>
      </c>
      <c r="D26" s="811">
        <f t="shared" ref="D26:R26" si="2">SUM(D24:D25)</f>
        <v>0</v>
      </c>
      <c r="E26" s="811">
        <f t="shared" si="2"/>
        <v>1595.5683381260001</v>
      </c>
      <c r="F26" s="811">
        <f t="shared" si="2"/>
        <v>81.143349879894473</v>
      </c>
      <c r="G26" s="811">
        <f t="shared" si="2"/>
        <v>9188.4850138391139</v>
      </c>
      <c r="H26" s="811">
        <f t="shared" si="2"/>
        <v>0</v>
      </c>
      <c r="I26" s="811">
        <f t="shared" si="2"/>
        <v>0</v>
      </c>
      <c r="J26" s="811">
        <f t="shared" si="2"/>
        <v>0</v>
      </c>
      <c r="K26" s="811">
        <f t="shared" si="2"/>
        <v>716.30220517262205</v>
      </c>
      <c r="L26" s="811">
        <f t="shared" si="2"/>
        <v>0</v>
      </c>
      <c r="M26" s="811">
        <f t="shared" si="2"/>
        <v>0</v>
      </c>
      <c r="N26" s="811">
        <f t="shared" si="2"/>
        <v>0</v>
      </c>
      <c r="O26" s="811">
        <f t="shared" si="2"/>
        <v>0</v>
      </c>
      <c r="P26" s="811">
        <f t="shared" si="2"/>
        <v>0</v>
      </c>
      <c r="Q26" s="811">
        <f t="shared" si="2"/>
        <v>0</v>
      </c>
      <c r="R26" s="811">
        <f t="shared" si="2"/>
        <v>14718.41525501763</v>
      </c>
      <c r="S26" s="67"/>
    </row>
    <row r="27" spans="1:19" s="448" customFormat="1" ht="17.25" thickTop="1" thickBot="1">
      <c r="A27" s="695" t="s">
        <v>115</v>
      </c>
      <c r="B27" s="803"/>
      <c r="C27" s="696">
        <f ca="1">C22+C16+C26</f>
        <v>46580.840764219145</v>
      </c>
      <c r="D27" s="696">
        <f t="shared" ref="D27:R27" ca="1" si="3">D22+D16+D26</f>
        <v>0</v>
      </c>
      <c r="E27" s="696">
        <f t="shared" ca="1" si="3"/>
        <v>54716.188114357923</v>
      </c>
      <c r="F27" s="696">
        <f t="shared" si="3"/>
        <v>11959.125977567937</v>
      </c>
      <c r="G27" s="696">
        <f t="shared" ca="1" si="3"/>
        <v>35047.578571775841</v>
      </c>
      <c r="H27" s="696">
        <f t="shared" si="3"/>
        <v>75504.618427376045</v>
      </c>
      <c r="I27" s="696">
        <f t="shared" si="3"/>
        <v>18521.221116032848</v>
      </c>
      <c r="J27" s="696">
        <f t="shared" si="3"/>
        <v>0</v>
      </c>
      <c r="K27" s="696">
        <f t="shared" si="3"/>
        <v>2825.7047069305954</v>
      </c>
      <c r="L27" s="696">
        <f t="shared" si="3"/>
        <v>0</v>
      </c>
      <c r="M27" s="696">
        <f t="shared" ca="1" si="3"/>
        <v>0</v>
      </c>
      <c r="N27" s="696">
        <f t="shared" si="3"/>
        <v>5577.2686261085091</v>
      </c>
      <c r="O27" s="696">
        <f t="shared" ca="1" si="3"/>
        <v>12616.690124036873</v>
      </c>
      <c r="P27" s="696">
        <f t="shared" si="3"/>
        <v>415.57661217895679</v>
      </c>
      <c r="Q27" s="696">
        <f t="shared" si="3"/>
        <v>1232.0812643033576</v>
      </c>
      <c r="R27" s="696">
        <f t="shared" ca="1" si="3"/>
        <v>264996.89430488803</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2078.0914927646377</v>
      </c>
      <c r="D40" s="686">
        <f ca="1">tertiair!C20</f>
        <v>0</v>
      </c>
      <c r="E40" s="686">
        <f ca="1">tertiair!D20</f>
        <v>2117.7188187743723</v>
      </c>
      <c r="F40" s="686">
        <f>tertiair!E20</f>
        <v>29.436478344608034</v>
      </c>
      <c r="G40" s="686">
        <f ca="1">tertiair!F20</f>
        <v>283.6946873098878</v>
      </c>
      <c r="H40" s="686">
        <f>tertiair!G20</f>
        <v>0</v>
      </c>
      <c r="I40" s="686">
        <f>tertiair!H20</f>
        <v>0</v>
      </c>
      <c r="J40" s="686">
        <f>tertiair!I20</f>
        <v>0</v>
      </c>
      <c r="K40" s="686">
        <f>tertiair!J20</f>
        <v>4.9046443003251464E-3</v>
      </c>
      <c r="L40" s="686">
        <f>tertiair!K20</f>
        <v>0</v>
      </c>
      <c r="M40" s="686">
        <f ca="1">tertiair!L20</f>
        <v>0</v>
      </c>
      <c r="N40" s="686">
        <f>tertiair!M20</f>
        <v>0</v>
      </c>
      <c r="O40" s="686">
        <f ca="1">tertiair!N20</f>
        <v>0</v>
      </c>
      <c r="P40" s="686">
        <f>tertiair!O20</f>
        <v>0</v>
      </c>
      <c r="Q40" s="769">
        <f>tertiair!P20</f>
        <v>0</v>
      </c>
      <c r="R40" s="849">
        <f t="shared" ca="1" si="4"/>
        <v>4508.9463818378053</v>
      </c>
    </row>
    <row r="41" spans="1:18">
      <c r="A41" s="821" t="s">
        <v>224</v>
      </c>
      <c r="B41" s="828"/>
      <c r="C41" s="686">
        <f ca="1">huishoudens!B12</f>
        <v>5474.0340681731441</v>
      </c>
      <c r="D41" s="686">
        <f ca="1">huishoudens!C12</f>
        <v>0</v>
      </c>
      <c r="E41" s="686">
        <f>huishoudens!D12</f>
        <v>7637.7515409585276</v>
      </c>
      <c r="F41" s="686">
        <f>huishoudens!E12</f>
        <v>2504.0258392704204</v>
      </c>
      <c r="G41" s="686">
        <f>huishoudens!F12</f>
        <v>6136.4194441461905</v>
      </c>
      <c r="H41" s="686">
        <f>huishoudens!G12</f>
        <v>0</v>
      </c>
      <c r="I41" s="686">
        <f>huishoudens!H12</f>
        <v>0</v>
      </c>
      <c r="J41" s="686">
        <f>huishoudens!I12</f>
        <v>0</v>
      </c>
      <c r="K41" s="686">
        <f>huishoudens!J12</f>
        <v>734.70956187235754</v>
      </c>
      <c r="L41" s="686">
        <f>huishoudens!K12</f>
        <v>0</v>
      </c>
      <c r="M41" s="686">
        <f>huishoudens!L12</f>
        <v>0</v>
      </c>
      <c r="N41" s="686">
        <f>huishoudens!M12</f>
        <v>0</v>
      </c>
      <c r="O41" s="686">
        <f>huishoudens!N12</f>
        <v>0</v>
      </c>
      <c r="P41" s="686">
        <f>huishoudens!O12</f>
        <v>0</v>
      </c>
      <c r="Q41" s="769">
        <f>huishoudens!P12</f>
        <v>0</v>
      </c>
      <c r="R41" s="849">
        <f t="shared" ca="1" si="4"/>
        <v>22486.940454420641</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1148.7592716073384</v>
      </c>
      <c r="D43" s="686">
        <f ca="1">industrie!C22</f>
        <v>0</v>
      </c>
      <c r="E43" s="686">
        <f>industrie!D22</f>
        <v>934.68547088290006</v>
      </c>
      <c r="F43" s="686">
        <f>industrie!E22</f>
        <v>124.98024238877331</v>
      </c>
      <c r="G43" s="686">
        <f>industrie!F22</f>
        <v>484.26384851302873</v>
      </c>
      <c r="H43" s="686">
        <f>industrie!G22</f>
        <v>0</v>
      </c>
      <c r="I43" s="686">
        <f>industrie!H22</f>
        <v>0</v>
      </c>
      <c r="J43" s="686">
        <f>industrie!I22</f>
        <v>0</v>
      </c>
      <c r="K43" s="686">
        <f>industrie!J22</f>
        <v>12.014019105664694</v>
      </c>
      <c r="L43" s="686">
        <f>industrie!K22</f>
        <v>0</v>
      </c>
      <c r="M43" s="686">
        <f>industrie!L22</f>
        <v>0</v>
      </c>
      <c r="N43" s="686">
        <f>industrie!M22</f>
        <v>0</v>
      </c>
      <c r="O43" s="686">
        <f>industrie!N22</f>
        <v>0</v>
      </c>
      <c r="P43" s="686">
        <f>industrie!O22</f>
        <v>0</v>
      </c>
      <c r="Q43" s="769">
        <f>industrie!P22</f>
        <v>0</v>
      </c>
      <c r="R43" s="848">
        <f t="shared" ca="1" si="4"/>
        <v>2704.702852497705</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8700.8848325451199</v>
      </c>
      <c r="D46" s="722">
        <f t="shared" ref="D46:Q46" ca="1" si="5">SUM(D39:D45)</f>
        <v>0</v>
      </c>
      <c r="E46" s="722">
        <f t="shared" ca="1" si="5"/>
        <v>10690.155830615799</v>
      </c>
      <c r="F46" s="722">
        <f t="shared" si="5"/>
        <v>2658.4425600038016</v>
      </c>
      <c r="G46" s="722">
        <f t="shared" ca="1" si="5"/>
        <v>6904.3779799691074</v>
      </c>
      <c r="H46" s="722">
        <f t="shared" si="5"/>
        <v>0</v>
      </c>
      <c r="I46" s="722">
        <f t="shared" si="5"/>
        <v>0</v>
      </c>
      <c r="J46" s="722">
        <f t="shared" si="5"/>
        <v>0</v>
      </c>
      <c r="K46" s="722">
        <f t="shared" si="5"/>
        <v>746.72848562232264</v>
      </c>
      <c r="L46" s="722">
        <f t="shared" si="5"/>
        <v>0</v>
      </c>
      <c r="M46" s="722">
        <f t="shared" ca="1" si="5"/>
        <v>0</v>
      </c>
      <c r="N46" s="722">
        <f t="shared" si="5"/>
        <v>0</v>
      </c>
      <c r="O46" s="722">
        <f t="shared" ca="1" si="5"/>
        <v>0</v>
      </c>
      <c r="P46" s="722">
        <f t="shared" si="5"/>
        <v>0</v>
      </c>
      <c r="Q46" s="722">
        <f t="shared" si="5"/>
        <v>0</v>
      </c>
      <c r="R46" s="722">
        <f ca="1">SUM(R39:R45)</f>
        <v>29700.589688756154</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161.25534816719616</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161.25534816719616</v>
      </c>
    </row>
    <row r="50" spans="1:18">
      <c r="A50" s="824" t="s">
        <v>306</v>
      </c>
      <c r="B50" s="834"/>
      <c r="C50" s="692">
        <f ca="1">transport!B18</f>
        <v>10.327627287523638</v>
      </c>
      <c r="D50" s="692">
        <f>transport!C18</f>
        <v>0</v>
      </c>
      <c r="E50" s="692">
        <f>transport!D18</f>
        <v>40.209364183047271</v>
      </c>
      <c r="F50" s="692">
        <f>transport!E18</f>
        <v>37.859496481384085</v>
      </c>
      <c r="G50" s="692">
        <f>transport!F18</f>
        <v>0</v>
      </c>
      <c r="H50" s="692">
        <f>transport!G18</f>
        <v>19998.477771942209</v>
      </c>
      <c r="I50" s="692">
        <f>transport!H18</f>
        <v>4611.7840578921787</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24698.658317786343</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10.327627287523638</v>
      </c>
      <c r="D52" s="722">
        <f t="shared" ref="D52:Q52" ca="1" si="6">SUM(D48:D51)</f>
        <v>0</v>
      </c>
      <c r="E52" s="722">
        <f t="shared" si="6"/>
        <v>40.209364183047271</v>
      </c>
      <c r="F52" s="722">
        <f t="shared" si="6"/>
        <v>37.859496481384085</v>
      </c>
      <c r="G52" s="722">
        <f t="shared" si="6"/>
        <v>0</v>
      </c>
      <c r="H52" s="722">
        <f t="shared" si="6"/>
        <v>20159.733120109406</v>
      </c>
      <c r="I52" s="722">
        <f t="shared" si="6"/>
        <v>4611.7840578921787</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24859.91366595354</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521.33071103593056</v>
      </c>
      <c r="D54" s="692">
        <f ca="1">+landbouw!C12</f>
        <v>0</v>
      </c>
      <c r="E54" s="692">
        <f>+landbouw!D12</f>
        <v>64.37571837545201</v>
      </c>
      <c r="F54" s="692">
        <f>+landbouw!E12</f>
        <v>18.419540422736045</v>
      </c>
      <c r="G54" s="692">
        <f>+landbouw!F12</f>
        <v>2453.3254986950437</v>
      </c>
      <c r="H54" s="692">
        <f>+landbouw!G12</f>
        <v>0</v>
      </c>
      <c r="I54" s="692">
        <f>+landbouw!H12</f>
        <v>0</v>
      </c>
      <c r="J54" s="692">
        <f>+landbouw!I12</f>
        <v>0</v>
      </c>
      <c r="K54" s="692">
        <f>+landbouw!J12</f>
        <v>253.5709806311082</v>
      </c>
      <c r="L54" s="692">
        <f>+landbouw!K12</f>
        <v>0</v>
      </c>
      <c r="M54" s="692">
        <f>+landbouw!L12</f>
        <v>0</v>
      </c>
      <c r="N54" s="692">
        <f>+landbouw!M12</f>
        <v>0</v>
      </c>
      <c r="O54" s="692">
        <f>+landbouw!N12</f>
        <v>0</v>
      </c>
      <c r="P54" s="692">
        <f>+landbouw!O12</f>
        <v>0</v>
      </c>
      <c r="Q54" s="693">
        <f>+landbouw!P12</f>
        <v>0</v>
      </c>
      <c r="R54" s="721">
        <f ca="1">SUM(C54:Q54)</f>
        <v>3311.0224491602708</v>
      </c>
    </row>
    <row r="55" spans="1:18" ht="15" thickBot="1">
      <c r="A55" s="824" t="s">
        <v>724</v>
      </c>
      <c r="B55" s="834"/>
      <c r="C55" s="692">
        <f ca="1">C25*'EF ele_warmte'!B12</f>
        <v>107.67196640055863</v>
      </c>
      <c r="D55" s="692"/>
      <c r="E55" s="692">
        <f>E25*EF_CO2_aardgas</f>
        <v>257.92908592600003</v>
      </c>
      <c r="F55" s="692"/>
      <c r="G55" s="692"/>
      <c r="H55" s="692"/>
      <c r="I55" s="692"/>
      <c r="J55" s="692"/>
      <c r="K55" s="692"/>
      <c r="L55" s="692"/>
      <c r="M55" s="692"/>
      <c r="N55" s="692"/>
      <c r="O55" s="692"/>
      <c r="P55" s="692"/>
      <c r="Q55" s="693"/>
      <c r="R55" s="721">
        <f ca="1">SUM(C55:Q55)</f>
        <v>365.60105232655866</v>
      </c>
    </row>
    <row r="56" spans="1:18" ht="15.75" thickBot="1">
      <c r="A56" s="822" t="s">
        <v>725</v>
      </c>
      <c r="B56" s="835"/>
      <c r="C56" s="722">
        <f ca="1">SUM(C54:C55)</f>
        <v>629.00267743648919</v>
      </c>
      <c r="D56" s="722">
        <f t="shared" ref="D56:Q56" ca="1" si="7">SUM(D54:D55)</f>
        <v>0</v>
      </c>
      <c r="E56" s="722">
        <f t="shared" si="7"/>
        <v>322.30480430145201</v>
      </c>
      <c r="F56" s="722">
        <f t="shared" si="7"/>
        <v>18.419540422736045</v>
      </c>
      <c r="G56" s="722">
        <f t="shared" si="7"/>
        <v>2453.3254986950437</v>
      </c>
      <c r="H56" s="722">
        <f t="shared" si="7"/>
        <v>0</v>
      </c>
      <c r="I56" s="722">
        <f t="shared" si="7"/>
        <v>0</v>
      </c>
      <c r="J56" s="722">
        <f t="shared" si="7"/>
        <v>0</v>
      </c>
      <c r="K56" s="722">
        <f t="shared" si="7"/>
        <v>253.5709806311082</v>
      </c>
      <c r="L56" s="722">
        <f t="shared" si="7"/>
        <v>0</v>
      </c>
      <c r="M56" s="722">
        <f t="shared" si="7"/>
        <v>0</v>
      </c>
      <c r="N56" s="722">
        <f t="shared" si="7"/>
        <v>0</v>
      </c>
      <c r="O56" s="722">
        <f t="shared" si="7"/>
        <v>0</v>
      </c>
      <c r="P56" s="722">
        <f t="shared" si="7"/>
        <v>0</v>
      </c>
      <c r="Q56" s="723">
        <f t="shared" si="7"/>
        <v>0</v>
      </c>
      <c r="R56" s="724">
        <f ca="1">SUM(R54:R55)</f>
        <v>3676.6235014868294</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9340.2151372691314</v>
      </c>
      <c r="D61" s="730">
        <f t="shared" ref="D61:Q61" ca="1" si="8">D46+D52+D56</f>
        <v>0</v>
      </c>
      <c r="E61" s="730">
        <f t="shared" ca="1" si="8"/>
        <v>11052.669999100297</v>
      </c>
      <c r="F61" s="730">
        <f t="shared" si="8"/>
        <v>2714.721596907922</v>
      </c>
      <c r="G61" s="730">
        <f t="shared" ca="1" si="8"/>
        <v>9357.7034786641507</v>
      </c>
      <c r="H61" s="730">
        <f t="shared" si="8"/>
        <v>20159.733120109406</v>
      </c>
      <c r="I61" s="730">
        <f t="shared" si="8"/>
        <v>4611.7840578921787</v>
      </c>
      <c r="J61" s="730">
        <f t="shared" si="8"/>
        <v>0</v>
      </c>
      <c r="K61" s="730">
        <f t="shared" si="8"/>
        <v>1000.2994662534309</v>
      </c>
      <c r="L61" s="730">
        <f t="shared" si="8"/>
        <v>0</v>
      </c>
      <c r="M61" s="730">
        <f t="shared" ca="1" si="8"/>
        <v>0</v>
      </c>
      <c r="N61" s="730">
        <f t="shared" si="8"/>
        <v>0</v>
      </c>
      <c r="O61" s="730">
        <f t="shared" ca="1" si="8"/>
        <v>0</v>
      </c>
      <c r="P61" s="730">
        <f t="shared" si="8"/>
        <v>0</v>
      </c>
      <c r="Q61" s="730">
        <f t="shared" si="8"/>
        <v>0</v>
      </c>
      <c r="R61" s="730">
        <f ca="1">R46+R52+R56</f>
        <v>58237.126856196526</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0.20051624195765427</v>
      </c>
      <c r="D63" s="776">
        <f t="shared" ca="1" si="9"/>
        <v>0</v>
      </c>
      <c r="E63" s="975">
        <f t="shared" ca="1" si="9"/>
        <v>0.20199999999999993</v>
      </c>
      <c r="F63" s="776">
        <f t="shared" si="9"/>
        <v>0.22700000000000004</v>
      </c>
      <c r="G63" s="776">
        <f t="shared" ca="1" si="9"/>
        <v>0.26700000000000002</v>
      </c>
      <c r="H63" s="776">
        <f t="shared" si="9"/>
        <v>0.26700000000000002</v>
      </c>
      <c r="I63" s="776">
        <f t="shared" si="9"/>
        <v>0.24899999999999997</v>
      </c>
      <c r="J63" s="776">
        <f t="shared" si="9"/>
        <v>0</v>
      </c>
      <c r="K63" s="776">
        <f t="shared" si="9"/>
        <v>0.35400000000000004</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4317.4238534990964</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0</v>
      </c>
      <c r="C76" s="743">
        <f>'lokale energieproductie'!B8*IFERROR(SUM(D76:H76)/SUM(D76:O76),0)</f>
        <v>0</v>
      </c>
      <c r="D76" s="958">
        <f>'lokale energieproductie'!C8</f>
        <v>0</v>
      </c>
      <c r="E76" s="959">
        <f>'lokale energieproductie'!D8</f>
        <v>0</v>
      </c>
      <c r="F76" s="959">
        <f>'lokale energieproductie'!E8</f>
        <v>0</v>
      </c>
      <c r="G76" s="959">
        <f>'lokale energieproductie'!F8</f>
        <v>0</v>
      </c>
      <c r="H76" s="959">
        <f>'lokale energieproductie'!G8</f>
        <v>0</v>
      </c>
      <c r="I76" s="959">
        <f>'lokale energieproductie'!I8</f>
        <v>0</v>
      </c>
      <c r="J76" s="959">
        <f>'lokale energieproductie'!J8</f>
        <v>0</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0</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4317.4238534990964</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9">
        <f>SUM(O76:O77)</f>
        <v>0</v>
      </c>
      <c r="P78" s="750">
        <v>0</v>
      </c>
      <c r="Q78" s="750">
        <f>SUM(Q76:Q77)</f>
        <v>0</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0</v>
      </c>
      <c r="C87" s="761">
        <f>'lokale energieproductie'!B17*IFERROR(SUM(D87:H87)/SUM(D87:O87),0)</f>
        <v>0</v>
      </c>
      <c r="D87" s="772">
        <f>'lokale energieproductie'!C17</f>
        <v>0</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0</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0</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27299.704077484006</v>
      </c>
      <c r="C4" s="452">
        <f>huishoudens!C8</f>
        <v>0</v>
      </c>
      <c r="D4" s="452">
        <f>huishoudens!D8</f>
        <v>37810.651192863996</v>
      </c>
      <c r="E4" s="452">
        <f>huishoudens!E8</f>
        <v>11030.950833790397</v>
      </c>
      <c r="F4" s="452">
        <f>huishoudens!F8</f>
        <v>22982.84436009809</v>
      </c>
      <c r="G4" s="452">
        <f>huishoudens!G8</f>
        <v>0</v>
      </c>
      <c r="H4" s="452">
        <f>huishoudens!H8</f>
        <v>0</v>
      </c>
      <c r="I4" s="452">
        <f>huishoudens!I8</f>
        <v>0</v>
      </c>
      <c r="J4" s="452">
        <f>huishoudens!J8</f>
        <v>2075.4507397524226</v>
      </c>
      <c r="K4" s="452">
        <f>huishoudens!K8</f>
        <v>0</v>
      </c>
      <c r="L4" s="452">
        <f>huishoudens!L8</f>
        <v>0</v>
      </c>
      <c r="M4" s="452">
        <f>huishoudens!M8</f>
        <v>0</v>
      </c>
      <c r="N4" s="452">
        <f>huishoudens!N8</f>
        <v>11797.19757428698</v>
      </c>
      <c r="O4" s="452">
        <f>huishoudens!O8</f>
        <v>410.67935141311563</v>
      </c>
      <c r="P4" s="453">
        <f>huishoudens!P8</f>
        <v>1074.4638493838725</v>
      </c>
      <c r="Q4" s="454">
        <f>SUM(B4:P4)</f>
        <v>114481.9419790729</v>
      </c>
    </row>
    <row r="5" spans="1:17">
      <c r="A5" s="451" t="s">
        <v>155</v>
      </c>
      <c r="B5" s="452">
        <f ca="1">tertiair!B16</f>
        <v>9284.8195630000009</v>
      </c>
      <c r="C5" s="452">
        <f ca="1">tertiair!C16</f>
        <v>0</v>
      </c>
      <c r="D5" s="452">
        <f ca="1">tertiair!D16</f>
        <v>10483.756528586</v>
      </c>
      <c r="E5" s="452">
        <f>tertiair!E16</f>
        <v>129.676116055542</v>
      </c>
      <c r="F5" s="452">
        <f ca="1">tertiair!F16</f>
        <v>1062.5269187636247</v>
      </c>
      <c r="G5" s="452">
        <f>tertiair!G16</f>
        <v>0</v>
      </c>
      <c r="H5" s="452">
        <f>tertiair!H16</f>
        <v>0</v>
      </c>
      <c r="I5" s="452">
        <f>tertiair!I16</f>
        <v>0</v>
      </c>
      <c r="J5" s="452">
        <f>tertiair!J16</f>
        <v>1.3854927402048437E-2</v>
      </c>
      <c r="K5" s="452">
        <f>tertiair!K16</f>
        <v>0</v>
      </c>
      <c r="L5" s="452">
        <f ca="1">tertiair!L16</f>
        <v>0</v>
      </c>
      <c r="M5" s="452">
        <f>tertiair!M16</f>
        <v>0</v>
      </c>
      <c r="N5" s="452">
        <f ca="1">tertiair!N16</f>
        <v>546.83421271382531</v>
      </c>
      <c r="O5" s="452">
        <f>tertiair!O16</f>
        <v>4.8972607658411542</v>
      </c>
      <c r="P5" s="453">
        <f>tertiair!P16</f>
        <v>157.61741491948504</v>
      </c>
      <c r="Q5" s="451">
        <f t="shared" ref="Q5:Q14" ca="1" si="0">SUM(B5:P5)</f>
        <v>21670.14186973172</v>
      </c>
    </row>
    <row r="6" spans="1:17">
      <c r="A6" s="451" t="s">
        <v>193</v>
      </c>
      <c r="B6" s="452">
        <f>'openbare verlichting'!B8</f>
        <v>1078.8869999999999</v>
      </c>
      <c r="C6" s="452"/>
      <c r="D6" s="452"/>
      <c r="E6" s="452"/>
      <c r="F6" s="452"/>
      <c r="G6" s="452"/>
      <c r="H6" s="452"/>
      <c r="I6" s="452"/>
      <c r="J6" s="452"/>
      <c r="K6" s="452"/>
      <c r="L6" s="452"/>
      <c r="M6" s="452"/>
      <c r="N6" s="452"/>
      <c r="O6" s="452"/>
      <c r="P6" s="453"/>
      <c r="Q6" s="451">
        <f t="shared" si="0"/>
        <v>1078.8869999999999</v>
      </c>
    </row>
    <row r="7" spans="1:17">
      <c r="A7" s="451" t="s">
        <v>111</v>
      </c>
      <c r="B7" s="452">
        <f>landbouw!B8</f>
        <v>2599.9425580000002</v>
      </c>
      <c r="C7" s="452">
        <f>landbouw!C8</f>
        <v>0</v>
      </c>
      <c r="D7" s="452">
        <f>landbouw!D8</f>
        <v>318.69167512600001</v>
      </c>
      <c r="E7" s="452">
        <f>landbouw!E8</f>
        <v>81.143349879894473</v>
      </c>
      <c r="F7" s="452">
        <f>landbouw!F8</f>
        <v>9188.4850138391139</v>
      </c>
      <c r="G7" s="452">
        <f>landbouw!G8</f>
        <v>0</v>
      </c>
      <c r="H7" s="452">
        <f>landbouw!H8</f>
        <v>0</v>
      </c>
      <c r="I7" s="452">
        <f>landbouw!I8</f>
        <v>0</v>
      </c>
      <c r="J7" s="452">
        <f>landbouw!J8</f>
        <v>716.30220517262205</v>
      </c>
      <c r="K7" s="452">
        <f>landbouw!K8</f>
        <v>0</v>
      </c>
      <c r="L7" s="452">
        <f>landbouw!L8</f>
        <v>0</v>
      </c>
      <c r="M7" s="452">
        <f>landbouw!M8</f>
        <v>0</v>
      </c>
      <c r="N7" s="452">
        <f>landbouw!N8</f>
        <v>0</v>
      </c>
      <c r="O7" s="452">
        <f>landbouw!O8</f>
        <v>0</v>
      </c>
      <c r="P7" s="453">
        <f>landbouw!P8</f>
        <v>0</v>
      </c>
      <c r="Q7" s="451">
        <f t="shared" si="0"/>
        <v>12904.56480201763</v>
      </c>
    </row>
    <row r="8" spans="1:17">
      <c r="A8" s="451" t="s">
        <v>625</v>
      </c>
      <c r="B8" s="452">
        <f>industrie!B18</f>
        <v>5729.0085849999996</v>
      </c>
      <c r="C8" s="452">
        <f>industrie!C18</f>
        <v>0</v>
      </c>
      <c r="D8" s="452">
        <f>industrie!D18</f>
        <v>4627.1557964499998</v>
      </c>
      <c r="E8" s="452">
        <f>industrie!E18</f>
        <v>550.5737550166225</v>
      </c>
      <c r="F8" s="452">
        <f>industrie!F18</f>
        <v>1813.7222790750138</v>
      </c>
      <c r="G8" s="452">
        <f>industrie!G18</f>
        <v>0</v>
      </c>
      <c r="H8" s="452">
        <f>industrie!H18</f>
        <v>0</v>
      </c>
      <c r="I8" s="452">
        <f>industrie!I18</f>
        <v>0</v>
      </c>
      <c r="J8" s="452">
        <f>industrie!J18</f>
        <v>33.937907078148854</v>
      </c>
      <c r="K8" s="452">
        <f>industrie!K18</f>
        <v>0</v>
      </c>
      <c r="L8" s="452">
        <f>industrie!L18</f>
        <v>0</v>
      </c>
      <c r="M8" s="452">
        <f>industrie!M18</f>
        <v>0</v>
      </c>
      <c r="N8" s="452">
        <f>industrie!N18</f>
        <v>272.65833703606739</v>
      </c>
      <c r="O8" s="452">
        <f>industrie!O18</f>
        <v>0</v>
      </c>
      <c r="P8" s="453">
        <f>industrie!P18</f>
        <v>0</v>
      </c>
      <c r="Q8" s="451">
        <f t="shared" si="0"/>
        <v>13027.056659655851</v>
      </c>
    </row>
    <row r="9" spans="1:17" s="457" customFormat="1">
      <c r="A9" s="455" t="s">
        <v>551</v>
      </c>
      <c r="B9" s="456">
        <f>transport!B14</f>
        <v>51.505190735145852</v>
      </c>
      <c r="C9" s="456">
        <f>transport!C14</f>
        <v>0</v>
      </c>
      <c r="D9" s="456">
        <f>transport!D14</f>
        <v>199.05625833191718</v>
      </c>
      <c r="E9" s="456">
        <f>transport!E14</f>
        <v>166.78192282548054</v>
      </c>
      <c r="F9" s="456">
        <f>transport!F14</f>
        <v>0</v>
      </c>
      <c r="G9" s="456">
        <f>transport!G14</f>
        <v>74900.665812517633</v>
      </c>
      <c r="H9" s="456">
        <f>transport!H14</f>
        <v>18521.221116032848</v>
      </c>
      <c r="I9" s="456">
        <f>transport!I14</f>
        <v>0</v>
      </c>
      <c r="J9" s="456">
        <f>transport!J14</f>
        <v>0</v>
      </c>
      <c r="K9" s="456">
        <f>transport!K14</f>
        <v>0</v>
      </c>
      <c r="L9" s="456">
        <f>transport!L14</f>
        <v>0</v>
      </c>
      <c r="M9" s="456">
        <f>transport!M14</f>
        <v>5543.7061541533767</v>
      </c>
      <c r="N9" s="456">
        <f>transport!N14</f>
        <v>0</v>
      </c>
      <c r="O9" s="456">
        <f>transport!O14</f>
        <v>0</v>
      </c>
      <c r="P9" s="456">
        <f>transport!P14</f>
        <v>0</v>
      </c>
      <c r="Q9" s="455">
        <f>SUM(B9:P9)</f>
        <v>99382.936454596391</v>
      </c>
    </row>
    <row r="10" spans="1:17">
      <c r="A10" s="451" t="s">
        <v>541</v>
      </c>
      <c r="B10" s="452">
        <f>transport!B54</f>
        <v>0</v>
      </c>
      <c r="C10" s="452">
        <f>transport!C54</f>
        <v>0</v>
      </c>
      <c r="D10" s="452">
        <f>transport!D54</f>
        <v>0</v>
      </c>
      <c r="E10" s="452">
        <f>transport!E54</f>
        <v>0</v>
      </c>
      <c r="F10" s="452">
        <f>transport!F54</f>
        <v>0</v>
      </c>
      <c r="G10" s="452">
        <f>transport!G54</f>
        <v>603.95261485841252</v>
      </c>
      <c r="H10" s="452">
        <f>transport!H54</f>
        <v>0</v>
      </c>
      <c r="I10" s="452">
        <f>transport!I54</f>
        <v>0</v>
      </c>
      <c r="J10" s="452">
        <f>transport!J54</f>
        <v>0</v>
      </c>
      <c r="K10" s="452">
        <f>transport!K54</f>
        <v>0</v>
      </c>
      <c r="L10" s="452">
        <f>transport!L54</f>
        <v>0</v>
      </c>
      <c r="M10" s="452">
        <f>transport!M54</f>
        <v>33.562471955132331</v>
      </c>
      <c r="N10" s="452">
        <f>transport!N54</f>
        <v>0</v>
      </c>
      <c r="O10" s="452">
        <f>transport!O54</f>
        <v>0</v>
      </c>
      <c r="P10" s="453">
        <f>transport!P54</f>
        <v>0</v>
      </c>
      <c r="Q10" s="451">
        <f t="shared" si="0"/>
        <v>637.51508681354483</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536.97379000000001</v>
      </c>
      <c r="C14" s="459"/>
      <c r="D14" s="459">
        <f>'SEAP template'!E25</f>
        <v>1276.876663</v>
      </c>
      <c r="E14" s="459"/>
      <c r="F14" s="459"/>
      <c r="G14" s="459"/>
      <c r="H14" s="459"/>
      <c r="I14" s="459"/>
      <c r="J14" s="459"/>
      <c r="K14" s="459"/>
      <c r="L14" s="459"/>
      <c r="M14" s="459"/>
      <c r="N14" s="459"/>
      <c r="O14" s="459"/>
      <c r="P14" s="460"/>
      <c r="Q14" s="451">
        <f t="shared" si="0"/>
        <v>1813.850453</v>
      </c>
    </row>
    <row r="15" spans="1:17" s="463" customFormat="1">
      <c r="A15" s="461" t="s">
        <v>545</v>
      </c>
      <c r="B15" s="462">
        <f ca="1">SUM(B4:B14)</f>
        <v>46580.84076421916</v>
      </c>
      <c r="C15" s="462">
        <f t="shared" ref="C15:Q15" ca="1" si="1">SUM(C4:C14)</f>
        <v>0</v>
      </c>
      <c r="D15" s="462">
        <f t="shared" ca="1" si="1"/>
        <v>54716.188114357923</v>
      </c>
      <c r="E15" s="462">
        <f t="shared" si="1"/>
        <v>11959.125977567937</v>
      </c>
      <c r="F15" s="462">
        <f t="shared" ca="1" si="1"/>
        <v>35047.578571775848</v>
      </c>
      <c r="G15" s="462">
        <f t="shared" si="1"/>
        <v>75504.618427376045</v>
      </c>
      <c r="H15" s="462">
        <f t="shared" si="1"/>
        <v>18521.221116032848</v>
      </c>
      <c r="I15" s="462">
        <f t="shared" si="1"/>
        <v>0</v>
      </c>
      <c r="J15" s="462">
        <f t="shared" si="1"/>
        <v>2825.7047069305954</v>
      </c>
      <c r="K15" s="462">
        <f t="shared" si="1"/>
        <v>0</v>
      </c>
      <c r="L15" s="462">
        <f t="shared" ca="1" si="1"/>
        <v>0</v>
      </c>
      <c r="M15" s="462">
        <f t="shared" si="1"/>
        <v>5577.2686261085091</v>
      </c>
      <c r="N15" s="462">
        <f t="shared" ca="1" si="1"/>
        <v>12616.690124036873</v>
      </c>
      <c r="O15" s="462">
        <f t="shared" si="1"/>
        <v>415.57661217895679</v>
      </c>
      <c r="P15" s="462">
        <f t="shared" si="1"/>
        <v>1232.0812643033576</v>
      </c>
      <c r="Q15" s="462">
        <f t="shared" ca="1" si="1"/>
        <v>264996.89430488797</v>
      </c>
    </row>
    <row r="17" spans="1:17">
      <c r="A17" s="464" t="s">
        <v>546</v>
      </c>
      <c r="B17" s="781">
        <f ca="1">huishoudens!B10</f>
        <v>0.20051624195765427</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5474.0340681731441</v>
      </c>
      <c r="C22" s="452">
        <f t="shared" ref="C22:C32" ca="1" si="3">C4*$C$17</f>
        <v>0</v>
      </c>
      <c r="D22" s="452">
        <f t="shared" ref="D22:D32" si="4">D4*$D$17</f>
        <v>7637.7515409585276</v>
      </c>
      <c r="E22" s="452">
        <f t="shared" ref="E22:E32" si="5">E4*$E$17</f>
        <v>2504.0258392704204</v>
      </c>
      <c r="F22" s="452">
        <f t="shared" ref="F22:F32" si="6">F4*$F$17</f>
        <v>6136.4194441461905</v>
      </c>
      <c r="G22" s="452">
        <f t="shared" ref="G22:G32" si="7">G4*$G$17</f>
        <v>0</v>
      </c>
      <c r="H22" s="452">
        <f t="shared" ref="H22:H32" si="8">H4*$H$17</f>
        <v>0</v>
      </c>
      <c r="I22" s="452">
        <f t="shared" ref="I22:I32" si="9">I4*$I$17</f>
        <v>0</v>
      </c>
      <c r="J22" s="452">
        <f t="shared" ref="J22:J32" si="10">J4*$J$17</f>
        <v>734.70956187235754</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22486.940454420641</v>
      </c>
    </row>
    <row r="23" spans="1:17">
      <c r="A23" s="451" t="s">
        <v>155</v>
      </c>
      <c r="B23" s="452">
        <f t="shared" ca="1" si="2"/>
        <v>1861.75712602767</v>
      </c>
      <c r="C23" s="452">
        <f t="shared" ca="1" si="3"/>
        <v>0</v>
      </c>
      <c r="D23" s="452">
        <f t="shared" ca="1" si="4"/>
        <v>2117.7188187743723</v>
      </c>
      <c r="E23" s="452">
        <f t="shared" si="5"/>
        <v>29.436478344608034</v>
      </c>
      <c r="F23" s="452">
        <f t="shared" ca="1" si="6"/>
        <v>283.6946873098878</v>
      </c>
      <c r="G23" s="452">
        <f t="shared" si="7"/>
        <v>0</v>
      </c>
      <c r="H23" s="452">
        <f t="shared" si="8"/>
        <v>0</v>
      </c>
      <c r="I23" s="452">
        <f t="shared" si="9"/>
        <v>0</v>
      </c>
      <c r="J23" s="452">
        <f t="shared" si="10"/>
        <v>4.9046443003251464E-3</v>
      </c>
      <c r="K23" s="452">
        <f t="shared" si="11"/>
        <v>0</v>
      </c>
      <c r="L23" s="452">
        <f t="shared" ca="1" si="12"/>
        <v>0</v>
      </c>
      <c r="M23" s="452">
        <f t="shared" si="13"/>
        <v>0</v>
      </c>
      <c r="N23" s="452">
        <f t="shared" ca="1" si="14"/>
        <v>0</v>
      </c>
      <c r="O23" s="452">
        <f t="shared" si="15"/>
        <v>0</v>
      </c>
      <c r="P23" s="453">
        <f t="shared" si="16"/>
        <v>0</v>
      </c>
      <c r="Q23" s="451">
        <f t="shared" ref="Q23:Q31" ca="1" si="17">SUM(B23:P23)</f>
        <v>4292.6120151008381</v>
      </c>
    </row>
    <row r="24" spans="1:17">
      <c r="A24" s="451" t="s">
        <v>193</v>
      </c>
      <c r="B24" s="452">
        <f t="shared" ca="1" si="2"/>
        <v>216.33436673696772</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216.33436673696772</v>
      </c>
    </row>
    <row r="25" spans="1:17">
      <c r="A25" s="451" t="s">
        <v>111</v>
      </c>
      <c r="B25" s="452">
        <f t="shared" ca="1" si="2"/>
        <v>521.33071103593056</v>
      </c>
      <c r="C25" s="452">
        <f t="shared" ca="1" si="3"/>
        <v>0</v>
      </c>
      <c r="D25" s="452">
        <f t="shared" si="4"/>
        <v>64.37571837545201</v>
      </c>
      <c r="E25" s="452">
        <f t="shared" si="5"/>
        <v>18.419540422736045</v>
      </c>
      <c r="F25" s="452">
        <f t="shared" si="6"/>
        <v>2453.3254986950437</v>
      </c>
      <c r="G25" s="452">
        <f t="shared" si="7"/>
        <v>0</v>
      </c>
      <c r="H25" s="452">
        <f t="shared" si="8"/>
        <v>0</v>
      </c>
      <c r="I25" s="452">
        <f t="shared" si="9"/>
        <v>0</v>
      </c>
      <c r="J25" s="452">
        <f t="shared" si="10"/>
        <v>253.5709806311082</v>
      </c>
      <c r="K25" s="452">
        <f t="shared" si="11"/>
        <v>0</v>
      </c>
      <c r="L25" s="452">
        <f t="shared" si="12"/>
        <v>0</v>
      </c>
      <c r="M25" s="452">
        <f t="shared" si="13"/>
        <v>0</v>
      </c>
      <c r="N25" s="452">
        <f t="shared" si="14"/>
        <v>0</v>
      </c>
      <c r="O25" s="452">
        <f t="shared" si="15"/>
        <v>0</v>
      </c>
      <c r="P25" s="453">
        <f t="shared" si="16"/>
        <v>0</v>
      </c>
      <c r="Q25" s="451">
        <f t="shared" ca="1" si="17"/>
        <v>3311.0224491602708</v>
      </c>
    </row>
    <row r="26" spans="1:17">
      <c r="A26" s="451" t="s">
        <v>625</v>
      </c>
      <c r="B26" s="452">
        <f t="shared" ca="1" si="2"/>
        <v>1148.7592716073384</v>
      </c>
      <c r="C26" s="452">
        <f t="shared" ca="1" si="3"/>
        <v>0</v>
      </c>
      <c r="D26" s="452">
        <f t="shared" si="4"/>
        <v>934.68547088290006</v>
      </c>
      <c r="E26" s="452">
        <f t="shared" si="5"/>
        <v>124.98024238877331</v>
      </c>
      <c r="F26" s="452">
        <f t="shared" si="6"/>
        <v>484.26384851302873</v>
      </c>
      <c r="G26" s="452">
        <f t="shared" si="7"/>
        <v>0</v>
      </c>
      <c r="H26" s="452">
        <f t="shared" si="8"/>
        <v>0</v>
      </c>
      <c r="I26" s="452">
        <f t="shared" si="9"/>
        <v>0</v>
      </c>
      <c r="J26" s="452">
        <f t="shared" si="10"/>
        <v>12.014019105664694</v>
      </c>
      <c r="K26" s="452">
        <f t="shared" si="11"/>
        <v>0</v>
      </c>
      <c r="L26" s="452">
        <f t="shared" si="12"/>
        <v>0</v>
      </c>
      <c r="M26" s="452">
        <f t="shared" si="13"/>
        <v>0</v>
      </c>
      <c r="N26" s="452">
        <f t="shared" si="14"/>
        <v>0</v>
      </c>
      <c r="O26" s="452">
        <f t="shared" si="15"/>
        <v>0</v>
      </c>
      <c r="P26" s="453">
        <f t="shared" si="16"/>
        <v>0</v>
      </c>
      <c r="Q26" s="451">
        <f t="shared" ca="1" si="17"/>
        <v>2704.702852497705</v>
      </c>
    </row>
    <row r="27" spans="1:17" s="457" customFormat="1">
      <c r="A27" s="455" t="s">
        <v>551</v>
      </c>
      <c r="B27" s="775">
        <f t="shared" ca="1" si="2"/>
        <v>10.327627287523638</v>
      </c>
      <c r="C27" s="456">
        <f t="shared" ca="1" si="3"/>
        <v>0</v>
      </c>
      <c r="D27" s="456">
        <f t="shared" si="4"/>
        <v>40.209364183047271</v>
      </c>
      <c r="E27" s="456">
        <f t="shared" si="5"/>
        <v>37.859496481384085</v>
      </c>
      <c r="F27" s="456">
        <f t="shared" si="6"/>
        <v>0</v>
      </c>
      <c r="G27" s="456">
        <f t="shared" si="7"/>
        <v>19998.477771942209</v>
      </c>
      <c r="H27" s="456">
        <f t="shared" si="8"/>
        <v>4611.7840578921787</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24698.658317786343</v>
      </c>
    </row>
    <row r="28" spans="1:17" ht="16.5" customHeight="1">
      <c r="A28" s="451" t="s">
        <v>541</v>
      </c>
      <c r="B28" s="452">
        <f t="shared" ca="1" si="2"/>
        <v>0</v>
      </c>
      <c r="C28" s="452">
        <f t="shared" ca="1" si="3"/>
        <v>0</v>
      </c>
      <c r="D28" s="452">
        <f t="shared" si="4"/>
        <v>0</v>
      </c>
      <c r="E28" s="452">
        <f t="shared" si="5"/>
        <v>0</v>
      </c>
      <c r="F28" s="452">
        <f t="shared" si="6"/>
        <v>0</v>
      </c>
      <c r="G28" s="452">
        <f t="shared" si="7"/>
        <v>161.25534816719616</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161.25534816719616</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107.67196640055863</v>
      </c>
      <c r="C32" s="452">
        <f t="shared" ca="1" si="3"/>
        <v>0</v>
      </c>
      <c r="D32" s="452">
        <f t="shared" si="4"/>
        <v>257.92908592600003</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365.60105232655866</v>
      </c>
    </row>
    <row r="33" spans="1:17" s="463" customFormat="1">
      <c r="A33" s="461" t="s">
        <v>545</v>
      </c>
      <c r="B33" s="462">
        <f ca="1">SUM(B22:B32)</f>
        <v>9340.2151372691333</v>
      </c>
      <c r="C33" s="462">
        <f t="shared" ref="C33:Q33" ca="1" si="19">SUM(C22:C32)</f>
        <v>0</v>
      </c>
      <c r="D33" s="462">
        <f t="shared" ca="1" si="19"/>
        <v>11052.669999100297</v>
      </c>
      <c r="E33" s="462">
        <f t="shared" si="19"/>
        <v>2714.721596907922</v>
      </c>
      <c r="F33" s="462">
        <f t="shared" ca="1" si="19"/>
        <v>9357.7034786641507</v>
      </c>
      <c r="G33" s="462">
        <f t="shared" si="19"/>
        <v>20159.733120109406</v>
      </c>
      <c r="H33" s="462">
        <f t="shared" si="19"/>
        <v>4611.7840578921787</v>
      </c>
      <c r="I33" s="462">
        <f t="shared" si="19"/>
        <v>0</v>
      </c>
      <c r="J33" s="462">
        <f t="shared" si="19"/>
        <v>1000.2994662534309</v>
      </c>
      <c r="K33" s="462">
        <f t="shared" si="19"/>
        <v>0</v>
      </c>
      <c r="L33" s="462">
        <f t="shared" ca="1" si="19"/>
        <v>0</v>
      </c>
      <c r="M33" s="462">
        <f t="shared" si="19"/>
        <v>0</v>
      </c>
      <c r="N33" s="462">
        <f t="shared" ca="1" si="19"/>
        <v>0</v>
      </c>
      <c r="O33" s="462">
        <f t="shared" si="19"/>
        <v>0</v>
      </c>
      <c r="P33" s="462">
        <f t="shared" si="19"/>
        <v>0</v>
      </c>
      <c r="Q33" s="462">
        <f t="shared" ca="1" si="19"/>
        <v>58237.126856196512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4317.4238534990964</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0</v>
      </c>
      <c r="C8" s="1029">
        <f>'SEAP template'!C76</f>
        <v>0</v>
      </c>
      <c r="D8" s="1029">
        <f>'SEAP template'!D76</f>
        <v>0</v>
      </c>
      <c r="E8" s="1029">
        <f>'SEAP template'!E76</f>
        <v>0</v>
      </c>
      <c r="F8" s="1029">
        <f>'SEAP template'!F76</f>
        <v>0</v>
      </c>
      <c r="G8" s="1029">
        <f>'SEAP template'!G76</f>
        <v>0</v>
      </c>
      <c r="H8" s="1029">
        <f>'SEAP template'!H76</f>
        <v>0</v>
      </c>
      <c r="I8" s="1029">
        <f>'SEAP template'!I76</f>
        <v>0</v>
      </c>
      <c r="J8" s="1029">
        <f>'SEAP template'!J76</f>
        <v>0</v>
      </c>
      <c r="K8" s="1029">
        <f>'SEAP template'!K76</f>
        <v>0</v>
      </c>
      <c r="L8" s="1029">
        <f>'SEAP template'!L76</f>
        <v>0</v>
      </c>
      <c r="M8" s="1029">
        <f>'SEAP template'!M76</f>
        <v>0</v>
      </c>
      <c r="N8" s="1029">
        <f>'SEAP template'!N76</f>
        <v>0</v>
      </c>
      <c r="O8" s="1029">
        <f>'SEAP template'!O76</f>
        <v>0</v>
      </c>
      <c r="P8" s="1030">
        <f>'SEAP template'!Q76</f>
        <v>0</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4317.4238534990964</v>
      </c>
      <c r="C10" s="1031">
        <f>SUM(C4:C9)</f>
        <v>0</v>
      </c>
      <c r="D10" s="1031">
        <f t="shared" ref="D10:H10" si="0">SUM(D8:D9)</f>
        <v>0</v>
      </c>
      <c r="E10" s="1031">
        <f t="shared" si="0"/>
        <v>0</v>
      </c>
      <c r="F10" s="1031">
        <f t="shared" si="0"/>
        <v>0</v>
      </c>
      <c r="G10" s="1031">
        <f t="shared" si="0"/>
        <v>0</v>
      </c>
      <c r="H10" s="1031">
        <f t="shared" si="0"/>
        <v>0</v>
      </c>
      <c r="I10" s="1031">
        <f>SUM(I8:I9)</f>
        <v>0</v>
      </c>
      <c r="J10" s="1031">
        <f>SUM(J8:J9)</f>
        <v>0</v>
      </c>
      <c r="K10" s="1031">
        <f t="shared" ref="K10:L10" si="1">SUM(K8:K9)</f>
        <v>0</v>
      </c>
      <c r="L10" s="1031">
        <f t="shared" si="1"/>
        <v>0</v>
      </c>
      <c r="M10" s="1031">
        <f>SUM(M8:M9)</f>
        <v>0</v>
      </c>
      <c r="N10" s="1031">
        <f>SUM(N8:N9)</f>
        <v>0</v>
      </c>
      <c r="O10" s="1031">
        <f>SUM(O8:O9)</f>
        <v>0</v>
      </c>
      <c r="P10" s="1031">
        <f>SUM(P8:P9)</f>
        <v>0</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0.20051624195765427</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0</v>
      </c>
      <c r="C17" s="1032">
        <f>'SEAP template'!C87</f>
        <v>0</v>
      </c>
      <c r="D17" s="1030">
        <f>'SEAP template'!D87</f>
        <v>0</v>
      </c>
      <c r="E17" s="1030">
        <f>'SEAP template'!E87</f>
        <v>0</v>
      </c>
      <c r="F17" s="1030">
        <f>'SEAP template'!F87</f>
        <v>0</v>
      </c>
      <c r="G17" s="1030">
        <f>'SEAP template'!G87</f>
        <v>0</v>
      </c>
      <c r="H17" s="1030">
        <f>'SEAP template'!H87</f>
        <v>0</v>
      </c>
      <c r="I17" s="1030">
        <f>'SEAP template'!I87</f>
        <v>0</v>
      </c>
      <c r="J17" s="1030">
        <f>'SEAP template'!J87</f>
        <v>0</v>
      </c>
      <c r="K17" s="1030">
        <f>'SEAP template'!K87</f>
        <v>0</v>
      </c>
      <c r="L17" s="1030">
        <f>'SEAP template'!L87</f>
        <v>0</v>
      </c>
      <c r="M17" s="1030">
        <f>'SEAP template'!M87</f>
        <v>0</v>
      </c>
      <c r="N17" s="1030">
        <f>'SEAP template'!N87</f>
        <v>0</v>
      </c>
      <c r="O17" s="1030">
        <f>'SEAP template'!O87</f>
        <v>0</v>
      </c>
      <c r="P17" s="1030">
        <f>'SEAP template'!Q87</f>
        <v>0</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0</v>
      </c>
      <c r="C20" s="1031">
        <f>SUM(C17:C19)</f>
        <v>0</v>
      </c>
      <c r="D20" s="1031">
        <f t="shared" ref="D20:H20" si="2">SUM(D17:D19)</f>
        <v>0</v>
      </c>
      <c r="E20" s="1031">
        <f t="shared" si="2"/>
        <v>0</v>
      </c>
      <c r="F20" s="1031">
        <f t="shared" si="2"/>
        <v>0</v>
      </c>
      <c r="G20" s="1031">
        <f t="shared" si="2"/>
        <v>0</v>
      </c>
      <c r="H20" s="1031">
        <f t="shared" si="2"/>
        <v>0</v>
      </c>
      <c r="I20" s="1031">
        <f>SUM(I17:I19)</f>
        <v>0</v>
      </c>
      <c r="J20" s="1031">
        <f>SUM(J17:J19)</f>
        <v>0</v>
      </c>
      <c r="K20" s="1031">
        <f t="shared" ref="K20:L20" si="3">SUM(K17:K19)</f>
        <v>0</v>
      </c>
      <c r="L20" s="1031">
        <f t="shared" si="3"/>
        <v>0</v>
      </c>
      <c r="M20" s="1031">
        <f>SUM(M17:M19)</f>
        <v>0</v>
      </c>
      <c r="N20" s="1031">
        <f>SUM(N17:N19)</f>
        <v>0</v>
      </c>
      <c r="O20" s="1031">
        <f>SUM(O17:O19)</f>
        <v>0</v>
      </c>
      <c r="P20" s="1031">
        <f>SUM(P17:P19)</f>
        <v>0</v>
      </c>
    </row>
    <row r="21" spans="1:16">
      <c r="B21" s="887"/>
    </row>
    <row r="22" spans="1:16">
      <c r="A22" s="464" t="s">
        <v>797</v>
      </c>
      <c r="B22" s="781" t="s">
        <v>795</v>
      </c>
      <c r="C22" s="781">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0.20051624195765427</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0.20051624195765427</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0.20051624195765427</v>
      </c>
      <c r="C29" s="502">
        <f ca="1">'EF ele_warmte'!B22</f>
        <v>0</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5427</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2486.71</v>
      </c>
      <c r="C14" s="330"/>
      <c r="D14" s="330"/>
      <c r="E14" s="330"/>
      <c r="F14" s="330"/>
    </row>
    <row r="15" spans="1:6">
      <c r="A15" s="1298" t="s">
        <v>183</v>
      </c>
      <c r="B15" s="1299">
        <v>16</v>
      </c>
      <c r="C15" s="330"/>
      <c r="D15" s="330"/>
      <c r="E15" s="330"/>
      <c r="F15" s="330"/>
    </row>
    <row r="16" spans="1:6">
      <c r="A16" s="1298" t="s">
        <v>6</v>
      </c>
      <c r="B16" s="1299">
        <v>854</v>
      </c>
      <c r="C16" s="330"/>
      <c r="D16" s="330"/>
      <c r="E16" s="330"/>
      <c r="F16" s="330"/>
    </row>
    <row r="17" spans="1:6">
      <c r="A17" s="1298" t="s">
        <v>7</v>
      </c>
      <c r="B17" s="1299">
        <v>642</v>
      </c>
      <c r="C17" s="330"/>
      <c r="D17" s="330"/>
      <c r="E17" s="330"/>
      <c r="F17" s="330"/>
    </row>
    <row r="18" spans="1:6">
      <c r="A18" s="1298" t="s">
        <v>8</v>
      </c>
      <c r="B18" s="1299">
        <v>1154</v>
      </c>
      <c r="C18" s="330"/>
      <c r="D18" s="330"/>
      <c r="E18" s="330"/>
      <c r="F18" s="330"/>
    </row>
    <row r="19" spans="1:6">
      <c r="A19" s="1298" t="s">
        <v>9</v>
      </c>
      <c r="B19" s="1299">
        <v>1496</v>
      </c>
      <c r="C19" s="330"/>
      <c r="D19" s="330"/>
      <c r="E19" s="330"/>
      <c r="F19" s="330"/>
    </row>
    <row r="20" spans="1:6">
      <c r="A20" s="1298" t="s">
        <v>10</v>
      </c>
      <c r="B20" s="1299">
        <v>682</v>
      </c>
      <c r="C20" s="330"/>
      <c r="D20" s="330"/>
      <c r="E20" s="330"/>
      <c r="F20" s="330"/>
    </row>
    <row r="21" spans="1:6">
      <c r="A21" s="1298" t="s">
        <v>11</v>
      </c>
      <c r="B21" s="1299">
        <v>945</v>
      </c>
      <c r="C21" s="330"/>
      <c r="D21" s="330"/>
      <c r="E21" s="330"/>
      <c r="F21" s="330"/>
    </row>
    <row r="22" spans="1:6">
      <c r="A22" s="1298" t="s">
        <v>12</v>
      </c>
      <c r="B22" s="1299">
        <v>7281</v>
      </c>
      <c r="C22" s="330"/>
      <c r="D22" s="330"/>
      <c r="E22" s="330"/>
      <c r="F22" s="330"/>
    </row>
    <row r="23" spans="1:6">
      <c r="A23" s="1298" t="s">
        <v>13</v>
      </c>
      <c r="B23" s="1299">
        <v>52</v>
      </c>
      <c r="C23" s="330"/>
      <c r="D23" s="330"/>
      <c r="E23" s="330"/>
      <c r="F23" s="330"/>
    </row>
    <row r="24" spans="1:6">
      <c r="A24" s="1298" t="s">
        <v>14</v>
      </c>
      <c r="B24" s="1299">
        <v>2</v>
      </c>
      <c r="C24" s="330"/>
      <c r="D24" s="330"/>
      <c r="E24" s="330"/>
      <c r="F24" s="330"/>
    </row>
    <row r="25" spans="1:6">
      <c r="A25" s="1298" t="s">
        <v>15</v>
      </c>
      <c r="B25" s="1299">
        <v>269</v>
      </c>
      <c r="C25" s="330"/>
      <c r="D25" s="330"/>
      <c r="E25" s="330"/>
      <c r="F25" s="330"/>
    </row>
    <row r="26" spans="1:6">
      <c r="A26" s="1298" t="s">
        <v>16</v>
      </c>
      <c r="B26" s="1299">
        <v>290</v>
      </c>
      <c r="C26" s="330"/>
      <c r="D26" s="330"/>
      <c r="E26" s="330"/>
      <c r="F26" s="330"/>
    </row>
    <row r="27" spans="1:6">
      <c r="A27" s="1298" t="s">
        <v>17</v>
      </c>
      <c r="B27" s="1299">
        <v>270</v>
      </c>
      <c r="C27" s="330"/>
      <c r="D27" s="330"/>
      <c r="E27" s="330"/>
      <c r="F27" s="330"/>
    </row>
    <row r="28" spans="1:6" s="43" customFormat="1">
      <c r="A28" s="1300" t="s">
        <v>18</v>
      </c>
      <c r="B28" s="1301">
        <v>15495</v>
      </c>
      <c r="C28" s="336"/>
      <c r="D28" s="336"/>
      <c r="E28" s="336"/>
      <c r="F28" s="336"/>
    </row>
    <row r="29" spans="1:6">
      <c r="A29" s="1300" t="s">
        <v>705</v>
      </c>
      <c r="B29" s="1301">
        <v>247</v>
      </c>
      <c r="C29" s="336"/>
      <c r="D29" s="336"/>
      <c r="E29" s="336"/>
      <c r="F29" s="336"/>
    </row>
    <row r="30" spans="1:6">
      <c r="A30" s="1293" t="s">
        <v>706</v>
      </c>
      <c r="B30" s="1302">
        <v>47</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1</v>
      </c>
      <c r="F38" s="1299">
        <v>2067</v>
      </c>
    </row>
    <row r="39" spans="1:6">
      <c r="A39" s="1298" t="s">
        <v>29</v>
      </c>
      <c r="B39" s="1298" t="s">
        <v>30</v>
      </c>
      <c r="C39" s="1299">
        <v>2575</v>
      </c>
      <c r="D39" s="1299">
        <v>41889034.969999999</v>
      </c>
      <c r="E39" s="1299">
        <v>5120</v>
      </c>
      <c r="F39" s="1299">
        <v>23241315.350000001</v>
      </c>
    </row>
    <row r="40" spans="1:6">
      <c r="A40" s="1298" t="s">
        <v>29</v>
      </c>
      <c r="B40" s="1298" t="s">
        <v>28</v>
      </c>
      <c r="C40" s="1299">
        <v>1</v>
      </c>
      <c r="D40" s="1299">
        <v>29647.062000000002</v>
      </c>
      <c r="E40" s="1299">
        <v>1</v>
      </c>
      <c r="F40" s="1299">
        <v>13350.423000000001</v>
      </c>
    </row>
    <row r="41" spans="1:6">
      <c r="A41" s="1298" t="s">
        <v>31</v>
      </c>
      <c r="B41" s="1298" t="s">
        <v>32</v>
      </c>
      <c r="C41" s="1299">
        <v>41</v>
      </c>
      <c r="D41" s="1299">
        <v>908992.38100000005</v>
      </c>
      <c r="E41" s="1299">
        <v>160</v>
      </c>
      <c r="F41" s="1299">
        <v>1284057.6839999999</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3</v>
      </c>
      <c r="F44" s="1299">
        <v>36163.319000000003</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21</v>
      </c>
      <c r="D48" s="1299">
        <v>4220892.0939999996</v>
      </c>
      <c r="E48" s="1299">
        <v>39</v>
      </c>
      <c r="F48" s="1299">
        <v>4103699.0249999999</v>
      </c>
    </row>
    <row r="49" spans="1:6">
      <c r="A49" s="1298" t="s">
        <v>31</v>
      </c>
      <c r="B49" s="1298" t="s">
        <v>39</v>
      </c>
      <c r="C49" s="1299">
        <v>0</v>
      </c>
      <c r="D49" s="1299">
        <v>0</v>
      </c>
      <c r="E49" s="1299">
        <v>0</v>
      </c>
      <c r="F49" s="1299">
        <v>0</v>
      </c>
    </row>
    <row r="50" spans="1:6">
      <c r="A50" s="1298" t="s">
        <v>31</v>
      </c>
      <c r="B50" s="1298" t="s">
        <v>40</v>
      </c>
      <c r="C50" s="1299">
        <v>0</v>
      </c>
      <c r="D50" s="1299">
        <v>0</v>
      </c>
      <c r="E50" s="1299">
        <v>8</v>
      </c>
      <c r="F50" s="1299">
        <v>305088.55699999997</v>
      </c>
    </row>
    <row r="51" spans="1:6">
      <c r="A51" s="1298" t="s">
        <v>41</v>
      </c>
      <c r="B51" s="1298" t="s">
        <v>42</v>
      </c>
      <c r="C51" s="1299">
        <v>6</v>
      </c>
      <c r="D51" s="1299">
        <v>118764.916</v>
      </c>
      <c r="E51" s="1299">
        <v>106</v>
      </c>
      <c r="F51" s="1299">
        <v>2446235.406</v>
      </c>
    </row>
    <row r="52" spans="1:6">
      <c r="A52" s="1298" t="s">
        <v>41</v>
      </c>
      <c r="B52" s="1298" t="s">
        <v>28</v>
      </c>
      <c r="C52" s="1299">
        <v>9</v>
      </c>
      <c r="D52" s="1299">
        <v>234551.79699999999</v>
      </c>
      <c r="E52" s="1299">
        <v>6</v>
      </c>
      <c r="F52" s="1299">
        <v>153707.152</v>
      </c>
    </row>
    <row r="53" spans="1:6">
      <c r="A53" s="1298" t="s">
        <v>43</v>
      </c>
      <c r="B53" s="1298" t="s">
        <v>44</v>
      </c>
      <c r="C53" s="1299">
        <v>51</v>
      </c>
      <c r="D53" s="1299">
        <v>1276876.6629999999</v>
      </c>
      <c r="E53" s="1299">
        <v>153</v>
      </c>
      <c r="F53" s="1299">
        <v>536973.79</v>
      </c>
    </row>
    <row r="54" spans="1:6">
      <c r="A54" s="1298" t="s">
        <v>45</v>
      </c>
      <c r="B54" s="1298" t="s">
        <v>46</v>
      </c>
      <c r="C54" s="1299">
        <v>0</v>
      </c>
      <c r="D54" s="1299">
        <v>0</v>
      </c>
      <c r="E54" s="1299">
        <v>2</v>
      </c>
      <c r="F54" s="1299">
        <v>1078887</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11</v>
      </c>
      <c r="D57" s="1299">
        <v>277204.81699999998</v>
      </c>
      <c r="E57" s="1299">
        <v>39</v>
      </c>
      <c r="F57" s="1299">
        <v>615671.89099999995</v>
      </c>
    </row>
    <row r="58" spans="1:6">
      <c r="A58" s="1298" t="s">
        <v>48</v>
      </c>
      <c r="B58" s="1298" t="s">
        <v>50</v>
      </c>
      <c r="C58" s="1299">
        <v>14</v>
      </c>
      <c r="D58" s="1299">
        <v>366429.614</v>
      </c>
      <c r="E58" s="1299">
        <v>34</v>
      </c>
      <c r="F58" s="1299">
        <v>286687.45</v>
      </c>
    </row>
    <row r="59" spans="1:6">
      <c r="A59" s="1298" t="s">
        <v>48</v>
      </c>
      <c r="B59" s="1298" t="s">
        <v>51</v>
      </c>
      <c r="C59" s="1299">
        <v>15</v>
      </c>
      <c r="D59" s="1299">
        <v>606786.41099999996</v>
      </c>
      <c r="E59" s="1299">
        <v>103</v>
      </c>
      <c r="F59" s="1299">
        <v>2423036.3629999999</v>
      </c>
    </row>
    <row r="60" spans="1:6">
      <c r="A60" s="1298" t="s">
        <v>48</v>
      </c>
      <c r="B60" s="1298" t="s">
        <v>52</v>
      </c>
      <c r="C60" s="1299">
        <v>25</v>
      </c>
      <c r="D60" s="1299">
        <v>1029801.884</v>
      </c>
      <c r="E60" s="1299">
        <v>54</v>
      </c>
      <c r="F60" s="1299">
        <v>1557158.733</v>
      </c>
    </row>
    <row r="61" spans="1:6">
      <c r="A61" s="1298" t="s">
        <v>48</v>
      </c>
      <c r="B61" s="1298" t="s">
        <v>53</v>
      </c>
      <c r="C61" s="1299">
        <v>101</v>
      </c>
      <c r="D61" s="1299">
        <v>3728531.719</v>
      </c>
      <c r="E61" s="1299">
        <v>252</v>
      </c>
      <c r="F61" s="1299">
        <v>2489818.696</v>
      </c>
    </row>
    <row r="62" spans="1:6">
      <c r="A62" s="1298" t="s">
        <v>48</v>
      </c>
      <c r="B62" s="1298" t="s">
        <v>54</v>
      </c>
      <c r="C62" s="1299">
        <v>5</v>
      </c>
      <c r="D62" s="1299">
        <v>268213.50300000003</v>
      </c>
      <c r="E62" s="1299">
        <v>14</v>
      </c>
      <c r="F62" s="1299">
        <v>136635.47</v>
      </c>
    </row>
    <row r="63" spans="1:6">
      <c r="A63" s="1298" t="s">
        <v>48</v>
      </c>
      <c r="B63" s="1298" t="s">
        <v>28</v>
      </c>
      <c r="C63" s="1299">
        <v>82</v>
      </c>
      <c r="D63" s="1299">
        <v>5345821.9950000001</v>
      </c>
      <c r="E63" s="1299">
        <v>109</v>
      </c>
      <c r="F63" s="1299">
        <v>1775810.96</v>
      </c>
    </row>
    <row r="64" spans="1:6">
      <c r="A64" s="1298" t="s">
        <v>55</v>
      </c>
      <c r="B64" s="1298" t="s">
        <v>56</v>
      </c>
      <c r="C64" s="1299">
        <v>0</v>
      </c>
      <c r="D64" s="1299">
        <v>0</v>
      </c>
      <c r="E64" s="1299">
        <v>0</v>
      </c>
      <c r="F64" s="1299">
        <v>0</v>
      </c>
    </row>
    <row r="65" spans="1:6">
      <c r="A65" s="1298" t="s">
        <v>55</v>
      </c>
      <c r="B65" s="1298" t="s">
        <v>28</v>
      </c>
      <c r="C65" s="1299">
        <v>0</v>
      </c>
      <c r="D65" s="1299">
        <v>0</v>
      </c>
      <c r="E65" s="1299">
        <v>0</v>
      </c>
      <c r="F65" s="1299">
        <v>0</v>
      </c>
    </row>
    <row r="66" spans="1:6">
      <c r="A66" s="1298" t="s">
        <v>55</v>
      </c>
      <c r="B66" s="1298" t="s">
        <v>57</v>
      </c>
      <c r="C66" s="1299">
        <v>0</v>
      </c>
      <c r="D66" s="1299">
        <v>0</v>
      </c>
      <c r="E66" s="1299">
        <v>7</v>
      </c>
      <c r="F66" s="1299">
        <v>118916</v>
      </c>
    </row>
    <row r="67" spans="1:6">
      <c r="A67" s="1300" t="s">
        <v>55</v>
      </c>
      <c r="B67" s="1300" t="s">
        <v>58</v>
      </c>
      <c r="C67" s="1299">
        <v>0</v>
      </c>
      <c r="D67" s="1299">
        <v>0</v>
      </c>
      <c r="E67" s="1299">
        <v>0</v>
      </c>
      <c r="F67" s="1299">
        <v>0</v>
      </c>
    </row>
    <row r="68" spans="1:6">
      <c r="A68" s="1293" t="s">
        <v>55</v>
      </c>
      <c r="B68" s="1293" t="s">
        <v>59</v>
      </c>
      <c r="C68" s="1302">
        <v>4</v>
      </c>
      <c r="D68" s="1302">
        <v>67550.87</v>
      </c>
      <c r="E68" s="1302">
        <v>6</v>
      </c>
      <c r="F68" s="1302">
        <v>60768.343999999997</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76713340</v>
      </c>
      <c r="E73" s="450"/>
      <c r="F73" s="330"/>
    </row>
    <row r="74" spans="1:6">
      <c r="A74" s="1298" t="s">
        <v>63</v>
      </c>
      <c r="B74" s="1298" t="s">
        <v>647</v>
      </c>
      <c r="C74" s="1312" t="s">
        <v>649</v>
      </c>
      <c r="D74" s="1313">
        <v>7098130.5</v>
      </c>
      <c r="E74" s="450"/>
      <c r="F74" s="330"/>
    </row>
    <row r="75" spans="1:6">
      <c r="A75" s="1298" t="s">
        <v>64</v>
      </c>
      <c r="B75" s="1298" t="s">
        <v>646</v>
      </c>
      <c r="C75" s="1312" t="s">
        <v>650</v>
      </c>
      <c r="D75" s="1313">
        <v>30979249</v>
      </c>
      <c r="E75" s="450"/>
      <c r="F75" s="330"/>
    </row>
    <row r="76" spans="1:6">
      <c r="A76" s="1298" t="s">
        <v>64</v>
      </c>
      <c r="B76" s="1298" t="s">
        <v>647</v>
      </c>
      <c r="C76" s="1312" t="s">
        <v>651</v>
      </c>
      <c r="D76" s="1313">
        <v>1088589.5</v>
      </c>
      <c r="E76" s="450"/>
      <c r="F76" s="330"/>
    </row>
    <row r="77" spans="1:6">
      <c r="A77" s="1298" t="s">
        <v>65</v>
      </c>
      <c r="B77" s="1298" t="s">
        <v>646</v>
      </c>
      <c r="C77" s="1312" t="s">
        <v>652</v>
      </c>
      <c r="D77" s="1313">
        <v>0</v>
      </c>
      <c r="E77" s="450"/>
      <c r="F77" s="330"/>
    </row>
    <row r="78" spans="1:6">
      <c r="A78" s="1293" t="s">
        <v>65</v>
      </c>
      <c r="B78" s="1293" t="s">
        <v>647</v>
      </c>
      <c r="C78" s="1293" t="s">
        <v>653</v>
      </c>
      <c r="D78" s="1314">
        <v>0</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175003</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0</v>
      </c>
      <c r="C90" s="330"/>
      <c r="D90" s="330"/>
      <c r="E90" s="330"/>
      <c r="F90" s="330"/>
    </row>
    <row r="91" spans="1:6">
      <c r="A91" s="1298" t="s">
        <v>67</v>
      </c>
      <c r="B91" s="1299">
        <v>4045.0383044840064</v>
      </c>
      <c r="C91" s="330"/>
      <c r="D91" s="330"/>
      <c r="E91" s="330"/>
      <c r="F91" s="330"/>
    </row>
    <row r="92" spans="1:6">
      <c r="A92" s="1293" t="s">
        <v>68</v>
      </c>
      <c r="B92" s="1294">
        <v>272.38554901509031</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652</v>
      </c>
      <c r="C97" s="330"/>
      <c r="D97" s="330"/>
      <c r="E97" s="330"/>
      <c r="F97" s="330"/>
    </row>
    <row r="98" spans="1:6">
      <c r="A98" s="1298" t="s">
        <v>71</v>
      </c>
      <c r="B98" s="1299">
        <v>0</v>
      </c>
      <c r="C98" s="330"/>
      <c r="D98" s="330"/>
      <c r="E98" s="330"/>
      <c r="F98" s="330"/>
    </row>
    <row r="99" spans="1:6">
      <c r="A99" s="1298" t="s">
        <v>72</v>
      </c>
      <c r="B99" s="1299">
        <v>126</v>
      </c>
      <c r="C99" s="330"/>
      <c r="D99" s="330"/>
      <c r="E99" s="330"/>
      <c r="F99" s="330"/>
    </row>
    <row r="100" spans="1:6">
      <c r="A100" s="1298" t="s">
        <v>73</v>
      </c>
      <c r="B100" s="1299">
        <v>687</v>
      </c>
      <c r="C100" s="330"/>
      <c r="D100" s="330"/>
      <c r="E100" s="330"/>
      <c r="F100" s="330"/>
    </row>
    <row r="101" spans="1:6">
      <c r="A101" s="1298" t="s">
        <v>74</v>
      </c>
      <c r="B101" s="1299">
        <v>108</v>
      </c>
      <c r="C101" s="330"/>
      <c r="D101" s="330"/>
      <c r="E101" s="330"/>
      <c r="F101" s="330"/>
    </row>
    <row r="102" spans="1:6">
      <c r="A102" s="1298" t="s">
        <v>75</v>
      </c>
      <c r="B102" s="1299">
        <v>99</v>
      </c>
      <c r="C102" s="330"/>
      <c r="D102" s="330"/>
      <c r="E102" s="330"/>
      <c r="F102" s="330"/>
    </row>
    <row r="103" spans="1:6">
      <c r="A103" s="1298" t="s">
        <v>76</v>
      </c>
      <c r="B103" s="1299">
        <v>350</v>
      </c>
      <c r="C103" s="330"/>
      <c r="D103" s="330"/>
      <c r="E103" s="330"/>
      <c r="F103" s="330"/>
    </row>
    <row r="104" spans="1:6">
      <c r="A104" s="1298" t="s">
        <v>77</v>
      </c>
      <c r="B104" s="1299">
        <v>2839</v>
      </c>
      <c r="C104" s="330"/>
      <c r="D104" s="330"/>
      <c r="E104" s="330"/>
      <c r="F104" s="330"/>
    </row>
    <row r="105" spans="1:6">
      <c r="A105" s="1293" t="s">
        <v>78</v>
      </c>
      <c r="B105" s="1302">
        <v>9</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0</v>
      </c>
      <c r="C121" s="1299">
        <v>0</v>
      </c>
      <c r="D121" s="330"/>
      <c r="E121" s="330"/>
      <c r="F121" s="330"/>
    </row>
    <row r="122" spans="1:6">
      <c r="A122" s="1298" t="s">
        <v>86</v>
      </c>
      <c r="B122" s="1299">
        <v>0</v>
      </c>
      <c r="C122" s="1299">
        <v>0</v>
      </c>
      <c r="D122" s="330"/>
      <c r="E122" s="330"/>
      <c r="F122" s="330"/>
    </row>
    <row r="123" spans="1:6">
      <c r="A123" s="1298" t="s">
        <v>87</v>
      </c>
      <c r="B123" s="1299">
        <v>58</v>
      </c>
      <c r="C123" s="1299">
        <v>31</v>
      </c>
      <c r="D123" s="330"/>
      <c r="E123" s="330"/>
      <c r="F123" s="330"/>
    </row>
    <row r="124" spans="1:6" s="43" customFormat="1">
      <c r="A124" s="1300" t="s">
        <v>88</v>
      </c>
      <c r="B124" s="1321">
        <v>2</v>
      </c>
      <c r="C124" s="1321">
        <v>1</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175</v>
      </c>
      <c r="C129" s="330"/>
      <c r="D129" s="330"/>
      <c r="E129" s="330"/>
      <c r="F129" s="330"/>
    </row>
    <row r="130" spans="1:6">
      <c r="A130" s="1298" t="s">
        <v>294</v>
      </c>
      <c r="B130" s="1299">
        <v>1</v>
      </c>
      <c r="C130" s="330"/>
      <c r="D130" s="330"/>
      <c r="E130" s="330"/>
      <c r="F130" s="330"/>
    </row>
    <row r="131" spans="1:6">
      <c r="A131" s="1298" t="s">
        <v>295</v>
      </c>
      <c r="B131" s="1299">
        <v>3</v>
      </c>
      <c r="C131" s="330"/>
      <c r="D131" s="330"/>
      <c r="E131" s="330"/>
      <c r="F131" s="330"/>
    </row>
    <row r="132" spans="1:6">
      <c r="A132" s="1293" t="s">
        <v>296</v>
      </c>
      <c r="B132" s="1294">
        <v>42</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46580.840764219145</v>
      </c>
      <c r="C3" s="43" t="s">
        <v>169</v>
      </c>
      <c r="D3" s="43"/>
      <c r="E3" s="154"/>
      <c r="F3" s="43"/>
      <c r="G3" s="43"/>
      <c r="H3" s="43"/>
      <c r="I3" s="43"/>
      <c r="J3" s="43"/>
      <c r="K3" s="96"/>
    </row>
    <row r="4" spans="1:11">
      <c r="A4" s="358" t="s">
        <v>170</v>
      </c>
      <c r="B4" s="49">
        <f>IF(ISERROR('SEAP template'!B78+'SEAP template'!C78),0,'SEAP template'!B78+'SEAP template'!C78)</f>
        <v>4317.4238534990964</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0</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0.20051624195765427</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1078.8869999999999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1078.8869999999999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0.20051624195765427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216.33436673696772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23254.665773000001</v>
      </c>
      <c r="C5" s="17">
        <f>IF(ISERROR('Eigen informatie GS &amp; warmtenet'!B59),0,'Eigen informatie GS &amp; warmtenet'!B59)</f>
        <v>0</v>
      </c>
      <c r="D5" s="30">
        <f>(SUM(HH_hh_gas_kWh,HH_rest_gas_kWh)/1000)*0.902</f>
        <v>37810.651192863996</v>
      </c>
      <c r="E5" s="17">
        <f>B46*B57</f>
        <v>11030.950833790397</v>
      </c>
      <c r="F5" s="17">
        <f>B51*B62</f>
        <v>22982.84436009809</v>
      </c>
      <c r="G5" s="18"/>
      <c r="H5" s="17"/>
      <c r="I5" s="17"/>
      <c r="J5" s="17">
        <f>B50*B61+C50*C61</f>
        <v>2075.4507397524226</v>
      </c>
      <c r="K5" s="17"/>
      <c r="L5" s="17"/>
      <c r="M5" s="17"/>
      <c r="N5" s="17">
        <f>B48*B59+C48*C59</f>
        <v>11797.19757428698</v>
      </c>
      <c r="O5" s="17">
        <f>B69*B70*B71</f>
        <v>410.67935141311563</v>
      </c>
      <c r="P5" s="17">
        <f>B77*B78*B79/1000-B77*B78*B79/1000/B80</f>
        <v>1074.4638493838725</v>
      </c>
    </row>
    <row r="6" spans="1:16">
      <c r="A6" s="16" t="s">
        <v>611</v>
      </c>
      <c r="B6" s="783">
        <f>kWh_PV_kleiner_dan_10kW</f>
        <v>4045.0383044840064</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27299.704077484006</v>
      </c>
      <c r="C8" s="21">
        <f>C5</f>
        <v>0</v>
      </c>
      <c r="D8" s="21">
        <f>D5</f>
        <v>37810.651192863996</v>
      </c>
      <c r="E8" s="21">
        <f>E5</f>
        <v>11030.950833790397</v>
      </c>
      <c r="F8" s="21">
        <f>F5</f>
        <v>22982.84436009809</v>
      </c>
      <c r="G8" s="21"/>
      <c r="H8" s="21"/>
      <c r="I8" s="21"/>
      <c r="J8" s="21">
        <f>J5</f>
        <v>2075.4507397524226</v>
      </c>
      <c r="K8" s="21"/>
      <c r="L8" s="21">
        <f>L5</f>
        <v>0</v>
      </c>
      <c r="M8" s="21">
        <f>M5</f>
        <v>0</v>
      </c>
      <c r="N8" s="21">
        <f>N5</f>
        <v>11797.19757428698</v>
      </c>
      <c r="O8" s="21">
        <f>O5</f>
        <v>410.67935141311563</v>
      </c>
      <c r="P8" s="21">
        <f>P5</f>
        <v>1074.4638493838725</v>
      </c>
    </row>
    <row r="9" spans="1:16">
      <c r="B9" s="19"/>
      <c r="C9" s="19"/>
      <c r="D9" s="258"/>
      <c r="E9" s="19"/>
      <c r="F9" s="19"/>
      <c r="G9" s="19"/>
      <c r="H9" s="19"/>
      <c r="I9" s="19"/>
      <c r="J9" s="19"/>
      <c r="K9" s="19"/>
      <c r="L9" s="19"/>
      <c r="M9" s="19"/>
      <c r="N9" s="19"/>
      <c r="O9" s="19"/>
      <c r="P9" s="19"/>
    </row>
    <row r="10" spans="1:16">
      <c r="A10" s="24" t="s">
        <v>213</v>
      </c>
      <c r="B10" s="25">
        <f ca="1">'EF ele_warmte'!B12</f>
        <v>0.20051624195765427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5474.0340681731441</v>
      </c>
      <c r="C12" s="23">
        <f ca="1">C10*C8</f>
        <v>0</v>
      </c>
      <c r="D12" s="23">
        <f>D8*D10</f>
        <v>7637.7515409585276</v>
      </c>
      <c r="E12" s="23">
        <f>E10*E8</f>
        <v>2504.0258392704204</v>
      </c>
      <c r="F12" s="23">
        <f>F10*F8</f>
        <v>6136.4194441461905</v>
      </c>
      <c r="G12" s="23"/>
      <c r="H12" s="23"/>
      <c r="I12" s="23"/>
      <c r="J12" s="23">
        <f>J10*J8</f>
        <v>734.70956187235754</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652</v>
      </c>
      <c r="C18" s="166" t="s">
        <v>110</v>
      </c>
      <c r="D18" s="228"/>
      <c r="E18" s="15"/>
    </row>
    <row r="19" spans="1:7">
      <c r="A19" s="171" t="s">
        <v>71</v>
      </c>
      <c r="B19" s="37">
        <f>aantalw2001_ander</f>
        <v>0</v>
      </c>
      <c r="C19" s="166" t="s">
        <v>110</v>
      </c>
      <c r="D19" s="229"/>
      <c r="E19" s="15"/>
    </row>
    <row r="20" spans="1:7">
      <c r="A20" s="171" t="s">
        <v>72</v>
      </c>
      <c r="B20" s="37">
        <f>aantalw2001_propaan</f>
        <v>126</v>
      </c>
      <c r="C20" s="167">
        <f>IF(ISERROR(B20/SUM($B$20,$B$21,$B$22)*100),0,B20/SUM($B$20,$B$21,$B$22)*100)</f>
        <v>13.680781758957655</v>
      </c>
      <c r="D20" s="229"/>
      <c r="E20" s="15"/>
    </row>
    <row r="21" spans="1:7">
      <c r="A21" s="171" t="s">
        <v>73</v>
      </c>
      <c r="B21" s="37">
        <f>aantalw2001_elektriciteit</f>
        <v>687</v>
      </c>
      <c r="C21" s="167">
        <f>IF(ISERROR(B21/SUM($B$20,$B$21,$B$22)*100),0,B21/SUM($B$20,$B$21,$B$22)*100)</f>
        <v>74.592833876221505</v>
      </c>
      <c r="D21" s="229"/>
      <c r="E21" s="15"/>
    </row>
    <row r="22" spans="1:7">
      <c r="A22" s="171" t="s">
        <v>74</v>
      </c>
      <c r="B22" s="37">
        <f>aantalw2001_hout</f>
        <v>108</v>
      </c>
      <c r="C22" s="167">
        <f>IF(ISERROR(B22/SUM($B$20,$B$21,$B$22)*100),0,B22/SUM($B$20,$B$21,$B$22)*100)</f>
        <v>11.726384364820847</v>
      </c>
      <c r="D22" s="229"/>
      <c r="E22" s="15"/>
    </row>
    <row r="23" spans="1:7">
      <c r="A23" s="171" t="s">
        <v>75</v>
      </c>
      <c r="B23" s="37">
        <f>aantalw2001_niet_gespec</f>
        <v>99</v>
      </c>
      <c r="C23" s="166" t="s">
        <v>110</v>
      </c>
      <c r="D23" s="228"/>
      <c r="E23" s="15"/>
    </row>
    <row r="24" spans="1:7">
      <c r="A24" s="171" t="s">
        <v>76</v>
      </c>
      <c r="B24" s="37">
        <f>aantalw2001_steenkool</f>
        <v>350</v>
      </c>
      <c r="C24" s="166" t="s">
        <v>110</v>
      </c>
      <c r="D24" s="229"/>
      <c r="E24" s="15"/>
    </row>
    <row r="25" spans="1:7">
      <c r="A25" s="171" t="s">
        <v>77</v>
      </c>
      <c r="B25" s="37">
        <f>aantalw2001_stookolie</f>
        <v>2839</v>
      </c>
      <c r="C25" s="166" t="s">
        <v>110</v>
      </c>
      <c r="D25" s="228"/>
      <c r="E25" s="52"/>
    </row>
    <row r="26" spans="1:7">
      <c r="A26" s="171" t="s">
        <v>78</v>
      </c>
      <c r="B26" s="37">
        <f>aantalw2001_WP</f>
        <v>9</v>
      </c>
      <c r="C26" s="166" t="s">
        <v>110</v>
      </c>
      <c r="D26" s="228"/>
      <c r="E26" s="15"/>
    </row>
    <row r="27" spans="1:7" s="15" customFormat="1">
      <c r="A27" s="171"/>
      <c r="B27" s="29"/>
      <c r="C27" s="36"/>
      <c r="D27" s="228"/>
    </row>
    <row r="28" spans="1:7" s="15" customFormat="1">
      <c r="A28" s="230" t="s">
        <v>818</v>
      </c>
      <c r="B28" s="37">
        <f>aantalHuishoudens</f>
        <v>5427</v>
      </c>
      <c r="C28" s="36"/>
      <c r="D28" s="228"/>
    </row>
    <row r="29" spans="1:7" s="15" customFormat="1">
      <c r="A29" s="230" t="s">
        <v>819</v>
      </c>
      <c r="B29" s="37">
        <f>SUM(HH_hh_gas_aantal,HH_rest_gas_aantal)</f>
        <v>2576</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2576</v>
      </c>
      <c r="C32" s="167">
        <f>IF(ISERROR(B32/SUM($B$32,$B$34,$B$35,$B$36,$B$38,$B$39)*100),0,B32/SUM($B$32,$B$34,$B$35,$B$36,$B$38,$B$39)*100)</f>
        <v>48.375586854460096</v>
      </c>
      <c r="D32" s="233"/>
      <c r="G32" s="15"/>
    </row>
    <row r="33" spans="1:7">
      <c r="A33" s="171" t="s">
        <v>71</v>
      </c>
      <c r="B33" s="34" t="s">
        <v>110</v>
      </c>
      <c r="C33" s="167"/>
      <c r="D33" s="233"/>
      <c r="G33" s="15"/>
    </row>
    <row r="34" spans="1:7">
      <c r="A34" s="171" t="s">
        <v>72</v>
      </c>
      <c r="B34" s="33">
        <f>IF((($B$28-$B$32-$B$39-$B$77-$B$38)*C20/100)&lt;0,0,($B$28-$B$32-$B$39-$B$77-$B$38)*C20/100)</f>
        <v>203.02280130293161</v>
      </c>
      <c r="C34" s="167">
        <f>IF(ISERROR(B34/SUM($B$32,$B$34,$B$35,$B$36,$B$38,$B$39)*100),0,B34/SUM($B$32,$B$34,$B$35,$B$36,$B$38,$B$39)*100)</f>
        <v>3.8126347662522369</v>
      </c>
      <c r="D34" s="233"/>
      <c r="G34" s="15"/>
    </row>
    <row r="35" spans="1:7">
      <c r="A35" s="171" t="s">
        <v>73</v>
      </c>
      <c r="B35" s="33">
        <f>IF((($B$28-$B$32-$B$39-$B$77-$B$38)*C21/100)&lt;0,0,($B$28-$B$32-$B$39-$B$77-$B$38)*C21/100)</f>
        <v>1106.9576547231272</v>
      </c>
      <c r="C35" s="167">
        <f>IF(ISERROR(B35/SUM($B$32,$B$34,$B$35,$B$36,$B$38,$B$39)*100),0,B35/SUM($B$32,$B$34,$B$35,$B$36,$B$38,$B$39)*100)</f>
        <v>20.787937177899103</v>
      </c>
      <c r="D35" s="233"/>
      <c r="G35" s="15"/>
    </row>
    <row r="36" spans="1:7">
      <c r="A36" s="171" t="s">
        <v>74</v>
      </c>
      <c r="B36" s="33">
        <f>IF((($B$28-$B$32-$B$39-$B$77-$B$38)*C22/100)&lt;0,0,($B$28-$B$32-$B$39-$B$77-$B$38)*C22/100)</f>
        <v>174.01954397394141</v>
      </c>
      <c r="C36" s="167">
        <f>IF(ISERROR(B36/SUM($B$32,$B$34,$B$35,$B$36,$B$38,$B$39)*100),0,B36/SUM($B$32,$B$34,$B$35,$B$36,$B$38,$B$39)*100)</f>
        <v>3.2679726567876322</v>
      </c>
      <c r="D36" s="233"/>
      <c r="G36" s="15"/>
    </row>
    <row r="37" spans="1:7">
      <c r="A37" s="171" t="s">
        <v>75</v>
      </c>
      <c r="B37" s="34" t="s">
        <v>110</v>
      </c>
      <c r="C37" s="167"/>
      <c r="D37" s="173"/>
      <c r="G37" s="15"/>
    </row>
    <row r="38" spans="1:7">
      <c r="A38" s="171" t="s">
        <v>76</v>
      </c>
      <c r="B38" s="33">
        <f>IF((B24-(B29-B18)*0.1)&lt;0,0,B24-(B29-B18)*0.1)</f>
        <v>157.6</v>
      </c>
      <c r="C38" s="167">
        <f>IF(ISERROR(B38/SUM($B$32,$B$34,$B$35,$B$36,$B$38,$B$39)*100),0,B38/SUM($B$32,$B$34,$B$35,$B$36,$B$38,$B$39)*100)</f>
        <v>2.9596244131455398</v>
      </c>
      <c r="D38" s="234"/>
      <c r="G38" s="15"/>
    </row>
    <row r="39" spans="1:7">
      <c r="A39" s="171" t="s">
        <v>77</v>
      </c>
      <c r="B39" s="33">
        <f>IF((B25-(B29-B18))&lt;0,0,B25-(B29-B18)*0.9)</f>
        <v>1107.3999999999999</v>
      </c>
      <c r="C39" s="167">
        <f>IF(ISERROR(B39/SUM($B$32,$B$34,$B$35,$B$36,$B$38,$B$39)*100),0,B39/SUM($B$32,$B$34,$B$35,$B$36,$B$38,$B$39)*100)</f>
        <v>20.796244131455396</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2576</v>
      </c>
      <c r="C44" s="34" t="s">
        <v>110</v>
      </c>
      <c r="D44" s="174"/>
    </row>
    <row r="45" spans="1:7">
      <c r="A45" s="171" t="s">
        <v>71</v>
      </c>
      <c r="B45" s="33" t="str">
        <f t="shared" si="0"/>
        <v>-</v>
      </c>
      <c r="C45" s="34" t="s">
        <v>110</v>
      </c>
      <c r="D45" s="174"/>
    </row>
    <row r="46" spans="1:7">
      <c r="A46" s="171" t="s">
        <v>72</v>
      </c>
      <c r="B46" s="33">
        <f t="shared" si="0"/>
        <v>203.02280130293161</v>
      </c>
      <c r="C46" s="34" t="s">
        <v>110</v>
      </c>
      <c r="D46" s="174"/>
    </row>
    <row r="47" spans="1:7">
      <c r="A47" s="171" t="s">
        <v>73</v>
      </c>
      <c r="B47" s="33">
        <f t="shared" si="0"/>
        <v>1106.9576547231272</v>
      </c>
      <c r="C47" s="34" t="s">
        <v>110</v>
      </c>
      <c r="D47" s="174"/>
    </row>
    <row r="48" spans="1:7">
      <c r="A48" s="171" t="s">
        <v>74</v>
      </c>
      <c r="B48" s="33">
        <f t="shared" si="0"/>
        <v>174.01954397394141</v>
      </c>
      <c r="C48" s="33">
        <f>B48*10</f>
        <v>1740.195439739414</v>
      </c>
      <c r="D48" s="234"/>
    </row>
    <row r="49" spans="1:6">
      <c r="A49" s="171" t="s">
        <v>75</v>
      </c>
      <c r="B49" s="33" t="str">
        <f t="shared" si="0"/>
        <v>-</v>
      </c>
      <c r="C49" s="34" t="s">
        <v>110</v>
      </c>
      <c r="D49" s="234"/>
    </row>
    <row r="50" spans="1:6">
      <c r="A50" s="171" t="s">
        <v>76</v>
      </c>
      <c r="B50" s="33">
        <f t="shared" si="0"/>
        <v>157.6</v>
      </c>
      <c r="C50" s="33">
        <f>B50*2</f>
        <v>315.2</v>
      </c>
      <c r="D50" s="234"/>
    </row>
    <row r="51" spans="1:6">
      <c r="A51" s="171" t="s">
        <v>77</v>
      </c>
      <c r="B51" s="33">
        <f t="shared" si="0"/>
        <v>1107.3999999999999</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207</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102</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9284.8195630000009</v>
      </c>
      <c r="C5" s="17">
        <f>IF(ISERROR('Eigen informatie GS &amp; warmtenet'!B60),0,'Eigen informatie GS &amp; warmtenet'!B60)</f>
        <v>0</v>
      </c>
      <c r="D5" s="30">
        <f>SUM(D6:D12)</f>
        <v>10483.756528586</v>
      </c>
      <c r="E5" s="17">
        <f>SUM(E6:E12)</f>
        <v>129.676116055542</v>
      </c>
      <c r="F5" s="17">
        <f>SUM(F6:F12)</f>
        <v>1062.5269187636247</v>
      </c>
      <c r="G5" s="18"/>
      <c r="H5" s="17"/>
      <c r="I5" s="17"/>
      <c r="J5" s="17">
        <f>SUM(J6:J12)</f>
        <v>1.3854927402048437E-2</v>
      </c>
      <c r="K5" s="17"/>
      <c r="L5" s="17"/>
      <c r="M5" s="17"/>
      <c r="N5" s="17">
        <f>SUM(N6:N12)</f>
        <v>546.83421271382531</v>
      </c>
      <c r="O5" s="17">
        <f>B38*B39*B40</f>
        <v>4.8972607658411542</v>
      </c>
      <c r="P5" s="17">
        <f>B46*B47*B48/1000-B46*B47*B48/1000/B49</f>
        <v>157.61741491948504</v>
      </c>
      <c r="R5" s="32"/>
    </row>
    <row r="6" spans="1:18">
      <c r="A6" s="32" t="s">
        <v>53</v>
      </c>
      <c r="B6" s="37">
        <f>B26</f>
        <v>2489.8186959999998</v>
      </c>
      <c r="C6" s="33"/>
      <c r="D6" s="37">
        <f>IF(ISERROR(TER_kantoor_gas_kWh/1000),0,TER_kantoor_gas_kWh/1000)*0.902</f>
        <v>3363.135610538</v>
      </c>
      <c r="E6" s="33">
        <f>$C$26*'E Balans VL '!I12/100/3.6*1000000</f>
        <v>20.034772747946175</v>
      </c>
      <c r="F6" s="33">
        <f>$C$26*('E Balans VL '!L12+'E Balans VL '!N12)/100/3.6*1000000</f>
        <v>304.40652764012611</v>
      </c>
      <c r="G6" s="34"/>
      <c r="H6" s="33"/>
      <c r="I6" s="33"/>
      <c r="J6" s="33">
        <f>$C$26*('E Balans VL '!D12+'E Balans VL '!E12)/100/3.6*1000000</f>
        <v>0</v>
      </c>
      <c r="K6" s="33"/>
      <c r="L6" s="33"/>
      <c r="M6" s="33"/>
      <c r="N6" s="33">
        <f>$C$26*'E Balans VL '!Y12/100/3.6*1000000</f>
        <v>1.3381549387998861</v>
      </c>
      <c r="O6" s="33"/>
      <c r="P6" s="33"/>
      <c r="R6" s="32"/>
    </row>
    <row r="7" spans="1:18">
      <c r="A7" s="32" t="s">
        <v>52</v>
      </c>
      <c r="B7" s="37">
        <f t="shared" ref="B7:B12" si="0">B27</f>
        <v>1557.158733</v>
      </c>
      <c r="C7" s="33"/>
      <c r="D7" s="37">
        <f>IF(ISERROR(TER_horeca_gas_kWh/1000),0,TER_horeca_gas_kWh/1000)*0.902</f>
        <v>928.88129936799999</v>
      </c>
      <c r="E7" s="33">
        <f>$C$27*'E Balans VL '!I9/100/3.6*1000000</f>
        <v>16.720061079064934</v>
      </c>
      <c r="F7" s="33">
        <f>$C$27*('E Balans VL '!L9+'E Balans VL '!N9)/100/3.6*1000000</f>
        <v>187.28843651628989</v>
      </c>
      <c r="G7" s="34"/>
      <c r="H7" s="33"/>
      <c r="I7" s="33"/>
      <c r="J7" s="33">
        <f>$C$27*('E Balans VL '!D9+'E Balans VL '!E9)/100/3.6*1000000</f>
        <v>0</v>
      </c>
      <c r="K7" s="33"/>
      <c r="L7" s="33"/>
      <c r="M7" s="33"/>
      <c r="N7" s="33">
        <f>$C$27*'E Balans VL '!Y9/100/3.6*1000000</f>
        <v>0.23344965402015477</v>
      </c>
      <c r="O7" s="33"/>
      <c r="P7" s="33"/>
      <c r="R7" s="32"/>
    </row>
    <row r="8" spans="1:18">
      <c r="A8" s="6" t="s">
        <v>51</v>
      </c>
      <c r="B8" s="37">
        <f t="shared" si="0"/>
        <v>2423.0363629999997</v>
      </c>
      <c r="C8" s="33"/>
      <c r="D8" s="37">
        <f>IF(ISERROR(TER_handel_gas_kWh/1000),0,TER_handel_gas_kWh/1000)*0.902</f>
        <v>547.32134272199994</v>
      </c>
      <c r="E8" s="33">
        <f>$C$28*'E Balans VL '!I13/100/3.6*1000000</f>
        <v>65.026877929055658</v>
      </c>
      <c r="F8" s="33">
        <f>$C$28*('E Balans VL '!L13+'E Balans VL '!N13)/100/3.6*1000000</f>
        <v>231.23234893651059</v>
      </c>
      <c r="G8" s="34"/>
      <c r="H8" s="33"/>
      <c r="I8" s="33"/>
      <c r="J8" s="33">
        <f>$C$28*('E Balans VL '!D13+'E Balans VL '!E13)/100/3.6*1000000</f>
        <v>0</v>
      </c>
      <c r="K8" s="33"/>
      <c r="L8" s="33"/>
      <c r="M8" s="33"/>
      <c r="N8" s="33">
        <f>$C$28*'E Balans VL '!Y13/100/3.6*1000000</f>
        <v>0.96051916515068092</v>
      </c>
      <c r="O8" s="33"/>
      <c r="P8" s="33"/>
      <c r="R8" s="32"/>
    </row>
    <row r="9" spans="1:18">
      <c r="A9" s="32" t="s">
        <v>50</v>
      </c>
      <c r="B9" s="37">
        <f t="shared" si="0"/>
        <v>286.68745000000001</v>
      </c>
      <c r="C9" s="33"/>
      <c r="D9" s="37">
        <f>IF(ISERROR(TER_gezond_gas_kWh/1000),0,TER_gezond_gas_kWh/1000)*0.902</f>
        <v>330.51951182800002</v>
      </c>
      <c r="E9" s="33">
        <f>$C$29*'E Balans VL '!I10/100/3.6*1000000</f>
        <v>0.53734563078730913</v>
      </c>
      <c r="F9" s="33">
        <f>$C$29*('E Balans VL '!L10+'E Balans VL '!N10)/100/3.6*1000000</f>
        <v>23.568324211423537</v>
      </c>
      <c r="G9" s="34"/>
      <c r="H9" s="33"/>
      <c r="I9" s="33"/>
      <c r="J9" s="33">
        <f>$C$29*('E Balans VL '!D10+'E Balans VL '!E10)/100/3.6*1000000</f>
        <v>0</v>
      </c>
      <c r="K9" s="33"/>
      <c r="L9" s="33"/>
      <c r="M9" s="33"/>
      <c r="N9" s="33">
        <f>$C$29*'E Balans VL '!Y10/100/3.6*1000000</f>
        <v>2.2306422605722775</v>
      </c>
      <c r="O9" s="33"/>
      <c r="P9" s="33"/>
      <c r="R9" s="32"/>
    </row>
    <row r="10" spans="1:18">
      <c r="A10" s="32" t="s">
        <v>49</v>
      </c>
      <c r="B10" s="37">
        <f t="shared" si="0"/>
        <v>615.67189099999996</v>
      </c>
      <c r="C10" s="33"/>
      <c r="D10" s="37">
        <f>IF(ISERROR(TER_ander_gas_kWh/1000),0,TER_ander_gas_kWh/1000)*0.902</f>
        <v>250.03874493399999</v>
      </c>
      <c r="E10" s="33">
        <f>$C$30*'E Balans VL '!I14/100/3.6*1000000</f>
        <v>0.9490644584833785</v>
      </c>
      <c r="F10" s="33">
        <f>$C$30*('E Balans VL '!L14+'E Balans VL '!N14)/100/3.6*1000000</f>
        <v>95.583231043320026</v>
      </c>
      <c r="G10" s="34"/>
      <c r="H10" s="33"/>
      <c r="I10" s="33"/>
      <c r="J10" s="33">
        <f>$C$30*('E Balans VL '!D14+'E Balans VL '!E14)/100/3.6*1000000</f>
        <v>1.0451679652569807E-2</v>
      </c>
      <c r="K10" s="33"/>
      <c r="L10" s="33"/>
      <c r="M10" s="33"/>
      <c r="N10" s="33">
        <f>$C$30*'E Balans VL '!Y14/100/3.6*1000000</f>
        <v>407.30879094961017</v>
      </c>
      <c r="O10" s="33"/>
      <c r="P10" s="33"/>
      <c r="R10" s="32"/>
    </row>
    <row r="11" spans="1:18">
      <c r="A11" s="32" t="s">
        <v>54</v>
      </c>
      <c r="B11" s="37">
        <f t="shared" si="0"/>
        <v>136.63547</v>
      </c>
      <c r="C11" s="33"/>
      <c r="D11" s="37">
        <f>IF(ISERROR(TER_onderwijs_gas_kWh/1000),0,TER_onderwijs_gas_kWh/1000)*0.902</f>
        <v>241.92857970600002</v>
      </c>
      <c r="E11" s="33">
        <f>$C$31*'E Balans VL '!I11/100/3.6*1000000</f>
        <v>3.4851377129708978</v>
      </c>
      <c r="F11" s="33">
        <f>$C$31*('E Balans VL '!L11+'E Balans VL '!N11)/100/3.6*1000000</f>
        <v>16.431701329518596</v>
      </c>
      <c r="G11" s="34"/>
      <c r="H11" s="33"/>
      <c r="I11" s="33"/>
      <c r="J11" s="33">
        <f>$C$31*('E Balans VL '!D11+'E Balans VL '!E11)/100/3.6*1000000</f>
        <v>0</v>
      </c>
      <c r="K11" s="33"/>
      <c r="L11" s="33"/>
      <c r="M11" s="33"/>
      <c r="N11" s="33">
        <f>$C$31*'E Balans VL '!Y11/100/3.6*1000000</f>
        <v>0.30387395134580458</v>
      </c>
      <c r="O11" s="33"/>
      <c r="P11" s="33"/>
      <c r="R11" s="32"/>
    </row>
    <row r="12" spans="1:18">
      <c r="A12" s="32" t="s">
        <v>259</v>
      </c>
      <c r="B12" s="37">
        <f t="shared" si="0"/>
        <v>1775.81096</v>
      </c>
      <c r="C12" s="33"/>
      <c r="D12" s="37">
        <f>IF(ISERROR(TER_rest_gas_kWh/1000),0,TER_rest_gas_kWh/1000)*0.902</f>
        <v>4821.9314394900002</v>
      </c>
      <c r="E12" s="33">
        <f>$C$32*'E Balans VL '!I8/100/3.6*1000000</f>
        <v>22.922856497233635</v>
      </c>
      <c r="F12" s="33">
        <f>$C$32*('E Balans VL '!L8+'E Balans VL '!N8)/100/3.6*1000000</f>
        <v>204.01634908643615</v>
      </c>
      <c r="G12" s="34"/>
      <c r="H12" s="33"/>
      <c r="I12" s="33"/>
      <c r="J12" s="33">
        <f>$C$32*('E Balans VL '!D8+'E Balans VL '!E8)/100/3.6*1000000</f>
        <v>3.4032477494786301E-3</v>
      </c>
      <c r="K12" s="33"/>
      <c r="L12" s="33"/>
      <c r="M12" s="33"/>
      <c r="N12" s="33">
        <f>$C$32*'E Balans VL '!Y8/100/3.6*1000000</f>
        <v>134.45878179432631</v>
      </c>
      <c r="O12" s="33"/>
      <c r="P12" s="33"/>
      <c r="R12" s="32"/>
    </row>
    <row r="13" spans="1:18">
      <c r="A13" s="16" t="s">
        <v>478</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9284.8195630000009</v>
      </c>
      <c r="C16" s="21">
        <f t="shared" ca="1" si="1"/>
        <v>0</v>
      </c>
      <c r="D16" s="21">
        <f t="shared" ca="1" si="1"/>
        <v>10483.756528586</v>
      </c>
      <c r="E16" s="21">
        <f t="shared" si="1"/>
        <v>129.676116055542</v>
      </c>
      <c r="F16" s="21">
        <f t="shared" ca="1" si="1"/>
        <v>1062.5269187636247</v>
      </c>
      <c r="G16" s="21">
        <f t="shared" si="1"/>
        <v>0</v>
      </c>
      <c r="H16" s="21">
        <f t="shared" si="1"/>
        <v>0</v>
      </c>
      <c r="I16" s="21">
        <f t="shared" si="1"/>
        <v>0</v>
      </c>
      <c r="J16" s="21">
        <f t="shared" si="1"/>
        <v>1.3854927402048437E-2</v>
      </c>
      <c r="K16" s="21">
        <f t="shared" si="1"/>
        <v>0</v>
      </c>
      <c r="L16" s="21">
        <f t="shared" ca="1" si="1"/>
        <v>0</v>
      </c>
      <c r="M16" s="21">
        <f t="shared" si="1"/>
        <v>0</v>
      </c>
      <c r="N16" s="21">
        <f t="shared" ca="1" si="1"/>
        <v>546.83421271382531</v>
      </c>
      <c r="O16" s="21">
        <f>O5</f>
        <v>4.8972607658411542</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0.20051624195765427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1861.75712602767</v>
      </c>
      <c r="C20" s="23">
        <f t="shared" ref="C20:P20" ca="1" si="2">C16*C18</f>
        <v>0</v>
      </c>
      <c r="D20" s="23">
        <f t="shared" ca="1" si="2"/>
        <v>2117.7188187743723</v>
      </c>
      <c r="E20" s="23">
        <f t="shared" si="2"/>
        <v>29.436478344608034</v>
      </c>
      <c r="F20" s="23">
        <f t="shared" ca="1" si="2"/>
        <v>283.6946873098878</v>
      </c>
      <c r="G20" s="23">
        <f t="shared" si="2"/>
        <v>0</v>
      </c>
      <c r="H20" s="23">
        <f t="shared" si="2"/>
        <v>0</v>
      </c>
      <c r="I20" s="23">
        <f t="shared" si="2"/>
        <v>0</v>
      </c>
      <c r="J20" s="23">
        <f t="shared" si="2"/>
        <v>4.9046443003251464E-3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2489.8186959999998</v>
      </c>
      <c r="C26" s="39">
        <f>IF(ISERROR(B26*3.6/1000000/'E Balans VL '!Z12*100),0,B26*3.6/1000000/'E Balans VL '!Z12*100)</f>
        <v>5.2819225713115356E-2</v>
      </c>
      <c r="D26" s="237" t="s">
        <v>708</v>
      </c>
      <c r="F26" s="6"/>
    </row>
    <row r="27" spans="1:18">
      <c r="A27" s="231" t="s">
        <v>52</v>
      </c>
      <c r="B27" s="33">
        <f>IF(ISERROR(TER_horeca_ele_kWh/1000),0,TER_horeca_ele_kWh/1000)</f>
        <v>1557.158733</v>
      </c>
      <c r="C27" s="39">
        <f>IF(ISERROR(B27*3.6/1000000/'E Balans VL '!Z9*100),0,B27*3.6/1000000/'E Balans VL '!Z9*100)</f>
        <v>0.1172678466957475</v>
      </c>
      <c r="D27" s="237" t="s">
        <v>708</v>
      </c>
      <c r="F27" s="6"/>
    </row>
    <row r="28" spans="1:18">
      <c r="A28" s="171" t="s">
        <v>51</v>
      </c>
      <c r="B28" s="33">
        <f>IF(ISERROR(TER_handel_ele_kWh/1000),0,TER_handel_ele_kWh/1000)</f>
        <v>2423.0363629999997</v>
      </c>
      <c r="C28" s="39">
        <f>IF(ISERROR(B28*3.6/1000000/'E Balans VL '!Z13*100),0,B28*3.6/1000000/'E Balans VL '!Z13*100)</f>
        <v>7.0332160130200647E-2</v>
      </c>
      <c r="D28" s="237" t="s">
        <v>708</v>
      </c>
      <c r="F28" s="6"/>
    </row>
    <row r="29" spans="1:18">
      <c r="A29" s="231" t="s">
        <v>50</v>
      </c>
      <c r="B29" s="33">
        <f>IF(ISERROR(TER_gezond_ele_kWh/1000),0,TER_gezond_ele_kWh/1000)</f>
        <v>286.68745000000001</v>
      </c>
      <c r="C29" s="39">
        <f>IF(ISERROR(B29*3.6/1000000/'E Balans VL '!Z10*100),0,B29*3.6/1000000/'E Balans VL '!Z10*100)</f>
        <v>2.8912771221208947E-2</v>
      </c>
      <c r="D29" s="237" t="s">
        <v>708</v>
      </c>
      <c r="F29" s="6"/>
    </row>
    <row r="30" spans="1:18">
      <c r="A30" s="231" t="s">
        <v>49</v>
      </c>
      <c r="B30" s="33">
        <f>IF(ISERROR(TER_ander_ele_kWh/1000),0,TER_ander_ele_kWh/1000)</f>
        <v>615.67189099999996</v>
      </c>
      <c r="C30" s="39">
        <f>IF(ISERROR(B30*3.6/1000000/'E Balans VL '!Z14*100),0,B30*3.6/1000000/'E Balans VL '!Z14*100)</f>
        <v>4.4675394996698446E-2</v>
      </c>
      <c r="D30" s="237" t="s">
        <v>708</v>
      </c>
      <c r="F30" s="6"/>
    </row>
    <row r="31" spans="1:18">
      <c r="A31" s="231" t="s">
        <v>54</v>
      </c>
      <c r="B31" s="33">
        <f>IF(ISERROR(TER_onderwijs_ele_kWh/1000),0,TER_onderwijs_ele_kWh/1000)</f>
        <v>136.63547</v>
      </c>
      <c r="C31" s="39">
        <f>IF(ISERROR(B31*3.6/1000000/'E Balans VL '!Z11*100),0,B31*3.6/1000000/'E Balans VL '!Z11*100)</f>
        <v>3.8946673005420998E-2</v>
      </c>
      <c r="D31" s="237" t="s">
        <v>708</v>
      </c>
    </row>
    <row r="32" spans="1:18">
      <c r="A32" s="231" t="s">
        <v>259</v>
      </c>
      <c r="B32" s="33">
        <f>IF(ISERROR(TER_rest_ele_kWh/1000),0,TER_rest_ele_kWh/1000)</f>
        <v>1775.81096</v>
      </c>
      <c r="C32" s="39">
        <f>IF(ISERROR(B32*3.6/1000000/'E Balans VL '!Z8*100),0,B32*3.6/1000000/'E Balans VL '!Z8*100)</f>
        <v>1.4547081668562204E-2</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3</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5729.0085849999996</v>
      </c>
      <c r="C5" s="17">
        <f>IF(ISERROR('Eigen informatie GS &amp; warmtenet'!B61),0,'Eigen informatie GS &amp; warmtenet'!B61)</f>
        <v>0</v>
      </c>
      <c r="D5" s="30">
        <f>SUM(D6:D15)</f>
        <v>4627.1557964499998</v>
      </c>
      <c r="E5" s="17">
        <f>SUM(E6:E15)</f>
        <v>550.5737550166225</v>
      </c>
      <c r="F5" s="17">
        <f>SUM(F6:F15)</f>
        <v>1813.7222790750138</v>
      </c>
      <c r="G5" s="18"/>
      <c r="H5" s="17"/>
      <c r="I5" s="17"/>
      <c r="J5" s="17">
        <f>SUM(J6:J15)</f>
        <v>33.937907078148854</v>
      </c>
      <c r="K5" s="17"/>
      <c r="L5" s="17"/>
      <c r="M5" s="17"/>
      <c r="N5" s="17">
        <f>SUM(N6:N15)</f>
        <v>272.65833703606739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36.163319000000001</v>
      </c>
      <c r="C8" s="33"/>
      <c r="D8" s="37">
        <f>IF( ISERROR(IND_metaal_Gas_kWH/1000),0,IND_metaal_Gas_kWH/1000)*0.902</f>
        <v>0</v>
      </c>
      <c r="E8" s="33">
        <f>C30*'E Balans VL '!I18/100/3.6*1000000</f>
        <v>0.26089296479555485</v>
      </c>
      <c r="F8" s="33">
        <f>C30*'E Balans VL '!L18/100/3.6*1000000+C30*'E Balans VL '!N18/100/3.6*1000000</f>
        <v>3.4203831725074649</v>
      </c>
      <c r="G8" s="34"/>
      <c r="H8" s="33"/>
      <c r="I8" s="33"/>
      <c r="J8" s="40">
        <f>C30*'E Balans VL '!D18/100/3.6*1000000+C30*'E Balans VL '!E18/100/3.6*1000000</f>
        <v>3.6373276402411281E-2</v>
      </c>
      <c r="K8" s="33"/>
      <c r="L8" s="33"/>
      <c r="M8" s="33"/>
      <c r="N8" s="33">
        <f>C30*'E Balans VL '!Y18/100/3.6*1000000</f>
        <v>0.45720003085605593</v>
      </c>
      <c r="O8" s="33"/>
      <c r="P8" s="33"/>
      <c r="R8" s="32"/>
    </row>
    <row r="9" spans="1:18">
      <c r="A9" s="6" t="s">
        <v>32</v>
      </c>
      <c r="B9" s="37">
        <f t="shared" si="0"/>
        <v>1284.0576839999999</v>
      </c>
      <c r="C9" s="33"/>
      <c r="D9" s="37">
        <f>IF( ISERROR(IND_andere_gas_kWh/1000),0,IND_andere_gas_kWh/1000)*0.902</f>
        <v>819.91112766200001</v>
      </c>
      <c r="E9" s="33">
        <f>C31*'E Balans VL '!I19/100/3.6*1000000</f>
        <v>355.82955423873125</v>
      </c>
      <c r="F9" s="33">
        <f>C31*'E Balans VL '!L19/100/3.6*1000000+C31*'E Balans VL '!N19/100/3.6*1000000</f>
        <v>1064.2297833692407</v>
      </c>
      <c r="G9" s="34"/>
      <c r="H9" s="33"/>
      <c r="I9" s="33"/>
      <c r="J9" s="40">
        <f>C31*'E Balans VL '!D19/100/3.6*1000000+C31*'E Balans VL '!E19/100/3.6*1000000</f>
        <v>0</v>
      </c>
      <c r="K9" s="33"/>
      <c r="L9" s="33"/>
      <c r="M9" s="33"/>
      <c r="N9" s="33">
        <f>C31*'E Balans VL '!Y19/100/3.6*1000000</f>
        <v>93.206882132650065</v>
      </c>
      <c r="O9" s="33"/>
      <c r="P9" s="33"/>
      <c r="R9" s="32"/>
    </row>
    <row r="10" spans="1:18">
      <c r="A10" s="6" t="s">
        <v>40</v>
      </c>
      <c r="B10" s="37">
        <f t="shared" si="0"/>
        <v>305.08855699999998</v>
      </c>
      <c r="C10" s="33"/>
      <c r="D10" s="37">
        <f>IF( ISERROR(IND_voed_gas_kWh/1000),0,IND_voed_gas_kWh/1000)*0.902</f>
        <v>0</v>
      </c>
      <c r="E10" s="33">
        <f>C32*'E Balans VL '!I20/100/3.6*1000000</f>
        <v>0.54011008600968691</v>
      </c>
      <c r="F10" s="33">
        <f>C32*'E Balans VL '!L20/100/3.6*1000000+C32*'E Balans VL '!N20/100/3.6*1000000</f>
        <v>16.477486053625633</v>
      </c>
      <c r="G10" s="34"/>
      <c r="H10" s="33"/>
      <c r="I10" s="33"/>
      <c r="J10" s="40">
        <f>C32*'E Balans VL '!D20/100/3.6*1000000+C32*'E Balans VL '!E20/100/3.6*1000000</f>
        <v>0</v>
      </c>
      <c r="K10" s="33"/>
      <c r="L10" s="33"/>
      <c r="M10" s="33"/>
      <c r="N10" s="33">
        <f>C32*'E Balans VL '!Y20/100/3.6*1000000</f>
        <v>17.727975152043559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4103.6990249999999</v>
      </c>
      <c r="C15" s="33"/>
      <c r="D15" s="37">
        <f>IF( ISERROR(IND_rest_gas_kWh/1000),0,IND_rest_gas_kWh/1000)*0.902</f>
        <v>3807.2446687880001</v>
      </c>
      <c r="E15" s="33">
        <f>C37*'E Balans VL '!I15/100/3.6*1000000</f>
        <v>193.94319772708604</v>
      </c>
      <c r="F15" s="33">
        <f>C37*'E Balans VL '!L15/100/3.6*1000000+C37*'E Balans VL '!N15/100/3.6*1000000</f>
        <v>729.59462647964006</v>
      </c>
      <c r="G15" s="34"/>
      <c r="H15" s="33"/>
      <c r="I15" s="33"/>
      <c r="J15" s="40">
        <f>C37*'E Balans VL '!D15/100/3.6*1000000+C37*'E Balans VL '!E15/100/3.6*1000000</f>
        <v>33.901533801746446</v>
      </c>
      <c r="K15" s="33"/>
      <c r="L15" s="33"/>
      <c r="M15" s="33"/>
      <c r="N15" s="33">
        <f>C37*'E Balans VL '!Y15/100/3.6*1000000</f>
        <v>161.2662797205177</v>
      </c>
      <c r="O15" s="33"/>
      <c r="P15" s="33"/>
      <c r="R15" s="32"/>
    </row>
    <row r="16" spans="1:18">
      <c r="A16" s="16" t="s">
        <v>478</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5729.0085849999996</v>
      </c>
      <c r="C18" s="21">
        <f>C5+C16</f>
        <v>0</v>
      </c>
      <c r="D18" s="21">
        <f>MAX((D5+D16),0)</f>
        <v>4627.1557964499998</v>
      </c>
      <c r="E18" s="21">
        <f>MAX((E5+E16),0)</f>
        <v>550.5737550166225</v>
      </c>
      <c r="F18" s="21">
        <f>MAX((F5+F16),0)</f>
        <v>1813.7222790750138</v>
      </c>
      <c r="G18" s="21"/>
      <c r="H18" s="21"/>
      <c r="I18" s="21"/>
      <c r="J18" s="21">
        <f>MAX((J5+J16),0)</f>
        <v>33.937907078148854</v>
      </c>
      <c r="K18" s="21"/>
      <c r="L18" s="21">
        <f>MAX((L5+L16),0)</f>
        <v>0</v>
      </c>
      <c r="M18" s="21"/>
      <c r="N18" s="21">
        <f>MAX((N5+N16),0)</f>
        <v>272.65833703606739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0.20051624195765427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1148.7592716073384</v>
      </c>
      <c r="C22" s="23">
        <f ca="1">C18*C20</f>
        <v>0</v>
      </c>
      <c r="D22" s="23">
        <f>D18*D20</f>
        <v>934.68547088290006</v>
      </c>
      <c r="E22" s="23">
        <f>E18*E20</f>
        <v>124.98024238877331</v>
      </c>
      <c r="F22" s="23">
        <f>F18*F20</f>
        <v>484.26384851302873</v>
      </c>
      <c r="G22" s="23"/>
      <c r="H22" s="23"/>
      <c r="I22" s="23"/>
      <c r="J22" s="23">
        <f>J18*J20</f>
        <v>12.014019105664694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36.163319000000001</v>
      </c>
      <c r="C30" s="39">
        <f>IF(ISERROR(B30*3.6/1000000/'E Balans VL '!Z18*100),0,B30*3.6/1000000/'E Balans VL '!Z18*100)</f>
        <v>2.0876519785195387E-3</v>
      </c>
      <c r="D30" s="237" t="s">
        <v>708</v>
      </c>
    </row>
    <row r="31" spans="1:18">
      <c r="A31" s="6" t="s">
        <v>32</v>
      </c>
      <c r="B31" s="37">
        <f>IF( ISERROR(IND_ander_ele_kWh/1000),0,IND_ander_ele_kWh/1000)</f>
        <v>1284.0576839999999</v>
      </c>
      <c r="C31" s="39">
        <f>IF(ISERROR(B31*3.6/1000000/'E Balans VL '!Z19*100),0,B31*3.6/1000000/'E Balans VL '!Z19*100)</f>
        <v>6.4583939393378337E-2</v>
      </c>
      <c r="D31" s="237" t="s">
        <v>708</v>
      </c>
    </row>
    <row r="32" spans="1:18">
      <c r="A32" s="171" t="s">
        <v>40</v>
      </c>
      <c r="B32" s="37">
        <f>IF( ISERROR(IND_voed_ele_kWh/1000),0,IND_voed_ele_kWh/1000)</f>
        <v>305.08855699999998</v>
      </c>
      <c r="C32" s="39">
        <f>IF(ISERROR(B32*3.6/1000000/'E Balans VL '!Z20*100),0,B32*3.6/1000000/'E Balans VL '!Z20*100)</f>
        <v>1.0161260639639473E-2</v>
      </c>
      <c r="D32" s="237" t="s">
        <v>708</v>
      </c>
    </row>
    <row r="33" spans="1:5">
      <c r="A33" s="171" t="s">
        <v>39</v>
      </c>
      <c r="B33" s="37">
        <f>IF( ISERROR(IND_textiel_ele_kWh/1000),0,IND_textiel_ele_kWh/1000)</f>
        <v>0</v>
      </c>
      <c r="C33" s="39">
        <f>IF(ISERROR(B33*3.6/1000000/'E Balans VL '!Z21*100),0,B33*3.6/1000000/'E Balans VL '!Z21*100)</f>
        <v>0</v>
      </c>
      <c r="D33" s="237" t="s">
        <v>708</v>
      </c>
    </row>
    <row r="34" spans="1:5">
      <c r="A34" s="171" t="s">
        <v>36</v>
      </c>
      <c r="B34" s="37">
        <f>IF( ISERROR(IND_min_ele_kWh/1000),0,IND_min_ele_kWh/1000)</f>
        <v>0</v>
      </c>
      <c r="C34" s="39">
        <f>IF(ISERROR(B34*3.6/1000000/'E Balans VL '!Z22*100),0,B34*3.6/1000000/'E Balans VL '!Z22*100)</f>
        <v>0</v>
      </c>
      <c r="D34" s="237" t="s">
        <v>708</v>
      </c>
    </row>
    <row r="35" spans="1:5">
      <c r="A35" s="171" t="s">
        <v>38</v>
      </c>
      <c r="B35" s="37">
        <f>IF( ISERROR(IND_papier_ele_kWh/1000),0,IND_papier_ele_kWh/1000)</f>
        <v>0</v>
      </c>
      <c r="C35" s="39">
        <f>IF(ISERROR(B35*3.6/1000000/'E Balans VL '!Z22*100),0,B35*3.6/1000000/'E Balans VL '!Z22*100)</f>
        <v>0</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4103.6990249999999</v>
      </c>
      <c r="C37" s="39">
        <f>IF(ISERROR(B37*3.6/1000000/'E Balans VL '!Z15*100),0,B37*3.6/1000000/'E Balans VL '!Z15*100)</f>
        <v>3.2020074498360897E-2</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2599.9425580000002</v>
      </c>
      <c r="C5" s="17">
        <f>'Eigen informatie GS &amp; warmtenet'!B62</f>
        <v>0</v>
      </c>
      <c r="D5" s="30">
        <f>IF(ISERROR(SUM(LB_lb_gas_kWh,LB_rest_gas_kWh)/1000),0,SUM(LB_lb_gas_kWh,LB_rest_gas_kWh)/1000)*0.902</f>
        <v>318.69167512600001</v>
      </c>
      <c r="E5" s="17">
        <f>B17*'E Balans VL '!I25/3.6*1000000/100</f>
        <v>81.143349879894473</v>
      </c>
      <c r="F5" s="17">
        <f>B17*('E Balans VL '!L25/3.6*1000000+'E Balans VL '!N25/3.6*1000000)/100</f>
        <v>9188.4850138391139</v>
      </c>
      <c r="G5" s="18"/>
      <c r="H5" s="17"/>
      <c r="I5" s="17"/>
      <c r="J5" s="17">
        <f>('E Balans VL '!D25+'E Balans VL '!E25)/3.6*1000000*landbouw!B17/100</f>
        <v>716.30220517262205</v>
      </c>
      <c r="K5" s="17"/>
      <c r="L5" s="17">
        <f>L6*(-1)</f>
        <v>0</v>
      </c>
      <c r="M5" s="17"/>
      <c r="N5" s="17">
        <f>N6*(-1)</f>
        <v>0</v>
      </c>
      <c r="O5" s="17"/>
      <c r="P5" s="17"/>
      <c r="R5" s="32"/>
    </row>
    <row r="6" spans="1:18">
      <c r="A6" s="16" t="s">
        <v>478</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2599.9425580000002</v>
      </c>
      <c r="C8" s="21">
        <f>C5+C6</f>
        <v>0</v>
      </c>
      <c r="D8" s="21">
        <f>MAX((D5+D6),0)</f>
        <v>318.69167512600001</v>
      </c>
      <c r="E8" s="21">
        <f>MAX((E5+E6),0)</f>
        <v>81.143349879894473</v>
      </c>
      <c r="F8" s="21">
        <f>MAX((F5+F6),0)</f>
        <v>9188.4850138391139</v>
      </c>
      <c r="G8" s="21"/>
      <c r="H8" s="21"/>
      <c r="I8" s="21"/>
      <c r="J8" s="21">
        <f>MAX((J5+J6),0)</f>
        <v>716.30220517262205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0.20051624195765427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521.33071103593056</v>
      </c>
      <c r="C12" s="23">
        <f ca="1">C8*C10</f>
        <v>0</v>
      </c>
      <c r="D12" s="23">
        <f>D8*D10</f>
        <v>64.37571837545201</v>
      </c>
      <c r="E12" s="23">
        <f>E8*E10</f>
        <v>18.419540422736045</v>
      </c>
      <c r="F12" s="23">
        <f>F8*F10</f>
        <v>2453.3254986950437</v>
      </c>
      <c r="G12" s="23"/>
      <c r="H12" s="23"/>
      <c r="I12" s="23"/>
      <c r="J12" s="23">
        <f>J8*J10</f>
        <v>253.5709806311082</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0.38650009940040225</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355.40212050431177</v>
      </c>
      <c r="C26" s="247">
        <f>B26*'GWP N2O_CH4'!B5</f>
        <v>7463.4445305905474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87.424694994397285</v>
      </c>
      <c r="C27" s="247">
        <f>B27*'GWP N2O_CH4'!B5</f>
        <v>1835.9185948823431</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4.6911574127060236</v>
      </c>
      <c r="C28" s="247">
        <f>B28*'GWP N2O_CH4'!B4</f>
        <v>1454.2587979388672</v>
      </c>
      <c r="D28" s="50"/>
    </row>
    <row r="29" spans="1:4">
      <c r="A29" s="41" t="s">
        <v>276</v>
      </c>
      <c r="B29" s="247">
        <f>B34*'ha_N2O bodem landbouw'!B4</f>
        <v>16.789914374489253</v>
      </c>
      <c r="C29" s="247">
        <f>B29*'GWP N2O_CH4'!B4</f>
        <v>5204.8734560916682</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3.6817259267142416E-3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1.8541868664652509E-4</v>
      </c>
      <c r="C5" s="437" t="s">
        <v>210</v>
      </c>
      <c r="D5" s="422">
        <f>SUM(D6:D11)</f>
        <v>7.166025299949018E-4</v>
      </c>
      <c r="E5" s="422">
        <f>SUM(E6:E11)</f>
        <v>6.0041492217173E-4</v>
      </c>
      <c r="F5" s="435" t="s">
        <v>210</v>
      </c>
      <c r="G5" s="422">
        <f>SUM(G6:G11)</f>
        <v>0.26964239692506348</v>
      </c>
      <c r="H5" s="422">
        <f>SUM(H6:H11)</f>
        <v>6.6676396017718256E-2</v>
      </c>
      <c r="I5" s="437" t="s">
        <v>210</v>
      </c>
      <c r="J5" s="437" t="s">
        <v>210</v>
      </c>
      <c r="K5" s="437" t="s">
        <v>210</v>
      </c>
      <c r="L5" s="437" t="s">
        <v>210</v>
      </c>
      <c r="M5" s="422">
        <f>SUM(M6:M11)</f>
        <v>1.9957342154952158E-2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1.3208046053260302E-4</v>
      </c>
      <c r="C6" s="423"/>
      <c r="D6" s="890">
        <f>vkm_GW_PW*SUMIFS(TableVerdeelsleutelVkm[CNG],TableVerdeelsleutelVkm[Voertuigtype],"Lichte voertuigen")*SUMIFS(TableECFTransport[EnergieConsumptieFactor (PJ per km)],TableECFTransport[Index],CONCATENATE($A6,"_CNG_CNG"))</f>
        <v>4.2548431315065353E-4</v>
      </c>
      <c r="E6" s="890">
        <f>vkm_GW_PW*SUMIFS(TableVerdeelsleutelVkm[LPG],TableVerdeelsleutelVkm[Voertuigtype],"Lichte voertuigen")*SUMIFS(TableECFTransport[EnergieConsumptieFactor (PJ per km)],TableECFTransport[Index],CONCATENATE($A6,"_LPG_LPG"))</f>
        <v>3.6386423141855851E-4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0.11754613595710463</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3.9859173791180626E-2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9.4146764769239416E-3</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6.7385151382591255E-2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9.6354716051747502E-7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3.8842422755111386E-3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5.3338226113922057E-5</v>
      </c>
      <c r="C8" s="423"/>
      <c r="D8" s="425">
        <f>vkm_NGW_PW*SUMIFS(TableVerdeelsleutelVkm[CNG],TableVerdeelsleutelVkm[Voertuigtype],"Lichte voertuigen")*SUMIFS(TableECFTransport[EnergieConsumptieFactor (PJ per km)],TableECFTransport[Index],CONCATENATE($A8,"_CNG_CNG"))</f>
        <v>2.9111821684424827E-4</v>
      </c>
      <c r="E8" s="425">
        <f>vkm_NGW_PW*SUMIFS(TableVerdeelsleutelVkm[LPG],TableVerdeelsleutelVkm[Voertuigtype],"Lichte voertuigen")*SUMIFS(TableECFTransport[EnergieConsumptieFactor (PJ per km)],TableECFTransport[Index],CONCATENATE($A8,"_LPG_LPG"))</f>
        <v>2.3655069075317146E-4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7.1407583511755024E-2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2.6816017488352197E-2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5.8915727728564779E-3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1.3303526073612569E-2</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2.4119102491798949E-7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7.6685062966060135E-4</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51.505190735145852</v>
      </c>
      <c r="C14" s="21"/>
      <c r="D14" s="21">
        <f t="shared" ref="D14:M14" si="0">((D5)*10^9/3600)+D12</f>
        <v>199.05625833191718</v>
      </c>
      <c r="E14" s="21">
        <f t="shared" si="0"/>
        <v>166.78192282548054</v>
      </c>
      <c r="F14" s="21"/>
      <c r="G14" s="21">
        <f t="shared" si="0"/>
        <v>74900.665812517633</v>
      </c>
      <c r="H14" s="21">
        <f t="shared" si="0"/>
        <v>18521.221116032848</v>
      </c>
      <c r="I14" s="21"/>
      <c r="J14" s="21"/>
      <c r="K14" s="21"/>
      <c r="L14" s="21"/>
      <c r="M14" s="21">
        <f t="shared" si="0"/>
        <v>5543.7061541533767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0.20051624195765427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10.327627287523638</v>
      </c>
      <c r="C18" s="23"/>
      <c r="D18" s="23">
        <f t="shared" ref="D18:M18" si="1">D14*D16</f>
        <v>40.209364183047271</v>
      </c>
      <c r="E18" s="23">
        <f t="shared" si="1"/>
        <v>37.859496481384085</v>
      </c>
      <c r="F18" s="23"/>
      <c r="G18" s="23">
        <f t="shared" si="1"/>
        <v>19998.477771942209</v>
      </c>
      <c r="H18" s="23">
        <f t="shared" si="1"/>
        <v>4611.7840578921787</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2.1742294134902852E-3</v>
      </c>
      <c r="H50" s="319">
        <f t="shared" si="2"/>
        <v>0</v>
      </c>
      <c r="I50" s="319">
        <f t="shared" si="2"/>
        <v>0</v>
      </c>
      <c r="J50" s="319">
        <f t="shared" si="2"/>
        <v>0</v>
      </c>
      <c r="K50" s="319">
        <f t="shared" si="2"/>
        <v>0</v>
      </c>
      <c r="L50" s="319">
        <f t="shared" si="2"/>
        <v>0</v>
      </c>
      <c r="M50" s="319">
        <f t="shared" si="2"/>
        <v>1.2082489903847639E-4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2.1742294134902852E-3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1.2082489903847639E-4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603.95261485841252</v>
      </c>
      <c r="H54" s="21">
        <f t="shared" si="3"/>
        <v>0</v>
      </c>
      <c r="I54" s="21">
        <f t="shared" si="3"/>
        <v>0</v>
      </c>
      <c r="J54" s="21">
        <f t="shared" si="3"/>
        <v>0</v>
      </c>
      <c r="K54" s="21">
        <f t="shared" si="3"/>
        <v>0</v>
      </c>
      <c r="L54" s="21">
        <f t="shared" si="3"/>
        <v>0</v>
      </c>
      <c r="M54" s="21">
        <f t="shared" si="3"/>
        <v>33.562471955132331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0.20051624195765427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161.25534816719616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4317.4238534990964</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N29</f>
        <v>0</v>
      </c>
      <c r="C8" s="548">
        <f>B48</f>
        <v>0</v>
      </c>
      <c r="D8" s="549"/>
      <c r="E8" s="549">
        <f>E48</f>
        <v>0</v>
      </c>
      <c r="F8" s="550"/>
      <c r="G8" s="551"/>
      <c r="H8" s="549">
        <f>I48</f>
        <v>0</v>
      </c>
      <c r="I8" s="549">
        <f>G48+F48</f>
        <v>0</v>
      </c>
      <c r="J8" s="549">
        <f>H48+D48+C48</f>
        <v>0</v>
      </c>
      <c r="K8" s="549"/>
      <c r="L8" s="549"/>
      <c r="M8" s="549"/>
      <c r="N8" s="552"/>
      <c r="O8" s="553">
        <f>C8*$C$12+D8*$D$12+E8*$E$12+F8*$F$12+G8*$G$12+H8*$H$12+I8*$I$12+J8*$J$12</f>
        <v>0</v>
      </c>
      <c r="P8" s="1244"/>
      <c r="Q8" s="1245"/>
      <c r="S8" s="543"/>
      <c r="T8" s="1232"/>
      <c r="U8" s="1232"/>
    </row>
    <row r="9" spans="1:21" s="534" customFormat="1" ht="17.45" customHeight="1" thickBot="1">
      <c r="A9" s="554" t="s">
        <v>247</v>
      </c>
      <c r="B9" s="555">
        <f>N36+'Eigen informatie GS &amp; warmtenet'!B12</f>
        <v>0</v>
      </c>
      <c r="C9" s="556">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4317.4238534990964</v>
      </c>
      <c r="C10" s="563">
        <f t="shared" ref="C10:L10" si="0">SUM(C8:C9)</f>
        <v>0</v>
      </c>
      <c r="D10" s="563">
        <f t="shared" si="0"/>
        <v>0</v>
      </c>
      <c r="E10" s="563">
        <f t="shared" si="0"/>
        <v>0</v>
      </c>
      <c r="F10" s="563">
        <f t="shared" si="0"/>
        <v>0</v>
      </c>
      <c r="G10" s="563">
        <f t="shared" si="0"/>
        <v>0</v>
      </c>
      <c r="H10" s="563">
        <f t="shared" si="0"/>
        <v>0</v>
      </c>
      <c r="I10" s="563">
        <f t="shared" si="0"/>
        <v>0</v>
      </c>
      <c r="J10" s="563">
        <f t="shared" si="0"/>
        <v>0</v>
      </c>
      <c r="K10" s="563">
        <f t="shared" si="0"/>
        <v>0</v>
      </c>
      <c r="L10" s="563">
        <f t="shared" si="0"/>
        <v>0</v>
      </c>
      <c r="M10" s="971"/>
      <c r="N10" s="971"/>
      <c r="O10" s="564">
        <f>SUM(O4:O9)</f>
        <v>0</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O29</f>
        <v>0</v>
      </c>
      <c r="C17" s="579">
        <f>B49</f>
        <v>0</v>
      </c>
      <c r="D17" s="580"/>
      <c r="E17" s="580">
        <f>E49</f>
        <v>0</v>
      </c>
      <c r="F17" s="581"/>
      <c r="G17" s="582"/>
      <c r="H17" s="579">
        <f>I49</f>
        <v>0</v>
      </c>
      <c r="I17" s="580">
        <f>G49+F49</f>
        <v>0</v>
      </c>
      <c r="J17" s="580">
        <f>H49+D49+C49</f>
        <v>0</v>
      </c>
      <c r="K17" s="580"/>
      <c r="L17" s="580"/>
      <c r="M17" s="580"/>
      <c r="N17" s="972"/>
      <c r="O17" s="583">
        <f>C17*$C$22+E17*$E$22+H17*$H$22+I17*$I$22+J17*$J$22+D17*$D$22+F17*$F$22+G17*$G$22+K17*$K$22+L17*$L$22</f>
        <v>0</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0</v>
      </c>
      <c r="C20" s="562">
        <f>SUM(C17:C19)</f>
        <v>0</v>
      </c>
      <c r="D20" s="562">
        <f t="shared" ref="D20:L20" si="1">SUM(D17:D19)</f>
        <v>0</v>
      </c>
      <c r="E20" s="562">
        <f t="shared" si="1"/>
        <v>0</v>
      </c>
      <c r="F20" s="562">
        <f t="shared" si="1"/>
        <v>0</v>
      </c>
      <c r="G20" s="562">
        <f t="shared" si="1"/>
        <v>0</v>
      </c>
      <c r="H20" s="562">
        <f t="shared" si="1"/>
        <v>0</v>
      </c>
      <c r="I20" s="562">
        <f t="shared" si="1"/>
        <v>0</v>
      </c>
      <c r="J20" s="562">
        <f t="shared" si="1"/>
        <v>0</v>
      </c>
      <c r="K20" s="562">
        <f t="shared" si="1"/>
        <v>0</v>
      </c>
      <c r="L20" s="562">
        <f t="shared" si="1"/>
        <v>0</v>
      </c>
      <c r="M20" s="562"/>
      <c r="N20" s="562"/>
      <c r="O20" s="588">
        <f>SUM(O17:O19)</f>
        <v>0</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91"/>
      <c r="C28" s="791"/>
      <c r="D28" s="640"/>
      <c r="E28" s="639"/>
      <c r="F28" s="639"/>
      <c r="G28" s="639"/>
      <c r="H28" s="639"/>
      <c r="I28" s="639"/>
      <c r="J28" s="790"/>
      <c r="K28" s="790"/>
      <c r="L28" s="639"/>
      <c r="M28" s="639"/>
      <c r="N28" s="639"/>
      <c r="O28" s="639"/>
      <c r="P28" s="639"/>
      <c r="Q28" s="639"/>
      <c r="R28" s="639"/>
      <c r="S28" s="639"/>
      <c r="T28" s="639"/>
      <c r="U28" s="639"/>
      <c r="V28" s="639"/>
      <c r="W28" s="639"/>
      <c r="X28" s="639"/>
      <c r="Y28" s="639"/>
      <c r="Z28" s="641"/>
    </row>
    <row r="29" spans="1:26" s="573"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3"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3"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3"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34" customFormat="1" ht="15.75" thickBot="1">
      <c r="A33" s="605"/>
      <c r="B33" s="606"/>
      <c r="C33" s="606"/>
      <c r="D33" s="606"/>
      <c r="E33" s="606"/>
      <c r="F33" s="606"/>
      <c r="G33" s="606"/>
      <c r="H33" s="606"/>
      <c r="I33" s="606"/>
      <c r="J33" s="606"/>
      <c r="K33" s="606"/>
      <c r="L33" s="589"/>
      <c r="M33" s="589"/>
      <c r="N33" s="589"/>
      <c r="O33" s="590"/>
      <c r="P33" s="590"/>
    </row>
    <row r="34" spans="1:27" s="53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524</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91"/>
      <c r="C35" s="791"/>
      <c r="D35" s="642"/>
      <c r="E35" s="642"/>
      <c r="F35" s="642"/>
      <c r="G35" s="642"/>
      <c r="H35" s="642"/>
      <c r="I35" s="642"/>
      <c r="J35" s="790"/>
      <c r="K35" s="790"/>
      <c r="L35" s="642"/>
      <c r="M35" s="642"/>
      <c r="N35" s="642"/>
      <c r="O35" s="642"/>
      <c r="P35" s="642"/>
      <c r="Q35" s="642"/>
      <c r="R35" s="642"/>
      <c r="S35" s="642"/>
      <c r="T35" s="642"/>
      <c r="U35" s="642"/>
      <c r="V35" s="642"/>
      <c r="W35" s="642"/>
      <c r="X35" s="642"/>
      <c r="Y35" s="642"/>
      <c r="Z35" s="643"/>
    </row>
    <row r="36" spans="1:27" s="573"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3"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3"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3"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524</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69"/>
      <c r="K50" s="569"/>
      <c r="L50" s="569"/>
      <c r="M50" s="569"/>
      <c r="N50" s="569"/>
    </row>
    <row r="51" spans="1:16">
      <c r="J51" s="569"/>
      <c r="K51" s="569"/>
      <c r="L51" s="569"/>
      <c r="M51" s="569"/>
      <c r="N51"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2020-06-20T15:36:03Z</dcterms:modified>
</cp:coreProperties>
</file>