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F6" i="17" s="1"/>
  <c r="R35" i="18"/>
  <c r="Q35" i="18"/>
  <c r="P35" i="18"/>
  <c r="D6" i="17" s="1"/>
  <c r="O35" i="18"/>
  <c r="C6" i="17" s="1"/>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D16" i="16"/>
  <c r="G20" i="59"/>
  <c r="B13" i="15"/>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10" i="17"/>
  <c r="C12" i="17" s="1"/>
  <c r="D54" i="14" s="1"/>
  <c r="D56" i="14" s="1"/>
  <c r="C18" i="15"/>
  <c r="C20" i="15" s="1"/>
  <c r="D40" i="14" s="1"/>
  <c r="C10" i="13"/>
  <c r="C12" i="13" s="1"/>
  <c r="D41" i="14" s="1"/>
  <c r="D46" i="14" s="1"/>
  <c r="D61" i="14" s="1"/>
  <c r="D63" i="14" s="1"/>
  <c r="C20" i="16"/>
  <c r="C22" i="16" s="1"/>
  <c r="D43" i="14" s="1"/>
  <c r="C17" i="49"/>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<sst xmlns="http://schemas.openxmlformats.org/spreadsheetml/2006/main" count="2437" uniqueCount="906">
  <si>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</si>
  <si>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</si>
  <si>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</si>
  <si>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</si>
  <si>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</si>
  <si>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</si>
  <si>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</si>
  <si>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</si>
  <si>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</si>
  <si>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</si>
  <si>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</si>
  <si>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</si>
  <si>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</si>
  <si>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</si>
  <si>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</si>
  <si>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</si>
  <si>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</si>
  <si>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</si>
  <si>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</si>
  <si>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</si>
  <si>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</si>
  <si>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</si>
  <si>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</si>
  <si>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</si>
  <si>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</si>
  <si>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</si>
  <si>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</si>
  <si>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</si>
  <si>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</si>
  <si>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</si>
  <si>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</si>
  <si>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</si>
  <si>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</si>
  <si>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</si>
  <si>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</si>
  <si>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</si>
  <si>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</si>
  <si>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</si>
  <si>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</si>
  <si>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</si>
  <si>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</si>
  <si>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</si>
  <si>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</si>
  <si>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</si>
  <si>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</si>
  <si>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</si>
  <si>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</si>
  <si>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</si>
  <si>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</si>
  <si>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</si>
  <si>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</si>
  <si>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</si>
  <si>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</si>
  <si>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</si>
  <si>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</si>
  <si>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</si>
  <si>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</si>
  <si>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</si>
  <si>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</si>
  <si>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</si>
  <si>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</si>
  <si>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</si>
  <si>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</si>
  <si>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</si>
  <si>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</si>
  <si>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</si>
  <si>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</si>
  <si>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</si>
  <si>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</si>
  <si>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</si>
  <si>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</si>
  <si>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</si>
  <si>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</si>
  <si>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</si>
  <si>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</si>
  <si>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</si>
  <si>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</si>
  <si>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</si>
  <si>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</si>
  <si>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</si>
  <si>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</si>
  <si>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</si>
  <si>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</si>
  <si>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</si>
  <si>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</si>
  <si>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</si>
  <si>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</si>
  <si>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</si>
  <si>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</si>
  <si>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</si>
  <si>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</si>
  <si>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</si>
  <si>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</si>
  <si>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</si>
  <si>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</si>
  <si>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</si>
  <si>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</si>
  <si>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</si>
  <si>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</si>
  <si>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</si>
  <si>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</si>
  <si>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</si>
  <si>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</si>
  <si>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</si>
  <si>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</si>
  <si>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</si>
  <si>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</si>
  <si>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</si>
  <si>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</si>
  <si>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</si>
  <si>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</si>
  <si>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</si>
  <si>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</si>
  <si>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</si>
  <si>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</si>
  <si>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</si>
  <si>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</si>
  <si>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</si>
  <si>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</si>
  <si>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</si>
  <si>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</si>
  <si>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</si>
  <si>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</si>
  <si>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</si>
  <si>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</si>
  <si>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</si>
  <si>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</si>
  <si>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</si>
  <si>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</si>
  <si>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</si>
  <si>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</si>
  <si>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</si>
  <si>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</si>
  <si>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</si>
  <si>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</si>
  <si>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</si>
  <si>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</si>
  <si>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</si>
  <si>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</si>
  <si>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</si>
  <si>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</si>
  <si>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</si>
  <si>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</si>
  <si>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</si>
  <si>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</si>
  <si>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</si>
  <si>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</si>
  <si>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</si>
  <si>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</si>
  <si>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</si>
  <si>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</si>
  <si>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</si>
  <si>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</si>
  <si>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</si>
  <si>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</si>
  <si>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</si>
  <si>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</si>
  <si>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</si>
  <si>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</si>
  <si>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</si>
  <si>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</si>
  <si>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</si>
  <si>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</si>
  <si>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</si>
  <si>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</si>
  <si>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</si>
  <si>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</si>
  <si>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</si>
  <si>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</si>
  <si>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</si>
  <si>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</si>
  <si>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</si>
  <si>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</si>
  <si>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</si>
  <si>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</si>
  <si>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</si>
  <si>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</si>
  <si>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</si>
  <si>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</si>
  <si>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</si>
  <si>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</si>
  <si>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</si>
  <si>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</si>
  <si>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</si>
  <si>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</si>
  <si>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</si>
  <si>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</si>
  <si>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</si>
  <si>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</si>
  <si>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</si>
  <si>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</si>
  <si>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</si>
  <si>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</si>
  <si>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</si>
  <si>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</si>
  <si>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</si>
  <si>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</si>
  <si>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</si>
  <si>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</si>
  <si>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</si>
  <si>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</si>
  <si>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</si>
  <si>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</si>
  <si>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</si>
  <si>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</si>
  <si>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</si>
  <si>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</si>
  <si>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</si>
  <si>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</si>
  <si>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</si>
  <si>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</si>
  <si>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</si>
  <si>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</si>
  <si>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</si>
  <si>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</si>
  <si>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</si>
  <si>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</si>
  <si>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</si>
  <si>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</si>
  <si>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</si>
  <si>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</si>
  <si>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</si>
  <si>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</si>
  <si>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</si>
  <si>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</si>
  <si>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</si>
  <si>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</si>
  <si>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</si>
  <si>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</si>
  <si>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</si>
  <si>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</si>
  <si>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</si>
  <si>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</si>
  <si>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</si>
  <si>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</si>
  <si>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</si>
  <si>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</si>
  <si>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</si>
  <si>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</si>
  <si>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</si>
  <si>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</si>
  <si>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</si>
  <si>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</si>
  <si>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</si>
  <si>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</si>
  <si>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</si>
  <si>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</si>
  <si>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</si>
  <si>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</si>
  <si>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</si>
  <si>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</si>
  <si>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</si>
  <si>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</si>
  <si>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</si>
  <si>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</si>
  <si>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</si>
  <si>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</si>
  <si>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</si>
  <si>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</si>
  <si>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</si>
  <si>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</si>
  <si>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</si>
  <si>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</si>
  <si>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</si>
  <si>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</si>
  <si>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</si>
  <si>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</si>
  <si>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</si>
  <si>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</si>
  <si>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</si>
  <si>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</si>
  <si>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</si>
  <si>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</si>
  <si>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</si>
  <si>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</si>
  <si>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</si>
  <si>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</si>
  <si>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</si>
  <si>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</si>
  <si>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</si>
  <si>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</si>
  <si>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</si>
  <si>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</si>
  <si>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</si>
  <si>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</si>
  <si>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</si>
  <si>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</si>
  <si>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</si>
  <si>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</si>
  <si>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</si>
  <si>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</si>
  <si>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</si>
  <si>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</si>
  <si>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</si>
  <si>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</si>
  <si>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</si>
  <si>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</si>
  <si>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</si>
  <si>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</si>
  <si>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</si>
  <si>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</si>
  <si>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</si>
  <si>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</si>
  <si>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</si>
  <si>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</si>
  <si>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</si>
  <si>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</si>
  <si>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</si>
  <si>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</si>
  <si>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</si>
  <si>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</si>
  <si>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</si>
  <si>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</si>
  <si>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</si>
  <si>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</si>
  <si>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</si>
  <si>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</si>
  <si>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</si>
  <si>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</si>
  <si>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</si>
  <si>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</si>
  <si>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</si>
  <si>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</si>
  <si>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</si>
  <si>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</si>
  <si>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</si>
  <si>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</si>
  <si>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</si>
  <si>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</si>
  <si>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</si>
  <si>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</si>
  <si>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</si>
  <si>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</si>
  <si>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</si>
  <si>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</si>
  <si>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</si>
  <si>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</si>
  <si>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</si>
  <si>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</si>
  <si>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</si>
  <si>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</si>
  <si>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</si>
  <si>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</si>
  <si>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</si>
  <si>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</si>
  <si>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</si>
  <si>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</si>
  <si>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</si>
  <si>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</si>
  <si>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</si>
  <si>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</si>
  <si>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</si>
  <si>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</si>
  <si>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</si>
  <si>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</si>
  <si>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</si>
  <si>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</si>
  <si>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</si>
  <si>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</si>
  <si>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</si>
  <si>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</si>
  <si>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</si>
  <si>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</si>
  <si>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</si>
  <si>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</si>
  <si>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</si>
  <si>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</si>
  <si>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</si>
  <si>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</si>
  <si>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</si>
  <si>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</si>
  <si>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</si>
  <si>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</si>
  <si>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</si>
  <si>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</si>
  <si>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</si>
  <si>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</si>
  <si>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</si>
  <si>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</si>
  <si>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</si>
  <si>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</si>
  <si>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</si>
  <si>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</si>
  <si>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</si>
  <si>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</si>
  <si>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</si>
  <si>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</si>
  <si>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</si>
  <si>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</si>
  <si>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</si>
  <si>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</si>
  <si>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</si>
  <si>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</si>
  <si>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</si>
  <si>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</si>
  <si>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</si>
  <si>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</si>
  <si>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</si>
  <si>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</si>
  <si>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</si>
  <si>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</si>
  <si>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</si>
  <si>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</si>
  <si>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</si>
  <si>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</si>
  <si>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</si>
  <si>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</si>
  <si>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</si>
  <si>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</si>
  <si>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</si>
  <si>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</si>
  <si>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</si>
  <si>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</si>
  <si>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</si>
  <si>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</si>
  <si>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</si>
  <si>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</si>
  <si>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</si>
  <si>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</si>
  <si>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</si>
  <si>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</si>
  <si>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</si>
  <si>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</si>
  <si>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</si>
  <si>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</si>
  <si>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</si>
  <si>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</si>
  <si>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</si>
  <si>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</si>
  <si>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</si>
  <si>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</si>
  <si>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</si>
  <si>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</si>
  <si>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</si>
  <si>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</si>
  <si>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</si>
  <si>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</si>
  <si>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</si>
  <si>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</si>
  <si>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</si>
  <si>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</si>
  <si>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</si>
  <si>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</si>
  <si>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</si>
  <si>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</si>
  <si>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</si>
  <si>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</si>
  <si>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</si>
  <si>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</si>
  <si>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</si>
  <si>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</si>
  <si>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</si>
  <si>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</si>
  <si>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</si>
  <si>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</si>
  <si>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</si>
  <si>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</si>
  <si>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</si>
  <si>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</si>
  <si>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</si>
  <si>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</si>
  <si>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</si>
  <si>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</si>
  <si>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</si>
  <si>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</si>
  <si>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</si>
  <si>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</si>
  <si>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</si>
  <si>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</si>
  <si>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</si>
  <si>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</si>
  <si>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</si>
  <si>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</si>
  <si>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</si>
  <si>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</si>
  <si>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</si>
  <si>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</si>
  <si>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</si>
  <si>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</si>
  <si>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</si>
  <si>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</si>
  <si>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</si>
  <si>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</si>
  <si>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</si>
  <si>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</si>
  <si>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</si>
  <si>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</si>
  <si>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</si>
  <si>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</si>
  <si>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</si>
  <si>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</si>
  <si>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</si>
  <si>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</si>
  <si>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</si>
  <si>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</si>
  <si>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</si>
  <si>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</si>
  <si>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</si>
  <si>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</si>
  <si>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</si>
  <si>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</si>
  <si>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</si>
  <si>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</si>
  <si>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</si>
  <si>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</si>
  <si>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</si>
  <si>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</si>
  <si>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</si>
  <si>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</si>
  <si>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</si>
  <si>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</si>
  <si>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</si>
  <si>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</si>
  <si>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</si>
  <si>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</si>
  <si>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</si>
  <si>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</si>
  <si>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</si>
  <si>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</si>
  <si>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</si>
  <si>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</si>
  <si>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</si>
  <si>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</si>
  <si>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</si>
  <si>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</si>
  <si>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</si>
  <si>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</si>
  <si>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</si>
  <si>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</si>
  <si>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</si>
  <si>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</si>
  <si>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</si>
  <si>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</si>
  <si>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</si>
  <si>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</si>
  <si>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</si>
  <si>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</si>
  <si>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</si>
  <si>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</si>
  <si>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</si>
  <si>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</si>
  <si>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</si>
  <si>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</si>
  <si>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</si>
  <si>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</si>
  <si>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</si>
  <si>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</si>
  <si>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</si>
  <si>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</si>
  <si>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</si>
  <si>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</si>
  <si>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</si>
  <si>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</si>
  <si>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</si>
  <si>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</si>
  <si>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</si>
  <si>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</si>
  <si>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</si>
  <si>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</si>
  <si>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</si>
  <si>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</si>
  <si>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</si>
  <si>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</si>
  <si>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</si>
  <si>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</si>
  <si>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</si>
  <si>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</si>
  <si>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</si>
  <si>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</si>
  <si>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</si>
  <si>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</si>
  <si>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</si>
  <si>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</si>
  <si>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</si>
  <si>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</si>
  <si>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</si>
  <si>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</si>
  <si>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</si>
  <si>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</si>
  <si>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</si>
  <si>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</si>
  <si>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</si>
  <si>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</si>
  <si>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</si>
  <si>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</si>
  <si>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</si>
  <si>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</si>
  <si>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</si>
  <si>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</si>
  <si>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</si>
  <si>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</si>
  <si>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</si>
  <si>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</si>
  <si>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</si>
  <si>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</si>
  <si>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</si>
  <si>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</si>
  <si>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</si>
  <si>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</si>
  <si>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</si>
  <si>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</si>
  <si>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</si>
  <si>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</si>
  <si>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</si>
  <si>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</si>
  <si>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</si>
  <si>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</si>
  <si>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</si>
  <si>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</si>
  <si>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</si>
  <si>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</si>
  <si>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</si>
  <si>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</si>
  <si>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</si>
  <si>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</si>
  <si>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</si>
  <si>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</si>
  <si>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</si>
  <si>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</si>
  <si>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</si>
  <si>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</si>
  <si>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</si>
  <si>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</si>
  <si>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</si>
  <si>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</si>
  <si>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</si>
  <si>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</si>
  <si>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</si>
  <si>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</si>
  <si>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</si>
  <si>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</si>
  <si>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</si>
  <si>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</si>
  <si>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</si>
  <si>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</si>
  <si>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</si>
  <si>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</si>
  <si>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</si>
  <si>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</si>
  <si>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</si>
  <si>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</si>
  <si>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</si>
  <si>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</si>
  <si>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</si>
  <si>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</si>
  <si>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</si>
  <si>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</si>
  <si>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</si>
  <si>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</si>
  <si>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</si>
  <si>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</si>
  <si>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</si>
  <si>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</si>
  <si>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</si>
  <si>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</si>
  <si>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</si>
  <si>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</si>
  <si>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</si>
  <si>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</si>
  <si>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</si>
  <si>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</si>
  <si>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</si>
  <si>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</si>
  <si>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</si>
  <si>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</si>
  <si>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</si>
  <si>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</si>
  <si>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</si>
  <si>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</si>
  <si>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</si>
  <si>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</si>
  <si>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</si>
  <si>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</si>
  <si>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</si>
  <si>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</si>
  <si>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</si>
  <si>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</si>
  <si>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</si>
  <si>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</si>
  <si>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</si>
  <si>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</si>
  <si>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</si>
  <si>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</si>
  <si>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</si>
  <si>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</si>
  <si>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</si>
  <si>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</si>
  <si>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</si>
  <si>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</si>
  <si>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</si>
  <si>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</si>
  <si>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</si>
  <si>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</si>
  <si>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</si>
  <si>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</si>
  <si>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</si>
  <si>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</si>
  <si>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</si>
  <si>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</si>
  <si>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</si>
  <si>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</si>
  <si>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</si>
  <si>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</si>
  <si>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</si>
  <si>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</si>
  <si>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</si>
  <si>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</si>
  <si>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</si>
  <si>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</si>
  <si>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</si>
  <si>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</si>
  <si>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</si>
  <si>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</si>
  <si>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</si>
  <si>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</si>
  <si>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</si>
  <si>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</si>
  <si>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</si>
  <si>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</si>
  <si>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</si>
  <si>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</si>
  <si>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</si>
  <si>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</si>
  <si>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</si>
  <si>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</si>
  <si>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</si>
  <si>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</si>
  <si>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</si>
  <si>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</si>
  <si>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</si>
  <si>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</si>
  <si>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</si>
  <si>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</si>
  <si>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</si>
  <si>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</si>
  <si>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</si>
  <si>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</si>
  <si>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</si>
  <si>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</si>
  <si>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</si>
  <si>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</si>
  <si>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</si>
  <si>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</si>
  <si>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</si>
  <si>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</si>
  <si>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</si>
  <si>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</si>
  <si>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</si>
  <si>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</si>
  <si>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</si>
  <si>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</si>
  <si>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</si>
  <si>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</si>
  <si>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</si>
  <si>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</si>
  <si>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</si>
  <si>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</si>
  <si>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</si>
  <si>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</si>
  <si>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</si>
  <si>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</si>
  <si>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</si>
  <si>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</si>
  <si>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</si>
  <si>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</si>
  <si>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</si>
  <si>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</si>
  <si>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</si>
  <si>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</si>
  <si>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</si>
  <si>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</si>
  <si>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</si>
  <si>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</si>
  <si>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</si>
  <si>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</si>
  <si>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</si>
  <si>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</si>
  <si>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</si>
  <si>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</si>
  <si>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</si>
  <si>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</si>
  <si>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</si>
  <si>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</si>
  <si>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</si>
  <si>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</si>
  <si>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</si>
  <si>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</si>
  <si>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</si>
  <si>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</si>
  <si>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</si>
  <si>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</si>
  <si>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</si>
  <si>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</si>
  <si>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</si>
  <si>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</si>
  <si>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</si>
  <si>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</si>
  <si>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</si>
  <si>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</si>
  <si>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</si>
  <si>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</si>
  <si>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</si>
  <si>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</si>
  <si>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</si>
  <si>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</si>
  <si>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</si>
  <si>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</si>
  <si>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</si>
  <si>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</si>
  <si>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</si>
  <si>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</si>
  <si>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</si>
  <si>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</si>
  <si>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</si>
  <si>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</si>
  <si>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</si>
  <si>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</si>
  <si>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</si>
  <si>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</si>
  <si>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</si>
  <si>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</si>
  <si>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</si>
  <si>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</si>
  <si>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</si>
  <si>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</si>
  <si>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</si>
  <si>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</si>
  <si>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</si>
  <si>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</si>
  <si>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</si>
  <si>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</si>
  <si>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</si>
  <si>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</si>
  <si>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</si>
  <si>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</si>
  <si>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</si>
  <si>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</si>
  <si>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</si>
  <si>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</si>
  <si>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</si>
  <si>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</si>
  <si>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</si>
  <si>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</si>
  <si>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</si>
  <si>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</si>
  <si>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</si>
  <si>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</si>
  <si>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</si>
  <si>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</si>
  <si>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</si>
  <si>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</si>
  <si>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</si>
  <si>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</si>
  <si>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</si>
  <si>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</si>
  <si>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</si>
  <si>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</si>
  <si>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</si>
  <si>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</si>
  <si>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</si>
  <si>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</si>
  <si>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</si>
  <si>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</si>
  <si>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</si>
  <si>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</si>
  <si>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</si>
  <si>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</si>
  <si>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</si>
  <si>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</si>
  <si>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</si>
  <si>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</si>
  <si>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</si>
  <si>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</si>
  <si>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</si>
  <si>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</si>
  <si>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</si>
  <si>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</si>
  <si>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</si>
  <si>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</si>
  <si>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</si>
  <si>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</si>
  <si>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</si>
  <si>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</si>
  <si>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</si>
  <si>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</si>
  <si>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44049</t>
  </si>
  <si>
    <t>NEVELE</t>
  </si>
  <si>
    <t>referentietaak LNE (2017); Jaarverslag De Lijn</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</si>
  <si>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</si>
  <si>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</si>
  <si>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</si>
  <si>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</si>
  <si>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</si>
  <si>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</si>
  <si>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</si>
  <si>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</si>
  <si>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</si>
  <si>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</si>
  <si>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</si>
  <si>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</si>
  <si>
    <t>Langeraert</t>
  </si>
  <si>
    <t>WKK-0849</t>
  </si>
  <si>
    <t>Brandstofcel</t>
  </si>
  <si>
    <t>brandstofcel</t>
  </si>
  <si>
    <t>Eikendreef 3</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</si>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</sst>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108802.25472907796</c:v>
                </c:pt>
                <c:pt idx="1">
                  <c:v>28290.925972136567</c:v>
                </c:pt>
                <c:pt idx="2">
                  <c:v>1187.2860000000001</c:v>
                </c:pt>
                <c:pt idx="3">
                  <c:v>70152.983512600753</c:v>
                </c:pt>
                <c:pt idx="4">
                  <c:v>6400.7516558738353</c:v>
                </c:pt>
                <c:pt idx="5">
                  <c:v>279456.54694013199</c:v>
                </c:pt>
                <c:pt idx="6">
                  <c:v>339.98643187386114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108802.25472907796</c:v>
                </c:pt>
                <c:pt idx="1">
                  <c:v>28290.925972136567</c:v>
                </c:pt>
                <c:pt idx="2">
                  <c:v>1187.2860000000001</c:v>
                </c:pt>
                <c:pt idx="3">
                  <c:v>70152.983512600753</c:v>
                </c:pt>
                <c:pt idx="4">
                  <c:v>6400.7516558738353</c:v>
                </c:pt>
                <c:pt idx="5">
                  <c:v>279456.54694013199</c:v>
                </c:pt>
                <c:pt idx="6">
                  <c:v>339.98643187386114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20145.652038822347</c:v>
                </c:pt>
                <c:pt idx="1">
                  <c:v>5617.7875984637158</c:v>
                </c:pt>
                <c:pt idx="2">
                  <c:v>247.9701222907708</c:v>
                </c:pt>
                <c:pt idx="3">
                  <c:v>16617.894946858847</c:v>
                </c:pt>
                <c:pt idx="4">
                  <c:v>1360.8249289264127</c:v>
                </c:pt>
                <c:pt idx="5">
                  <c:v>69670.727803978953</c:v>
                </c:pt>
                <c:pt idx="6">
                  <c:v>85.997385125376411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20145.652038822347</c:v>
                </c:pt>
                <c:pt idx="1">
                  <c:v>5617.7875984637158</c:v>
                </c:pt>
                <c:pt idx="2">
                  <c:v>247.9701222907708</c:v>
                </c:pt>
                <c:pt idx="3">
                  <c:v>16617.894946858847</c:v>
                </c:pt>
                <c:pt idx="4">
                  <c:v>1360.8249289264127</c:v>
                </c:pt>
                <c:pt idx="5">
                  <c:v>69670.727803978953</c:v>
                </c:pt>
                <c:pt idx="6">
                  <c:v>85.997385125376411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44049</v>
      </c>
      <c r="B6" s="390"/>
      <c r="C6" s="391"/>
    </row>
    <row r="7" spans="1:7" s="388" customFormat="1" ht="15.75" customHeight="1">
      <c r="A7" s="392" t="str">
        <f>txtMunicipality</f>
        <v>NEVELE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0.20885458288126937</v>
      </c>
      <c r="C17" s="501">
        <f ca="1">'EF ele_warmte'!B22</f>
        <v>0.23764315717702914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0.20885458288126937</v>
      </c>
      <c r="C29" s="502">
        <f ca="1">'EF ele_warmte'!B22</f>
        <v>0.23764315717702914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4938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3467.26</v>
      </c>
      <c r="C14" s="330"/>
      <c r="D14" s="330"/>
      <c r="E14" s="330"/>
      <c r="F14" s="330"/>
    </row>
    <row r="15" spans="1:6">
      <c r="A15" s="1298" t="s">
        <v>183</v>
      </c>
      <c r="B15" s="1299">
        <v>579</v>
      </c>
      <c r="C15" s="330"/>
      <c r="D15" s="330"/>
      <c r="E15" s="330"/>
      <c r="F15" s="330"/>
    </row>
    <row r="16" spans="1:6">
      <c r="A16" s="1298" t="s">
        <v>6</v>
      </c>
      <c r="B16" s="1299">
        <v>1842</v>
      </c>
      <c r="C16" s="330"/>
      <c r="D16" s="330"/>
      <c r="E16" s="330"/>
      <c r="F16" s="330"/>
    </row>
    <row r="17" spans="1:6">
      <c r="A17" s="1298" t="s">
        <v>7</v>
      </c>
      <c r="B17" s="1299">
        <v>1044</v>
      </c>
      <c r="C17" s="330"/>
      <c r="D17" s="330"/>
      <c r="E17" s="330"/>
      <c r="F17" s="330"/>
    </row>
    <row r="18" spans="1:6">
      <c r="A18" s="1298" t="s">
        <v>8</v>
      </c>
      <c r="B18" s="1299">
        <v>1809</v>
      </c>
      <c r="C18" s="330"/>
      <c r="D18" s="330"/>
      <c r="E18" s="330"/>
      <c r="F18" s="330"/>
    </row>
    <row r="19" spans="1:6">
      <c r="A19" s="1298" t="s">
        <v>9</v>
      </c>
      <c r="B19" s="1299">
        <v>1856</v>
      </c>
      <c r="C19" s="330"/>
      <c r="D19" s="330"/>
      <c r="E19" s="330"/>
      <c r="F19" s="330"/>
    </row>
    <row r="20" spans="1:6">
      <c r="A20" s="1298" t="s">
        <v>10</v>
      </c>
      <c r="B20" s="1299">
        <v>991</v>
      </c>
      <c r="C20" s="330"/>
      <c r="D20" s="330"/>
      <c r="E20" s="330"/>
      <c r="F20" s="330"/>
    </row>
    <row r="21" spans="1:6">
      <c r="A21" s="1298" t="s">
        <v>11</v>
      </c>
      <c r="B21" s="1299">
        <v>9493</v>
      </c>
      <c r="C21" s="330"/>
      <c r="D21" s="330"/>
      <c r="E21" s="330"/>
      <c r="F21" s="330"/>
    </row>
    <row r="22" spans="1:6">
      <c r="A22" s="1298" t="s">
        <v>12</v>
      </c>
      <c r="B22" s="1299">
        <v>34853</v>
      </c>
      <c r="C22" s="330"/>
      <c r="D22" s="330"/>
      <c r="E22" s="330"/>
      <c r="F22" s="330"/>
    </row>
    <row r="23" spans="1:6">
      <c r="A23" s="1298" t="s">
        <v>13</v>
      </c>
      <c r="B23" s="1299">
        <v>289</v>
      </c>
      <c r="C23" s="330"/>
      <c r="D23" s="330"/>
      <c r="E23" s="330"/>
      <c r="F23" s="330"/>
    </row>
    <row r="24" spans="1:6">
      <c r="A24" s="1298" t="s">
        <v>14</v>
      </c>
      <c r="B24" s="1299">
        <v>30</v>
      </c>
      <c r="C24" s="330"/>
      <c r="D24" s="330"/>
      <c r="E24" s="330"/>
      <c r="F24" s="330"/>
    </row>
    <row r="25" spans="1:6">
      <c r="A25" s="1298" t="s">
        <v>15</v>
      </c>
      <c r="B25" s="1299">
        <v>2242</v>
      </c>
      <c r="C25" s="330"/>
      <c r="D25" s="330"/>
      <c r="E25" s="330"/>
      <c r="F25" s="330"/>
    </row>
    <row r="26" spans="1:6">
      <c r="A26" s="1298" t="s">
        <v>16</v>
      </c>
      <c r="B26" s="1299">
        <v>285</v>
      </c>
      <c r="C26" s="330"/>
      <c r="D26" s="330"/>
      <c r="E26" s="330"/>
      <c r="F26" s="330"/>
    </row>
    <row r="27" spans="1:6">
      <c r="A27" s="1298" t="s">
        <v>17</v>
      </c>
      <c r="B27" s="1299">
        <v>28</v>
      </c>
      <c r="C27" s="330"/>
      <c r="D27" s="330"/>
      <c r="E27" s="330"/>
      <c r="F27" s="330"/>
    </row>
    <row r="28" spans="1:6" s="43" customFormat="1">
      <c r="A28" s="1300" t="s">
        <v>18</v>
      </c>
      <c r="B28" s="1301">
        <v>334390</v>
      </c>
      <c r="C28" s="336"/>
      <c r="D28" s="336"/>
      <c r="E28" s="336"/>
      <c r="F28" s="336"/>
    </row>
    <row r="29" spans="1:6">
      <c r="A29" s="1300" t="s">
        <v>705</v>
      </c>
      <c r="B29" s="1301">
        <v>262</v>
      </c>
      <c r="C29" s="336"/>
      <c r="D29" s="336"/>
      <c r="E29" s="336"/>
      <c r="F29" s="336"/>
    </row>
    <row r="30" spans="1:6">
      <c r="A30" s="1293" t="s">
        <v>706</v>
      </c>
      <c r="B30" s="1302">
        <v>56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21401.116999999998</v>
      </c>
      <c r="E38" s="1299">
        <v>4</v>
      </c>
      <c r="F38" s="1299">
        <v>9256</v>
      </c>
    </row>
    <row r="39" spans="1:6">
      <c r="A39" s="1298" t="s">
        <v>29</v>
      </c>
      <c r="B39" s="1298" t="s">
        <v>30</v>
      </c>
      <c r="C39" s="1299">
        <v>2328</v>
      </c>
      <c r="D39" s="1299">
        <v>33381897.140000001</v>
      </c>
      <c r="E39" s="1299">
        <v>4628</v>
      </c>
      <c r="F39" s="1299">
        <v>20316380.77</v>
      </c>
    </row>
    <row r="40" spans="1:6">
      <c r="A40" s="1298" t="s">
        <v>29</v>
      </c>
      <c r="B40" s="1298" t="s">
        <v>28</v>
      </c>
      <c r="C40" s="1299">
        <v>0</v>
      </c>
      <c r="D40" s="1299">
        <v>0</v>
      </c>
      <c r="E40" s="1299">
        <v>0</v>
      </c>
      <c r="F40" s="1299">
        <v>0</v>
      </c>
    </row>
    <row r="41" spans="1:6">
      <c r="A41" s="1298" t="s">
        <v>31</v>
      </c>
      <c r="B41" s="1298" t="s">
        <v>32</v>
      </c>
      <c r="C41" s="1299">
        <v>40</v>
      </c>
      <c r="D41" s="1299">
        <v>750850.22499999998</v>
      </c>
      <c r="E41" s="1299">
        <v>130</v>
      </c>
      <c r="F41" s="1299">
        <v>1125978.017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11</v>
      </c>
      <c r="F44" s="1299">
        <v>162592.68299999999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21</v>
      </c>
      <c r="D48" s="1299">
        <v>1294078.0049999999</v>
      </c>
      <c r="E48" s="1299">
        <v>26</v>
      </c>
      <c r="F48" s="1299">
        <v>574436.45400000003</v>
      </c>
    </row>
    <row r="49" spans="1:6">
      <c r="A49" s="1298" t="s">
        <v>31</v>
      </c>
      <c r="B49" s="1298" t="s">
        <v>39</v>
      </c>
      <c r="C49" s="1299">
        <v>0</v>
      </c>
      <c r="D49" s="1299">
        <v>0</v>
      </c>
      <c r="E49" s="1299">
        <v>0</v>
      </c>
      <c r="F49" s="1299">
        <v>0</v>
      </c>
    </row>
    <row r="50" spans="1:6">
      <c r="A50" s="1298" t="s">
        <v>31</v>
      </c>
      <c r="B50" s="1298" t="s">
        <v>40</v>
      </c>
      <c r="C50" s="1299">
        <v>5</v>
      </c>
      <c r="D50" s="1299">
        <v>424494.25900000002</v>
      </c>
      <c r="E50" s="1299">
        <v>11</v>
      </c>
      <c r="F50" s="1299">
        <v>725378.54099999997</v>
      </c>
    </row>
    <row r="51" spans="1:6">
      <c r="A51" s="1298" t="s">
        <v>41</v>
      </c>
      <c r="B51" s="1298" t="s">
        <v>42</v>
      </c>
      <c r="C51" s="1299">
        <v>19</v>
      </c>
      <c r="D51" s="1299">
        <v>85638886.469999999</v>
      </c>
      <c r="E51" s="1299">
        <v>194</v>
      </c>
      <c r="F51" s="1299">
        <v>4815329.8459999999</v>
      </c>
    </row>
    <row r="52" spans="1:6">
      <c r="A52" s="1298" t="s">
        <v>41</v>
      </c>
      <c r="B52" s="1298" t="s">
        <v>28</v>
      </c>
      <c r="C52" s="1299">
        <v>5</v>
      </c>
      <c r="D52" s="1299">
        <v>453638.72600000002</v>
      </c>
      <c r="E52" s="1299">
        <v>1</v>
      </c>
      <c r="F52" s="1299">
        <v>9190.1790000000001</v>
      </c>
    </row>
    <row r="53" spans="1:6">
      <c r="A53" s="1298" t="s">
        <v>43</v>
      </c>
      <c r="B53" s="1298" t="s">
        <v>44</v>
      </c>
      <c r="C53" s="1299">
        <v>68</v>
      </c>
      <c r="D53" s="1299">
        <v>899184.18400000001</v>
      </c>
      <c r="E53" s="1299">
        <v>196</v>
      </c>
      <c r="F53" s="1299">
        <v>833212.70499999996</v>
      </c>
    </row>
    <row r="54" spans="1:6">
      <c r="A54" s="1298" t="s">
        <v>45</v>
      </c>
      <c r="B54" s="1298" t="s">
        <v>46</v>
      </c>
      <c r="C54" s="1299">
        <v>0</v>
      </c>
      <c r="D54" s="1299">
        <v>0</v>
      </c>
      <c r="E54" s="1299">
        <v>2</v>
      </c>
      <c r="F54" s="1299">
        <v>1187286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42</v>
      </c>
      <c r="D57" s="1299">
        <v>1795971.85</v>
      </c>
      <c r="E57" s="1299">
        <v>121</v>
      </c>
      <c r="F57" s="1299">
        <v>1550342.071</v>
      </c>
    </row>
    <row r="58" spans="1:6">
      <c r="A58" s="1298" t="s">
        <v>48</v>
      </c>
      <c r="B58" s="1298" t="s">
        <v>50</v>
      </c>
      <c r="C58" s="1299">
        <v>26</v>
      </c>
      <c r="D58" s="1299">
        <v>1369754.916</v>
      </c>
      <c r="E58" s="1299">
        <v>46</v>
      </c>
      <c r="F58" s="1299">
        <v>570910.58499999996</v>
      </c>
    </row>
    <row r="59" spans="1:6">
      <c r="A59" s="1298" t="s">
        <v>48</v>
      </c>
      <c r="B59" s="1298" t="s">
        <v>51</v>
      </c>
      <c r="C59" s="1299">
        <v>24</v>
      </c>
      <c r="D59" s="1299">
        <v>1000603.402</v>
      </c>
      <c r="E59" s="1299">
        <v>124</v>
      </c>
      <c r="F59" s="1299">
        <v>3065748.943</v>
      </c>
    </row>
    <row r="60" spans="1:6">
      <c r="A60" s="1298" t="s">
        <v>48</v>
      </c>
      <c r="B60" s="1298" t="s">
        <v>52</v>
      </c>
      <c r="C60" s="1299">
        <v>29</v>
      </c>
      <c r="D60" s="1299">
        <v>1149724.08</v>
      </c>
      <c r="E60" s="1299">
        <v>46</v>
      </c>
      <c r="F60" s="1299">
        <v>767007.69700000004</v>
      </c>
    </row>
    <row r="61" spans="1:6">
      <c r="A61" s="1298" t="s">
        <v>48</v>
      </c>
      <c r="B61" s="1298" t="s">
        <v>53</v>
      </c>
      <c r="C61" s="1299">
        <v>60</v>
      </c>
      <c r="D61" s="1299">
        <v>1357570.3729999999</v>
      </c>
      <c r="E61" s="1299">
        <v>222</v>
      </c>
      <c r="F61" s="1299">
        <v>4949912.6780000003</v>
      </c>
    </row>
    <row r="62" spans="1:6">
      <c r="A62" s="1298" t="s">
        <v>48</v>
      </c>
      <c r="B62" s="1298" t="s">
        <v>54</v>
      </c>
      <c r="C62" s="1299">
        <v>0</v>
      </c>
      <c r="D62" s="1299">
        <v>0</v>
      </c>
      <c r="E62" s="1299">
        <v>3</v>
      </c>
      <c r="F62" s="1299">
        <v>22567.394</v>
      </c>
    </row>
    <row r="63" spans="1:6">
      <c r="A63" s="1298" t="s">
        <v>48</v>
      </c>
      <c r="B63" s="1298" t="s">
        <v>28</v>
      </c>
      <c r="C63" s="1299">
        <v>85</v>
      </c>
      <c r="D63" s="1299">
        <v>6420882.4790000003</v>
      </c>
      <c r="E63" s="1299">
        <v>109</v>
      </c>
      <c r="F63" s="1299">
        <v>2381771.3930000002</v>
      </c>
    </row>
    <row r="64" spans="1:6">
      <c r="A64" s="1298" t="s">
        <v>55</v>
      </c>
      <c r="B64" s="1298" t="s">
        <v>56</v>
      </c>
      <c r="C64" s="1299">
        <v>0</v>
      </c>
      <c r="D64" s="1299">
        <v>0</v>
      </c>
      <c r="E64" s="1299">
        <v>0</v>
      </c>
      <c r="F64" s="1299">
        <v>0</v>
      </c>
    </row>
    <row r="65" spans="1:6">
      <c r="A65" s="1298" t="s">
        <v>55</v>
      </c>
      <c r="B65" s="1298" t="s">
        <v>28</v>
      </c>
      <c r="C65" s="1299">
        <v>2</v>
      </c>
      <c r="D65" s="1299">
        <v>23020.988000000001</v>
      </c>
      <c r="E65" s="1299">
        <v>2</v>
      </c>
      <c r="F65" s="1299">
        <v>17045.46</v>
      </c>
    </row>
    <row r="66" spans="1:6">
      <c r="A66" s="1298" t="s">
        <v>55</v>
      </c>
      <c r="B66" s="1298" t="s">
        <v>57</v>
      </c>
      <c r="C66" s="1299">
        <v>0</v>
      </c>
      <c r="D66" s="1299">
        <v>0</v>
      </c>
      <c r="E66" s="1299">
        <v>4</v>
      </c>
      <c r="F66" s="1299">
        <v>211308.57</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28253810</v>
      </c>
      <c r="E73" s="450"/>
      <c r="F73" s="330"/>
    </row>
    <row r="74" spans="1:6">
      <c r="A74" s="1298" t="s">
        <v>63</v>
      </c>
      <c r="B74" s="1298" t="s">
        <v>647</v>
      </c>
      <c r="C74" s="1312" t="s">
        <v>649</v>
      </c>
      <c r="D74" s="1313">
        <v>2637954.5</v>
      </c>
      <c r="E74" s="450"/>
      <c r="F74" s="330"/>
    </row>
    <row r="75" spans="1:6">
      <c r="A75" s="1298" t="s">
        <v>64</v>
      </c>
      <c r="B75" s="1298" t="s">
        <v>646</v>
      </c>
      <c r="C75" s="1312" t="s">
        <v>650</v>
      </c>
      <c r="D75" s="1313">
        <v>36772687</v>
      </c>
      <c r="E75" s="450"/>
      <c r="F75" s="330"/>
    </row>
    <row r="76" spans="1:6">
      <c r="A76" s="1298" t="s">
        <v>64</v>
      </c>
      <c r="B76" s="1298" t="s">
        <v>647</v>
      </c>
      <c r="C76" s="1312" t="s">
        <v>651</v>
      </c>
      <c r="D76" s="1313">
        <v>2758471.5</v>
      </c>
      <c r="E76" s="450"/>
      <c r="F76" s="330"/>
    </row>
    <row r="77" spans="1:6">
      <c r="A77" s="1298" t="s">
        <v>65</v>
      </c>
      <c r="B77" s="1298" t="s">
        <v>646</v>
      </c>
      <c r="C77" s="1312" t="s">
        <v>652</v>
      </c>
      <c r="D77" s="1313">
        <v>190240609</v>
      </c>
      <c r="E77" s="450"/>
      <c r="F77" s="330"/>
    </row>
    <row r="78" spans="1:6">
      <c r="A78" s="1293" t="s">
        <v>65</v>
      </c>
      <c r="B78" s="1293" t="s">
        <v>647</v>
      </c>
      <c r="C78" s="1293" t="s">
        <v>653</v>
      </c>
      <c r="D78" s="1314">
        <v>31722188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93329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3201.9608083680746</v>
      </c>
      <c r="C91" s="330"/>
      <c r="D91" s="330"/>
      <c r="E91" s="330"/>
      <c r="F91" s="330"/>
    </row>
    <row r="92" spans="1:6">
      <c r="A92" s="1293" t="s">
        <v>68</v>
      </c>
      <c r="B92" s="1294">
        <v>974.53496425398998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418</v>
      </c>
      <c r="C97" s="330"/>
      <c r="D97" s="330"/>
      <c r="E97" s="330"/>
      <c r="F97" s="330"/>
    </row>
    <row r="98" spans="1:6">
      <c r="A98" s="1298" t="s">
        <v>71</v>
      </c>
      <c r="B98" s="1299">
        <v>0</v>
      </c>
      <c r="C98" s="330"/>
      <c r="D98" s="330"/>
      <c r="E98" s="330"/>
      <c r="F98" s="330"/>
    </row>
    <row r="99" spans="1:6">
      <c r="A99" s="1298" t="s">
        <v>72</v>
      </c>
      <c r="B99" s="1299">
        <v>183</v>
      </c>
      <c r="C99" s="330"/>
      <c r="D99" s="330"/>
      <c r="E99" s="330"/>
      <c r="F99" s="330"/>
    </row>
    <row r="100" spans="1:6">
      <c r="A100" s="1298" t="s">
        <v>73</v>
      </c>
      <c r="B100" s="1299">
        <v>540</v>
      </c>
      <c r="C100" s="330"/>
      <c r="D100" s="330"/>
      <c r="E100" s="330"/>
      <c r="F100" s="330"/>
    </row>
    <row r="101" spans="1:6">
      <c r="A101" s="1298" t="s">
        <v>74</v>
      </c>
      <c r="B101" s="1299">
        <v>124</v>
      </c>
      <c r="C101" s="330"/>
      <c r="D101" s="330"/>
      <c r="E101" s="330"/>
      <c r="F101" s="330"/>
    </row>
    <row r="102" spans="1:6">
      <c r="A102" s="1298" t="s">
        <v>75</v>
      </c>
      <c r="B102" s="1299">
        <v>87</v>
      </c>
      <c r="C102" s="330"/>
      <c r="D102" s="330"/>
      <c r="E102" s="330"/>
      <c r="F102" s="330"/>
    </row>
    <row r="103" spans="1:6">
      <c r="A103" s="1298" t="s">
        <v>76</v>
      </c>
      <c r="B103" s="1299">
        <v>228</v>
      </c>
      <c r="C103" s="330"/>
      <c r="D103" s="330"/>
      <c r="E103" s="330"/>
      <c r="F103" s="330"/>
    </row>
    <row r="104" spans="1:6">
      <c r="A104" s="1298" t="s">
        <v>77</v>
      </c>
      <c r="B104" s="1299">
        <v>2518</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49</v>
      </c>
      <c r="C123" s="1299">
        <v>33</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171</v>
      </c>
      <c r="C129" s="330"/>
      <c r="D129" s="330"/>
      <c r="E129" s="330"/>
      <c r="F129" s="330"/>
    </row>
    <row r="130" spans="1:6">
      <c r="A130" s="1298" t="s">
        <v>294</v>
      </c>
      <c r="B130" s="1299">
        <v>6</v>
      </c>
      <c r="C130" s="330"/>
      <c r="D130" s="330"/>
      <c r="E130" s="330"/>
      <c r="F130" s="330"/>
    </row>
    <row r="131" spans="1:6">
      <c r="A131" s="1298" t="s">
        <v>295</v>
      </c>
      <c r="B131" s="1299">
        <v>3</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46388.466126022133</v>
      </c>
      <c r="C3" s="43" t="s">
        <v>169</v>
      </c>
      <c r="D3" s="43"/>
      <c r="E3" s="154"/>
      <c r="F3" s="43"/>
      <c r="G3" s="43"/>
      <c r="H3" s="43"/>
      <c r="I3" s="43"/>
      <c r="J3" s="43"/>
      <c r="K3" s="96"/>
    </row>
    <row r="4" spans="1:11">
      <c r="A4" s="358" t="s">
        <v>170</v>
      </c>
      <c r="B4" s="49">
        <f>IF(ISERROR('SEAP template'!B78+'SEAP template'!C78),0,'SEAP template'!B78+'SEAP template'!C78)</f>
        <v>25782.870772622064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5134.6071701508317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0.20885458288126937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7335.1589495402895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30866.274613899612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0.23764315717702914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1187.2860000000001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1187.2860000000001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0.20885458288126937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247.9701222907708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20316.38077</v>
      </c>
      <c r="C5" s="17">
        <f>IF(ISERROR('Eigen informatie GS &amp; warmtenet'!B59),0,'Eigen informatie GS &amp; warmtenet'!B59)</f>
        <v>0</v>
      </c>
      <c r="D5" s="30">
        <f>(SUM(HH_hh_gas_kWh,HH_rest_gas_kWh)/1000)*0.902</f>
        <v>30110.47122028</v>
      </c>
      <c r="E5" s="17">
        <f>B46*B57</f>
        <v>20050.429440403197</v>
      </c>
      <c r="F5" s="17">
        <f>B51*B62</f>
        <v>16582.348423079624</v>
      </c>
      <c r="G5" s="18"/>
      <c r="H5" s="17"/>
      <c r="I5" s="17"/>
      <c r="J5" s="17">
        <f>B50*B61+C50*C61</f>
        <v>487.25683610938859</v>
      </c>
      <c r="K5" s="17"/>
      <c r="L5" s="17"/>
      <c r="M5" s="17"/>
      <c r="N5" s="17">
        <f>B48*B59+C48*C59</f>
        <v>16951.454481556157</v>
      </c>
      <c r="O5" s="17">
        <f>B69*B70*B71</f>
        <v>406.71143497434156</v>
      </c>
      <c r="P5" s="17">
        <f>B77*B78*B79/1000-B77*B78*B79/1000/B80</f>
        <v>695.2413143072115</v>
      </c>
    </row>
    <row r="6" spans="1:16">
      <c r="A6" s="16" t="s">
        <v>611</v>
      </c>
      <c r="B6" s="783">
        <f>kWh_PV_kleiner_dan_10kW</f>
        <v>3201.9608083680746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23518.341578368076</v>
      </c>
      <c r="C8" s="21">
        <f>C5</f>
        <v>0</v>
      </c>
      <c r="D8" s="21">
        <f>D5</f>
        <v>30110.47122028</v>
      </c>
      <c r="E8" s="21">
        <f>E5</f>
        <v>20050.429440403197</v>
      </c>
      <c r="F8" s="21">
        <f>F5</f>
        <v>16582.348423079624</v>
      </c>
      <c r="G8" s="21"/>
      <c r="H8" s="21"/>
      <c r="I8" s="21"/>
      <c r="J8" s="21">
        <f>J5</f>
        <v>487.25683610938859</v>
      </c>
      <c r="K8" s="21"/>
      <c r="L8" s="21">
        <f>L5</f>
        <v>0</v>
      </c>
      <c r="M8" s="21">
        <f>M5</f>
        <v>0</v>
      </c>
      <c r="N8" s="21">
        <f>N5</f>
        <v>16951.454481556157</v>
      </c>
      <c r="O8" s="21">
        <f>O5</f>
        <v>406.71143497434156</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0.20885458288126937</v>
      </c>
      <c r="C10" s="25">
        <f ca="1">'EF ele_warmte'!B22</f>
        <v>0.23764315717702914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4911.9134204092788</v>
      </c>
      <c r="C12" s="23">
        <f ca="1">C10*C8</f>
        <v>0</v>
      </c>
      <c r="D12" s="23">
        <f>D8*D10</f>
        <v>6082.3151864965603</v>
      </c>
      <c r="E12" s="23">
        <f>E10*E8</f>
        <v>4551.4474829715255</v>
      </c>
      <c r="F12" s="23">
        <f>F10*F8</f>
        <v>4427.4870289622595</v>
      </c>
      <c r="G12" s="23"/>
      <c r="H12" s="23"/>
      <c r="I12" s="23"/>
      <c r="J12" s="23">
        <f>J10*J8</f>
        <v>172.48891998272356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418</v>
      </c>
      <c r="C18" s="166" t="s">
        <v>110</v>
      </c>
      <c r="D18" s="228"/>
      <c r="E18" s="15"/>
    </row>
    <row r="19" spans="1:7">
      <c r="A19" s="171" t="s">
        <v>71</v>
      </c>
      <c r="B19" s="37">
        <f>aantalw2001_ander</f>
        <v>0</v>
      </c>
      <c r="C19" s="166" t="s">
        <v>110</v>
      </c>
      <c r="D19" s="229"/>
      <c r="E19" s="15"/>
    </row>
    <row r="20" spans="1:7">
      <c r="A20" s="171" t="s">
        <v>72</v>
      </c>
      <c r="B20" s="37">
        <f>aantalw2001_propaan</f>
        <v>183</v>
      </c>
      <c r="C20" s="167">
        <f>IF(ISERROR(B20/SUM($B$20,$B$21,$B$22)*100),0,B20/SUM($B$20,$B$21,$B$22)*100)</f>
        <v>21.605667060212514</v>
      </c>
      <c r="D20" s="229"/>
      <c r="E20" s="15"/>
    </row>
    <row r="21" spans="1:7">
      <c r="A21" s="171" t="s">
        <v>73</v>
      </c>
      <c r="B21" s="37">
        <f>aantalw2001_elektriciteit</f>
        <v>540</v>
      </c>
      <c r="C21" s="167">
        <f>IF(ISERROR(B21/SUM($B$20,$B$21,$B$22)*100),0,B21/SUM($B$20,$B$21,$B$22)*100)</f>
        <v>63.754427390791022</v>
      </c>
      <c r="D21" s="229"/>
      <c r="E21" s="15"/>
    </row>
    <row r="22" spans="1:7">
      <c r="A22" s="171" t="s">
        <v>74</v>
      </c>
      <c r="B22" s="37">
        <f>aantalw2001_hout</f>
        <v>124</v>
      </c>
      <c r="C22" s="167">
        <f>IF(ISERROR(B22/SUM($B$20,$B$21,$B$22)*100),0,B22/SUM($B$20,$B$21,$B$22)*100)</f>
        <v>14.639905548996456</v>
      </c>
      <c r="D22" s="229"/>
      <c r="E22" s="15"/>
    </row>
    <row r="23" spans="1:7">
      <c r="A23" s="171" t="s">
        <v>75</v>
      </c>
      <c r="B23" s="37">
        <f>aantalw2001_niet_gespec</f>
        <v>87</v>
      </c>
      <c r="C23" s="166" t="s">
        <v>110</v>
      </c>
      <c r="D23" s="228"/>
      <c r="E23" s="15"/>
    </row>
    <row r="24" spans="1:7">
      <c r="A24" s="171" t="s">
        <v>76</v>
      </c>
      <c r="B24" s="37">
        <f>aantalw2001_steenkool</f>
        <v>228</v>
      </c>
      <c r="C24" s="166" t="s">
        <v>110</v>
      </c>
      <c r="D24" s="229"/>
      <c r="E24" s="15"/>
    </row>
    <row r="25" spans="1:7">
      <c r="A25" s="171" t="s">
        <v>77</v>
      </c>
      <c r="B25" s="37">
        <f>aantalw2001_stookolie</f>
        <v>2518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4938</v>
      </c>
      <c r="C28" s="36"/>
      <c r="D28" s="228"/>
    </row>
    <row r="29" spans="1:7" s="15" customFormat="1">
      <c r="A29" s="230" t="s">
        <v>819</v>
      </c>
      <c r="B29" s="37">
        <f>SUM(HH_hh_gas_aantal,HH_rest_gas_aantal)</f>
        <v>2328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2328</v>
      </c>
      <c r="C32" s="167">
        <f>IF(ISERROR(B32/SUM($B$32,$B$34,$B$35,$B$36,$B$38,$B$39)*100),0,B32/SUM($B$32,$B$34,$B$35,$B$36,$B$38,$B$39)*100)</f>
        <v>47.783251231527096</v>
      </c>
      <c r="D32" s="233"/>
      <c r="G32" s="15"/>
    </row>
    <row r="33" spans="1:7">
      <c r="A33" s="171" t="s">
        <v>71</v>
      </c>
      <c r="B33" s="34" t="s">
        <v>110</v>
      </c>
      <c r="C33" s="167"/>
      <c r="D33" s="233"/>
      <c r="G33" s="15"/>
    </row>
    <row r="34" spans="1:7">
      <c r="A34" s="171" t="s">
        <v>72</v>
      </c>
      <c r="B34" s="33">
        <f>IF((($B$28-$B$32-$B$39-$B$77-$B$38)*C20/100)&lt;0,0,($B$28-$B$32-$B$39-$B$77-$B$38)*C20/100)</f>
        <v>369.02479338842977</v>
      </c>
      <c r="C34" s="167">
        <f>IF(ISERROR(B34/SUM($B$32,$B$34,$B$35,$B$36,$B$38,$B$39)*100),0,B34/SUM($B$32,$B$34,$B$35,$B$36,$B$38,$B$39)*100)</f>
        <v>7.574400521108986</v>
      </c>
      <c r="D34" s="233"/>
      <c r="G34" s="15"/>
    </row>
    <row r="35" spans="1:7">
      <c r="A35" s="171" t="s">
        <v>73</v>
      </c>
      <c r="B35" s="33">
        <f>IF((($B$28-$B$32-$B$39-$B$77-$B$38)*C21/100)&lt;0,0,($B$28-$B$32-$B$39-$B$77-$B$38)*C21/100)</f>
        <v>1088.9256198347107</v>
      </c>
      <c r="C35" s="167">
        <f>IF(ISERROR(B35/SUM($B$32,$B$34,$B$35,$B$36,$B$38,$B$39)*100),0,B35/SUM($B$32,$B$34,$B$35,$B$36,$B$38,$B$39)*100)</f>
        <v>22.350690062288809</v>
      </c>
      <c r="D35" s="233"/>
      <c r="G35" s="15"/>
    </row>
    <row r="36" spans="1:7">
      <c r="A36" s="171" t="s">
        <v>74</v>
      </c>
      <c r="B36" s="33">
        <f>IF((($B$28-$B$32-$B$39-$B$77-$B$38)*C22/100)&lt;0,0,($B$28-$B$32-$B$39-$B$77-$B$38)*C22/100)</f>
        <v>250.04958677685946</v>
      </c>
      <c r="C36" s="167">
        <f>IF(ISERROR(B36/SUM($B$32,$B$34,$B$35,$B$36,$B$38,$B$39)*100),0,B36/SUM($B$32,$B$34,$B$35,$B$36,$B$38,$B$39)*100)</f>
        <v>5.1323806809700212</v>
      </c>
      <c r="D36" s="233"/>
      <c r="G36" s="15"/>
    </row>
    <row r="37" spans="1:7">
      <c r="A37" s="171" t="s">
        <v>75</v>
      </c>
      <c r="B37" s="34" t="s">
        <v>110</v>
      </c>
      <c r="C37" s="167"/>
      <c r="D37" s="173"/>
      <c r="G37" s="15"/>
    </row>
    <row r="38" spans="1:7">
      <c r="A38" s="171" t="s">
        <v>76</v>
      </c>
      <c r="B38" s="33">
        <f>IF((B24-(B29-B18)*0.1)&lt;0,0,B24-(B29-B18)*0.1)</f>
        <v>37</v>
      </c>
      <c r="C38" s="167">
        <f>IF(ISERROR(B38/SUM($B$32,$B$34,$B$35,$B$36,$B$38,$B$39)*100),0,B38/SUM($B$32,$B$34,$B$35,$B$36,$B$38,$B$39)*100)</f>
        <v>0.7594417077175698</v>
      </c>
      <c r="D38" s="234"/>
      <c r="G38" s="15"/>
    </row>
    <row r="39" spans="1:7">
      <c r="A39" s="171" t="s">
        <v>77</v>
      </c>
      <c r="B39" s="33">
        <f>IF((B25-(B29-B18))&lt;0,0,B25-(B29-B18)*0.9)</f>
        <v>799</v>
      </c>
      <c r="C39" s="167">
        <f>IF(ISERROR(B39/SUM($B$32,$B$34,$B$35,$B$36,$B$38,$B$39)*100),0,B39/SUM($B$32,$B$34,$B$35,$B$36,$B$38,$B$39)*100)</f>
        <v>16.399835796387521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2328</v>
      </c>
      <c r="C44" s="34" t="s">
        <v>110</v>
      </c>
      <c r="D44" s="174"/>
    </row>
    <row r="45" spans="1:7">
      <c r="A45" s="171" t="s">
        <v>71</v>
      </c>
      <c r="B45" s="33" t="str">
        <f t="shared" si="0"/>
        <v>-</v>
      </c>
      <c r="C45" s="34" t="s">
        <v>110</v>
      </c>
      <c r="D45" s="174"/>
    </row>
    <row r="46" spans="1:7">
      <c r="A46" s="171" t="s">
        <v>72</v>
      </c>
      <c r="B46" s="33">
        <f t="shared" si="0"/>
        <v>369.02479338842977</v>
      </c>
      <c r="C46" s="34" t="s">
        <v>110</v>
      </c>
      <c r="D46" s="174"/>
    </row>
    <row r="47" spans="1:7">
      <c r="A47" s="171" t="s">
        <v>73</v>
      </c>
      <c r="B47" s="33">
        <f t="shared" si="0"/>
        <v>1088.9256198347107</v>
      </c>
      <c r="C47" s="34" t="s">
        <v>110</v>
      </c>
      <c r="D47" s="174"/>
    </row>
    <row r="48" spans="1:7">
      <c r="A48" s="171" t="s">
        <v>74</v>
      </c>
      <c r="B48" s="33">
        <f t="shared" si="0"/>
        <v>250.04958677685946</v>
      </c>
      <c r="C48" s="33">
        <f>B48*10</f>
        <v>2500.4958677685945</v>
      </c>
      <c r="D48" s="234"/>
    </row>
    <row r="49" spans="1:6">
      <c r="A49" s="171" t="s">
        <v>75</v>
      </c>
      <c r="B49" s="33" t="str">
        <f t="shared" si="0"/>
        <v>-</v>
      </c>
      <c r="C49" s="34" t="s">
        <v>110</v>
      </c>
      <c r="D49" s="234"/>
    </row>
    <row r="50" spans="1:6">
      <c r="A50" s="171" t="s">
        <v>76</v>
      </c>
      <c r="B50" s="33">
        <f t="shared" si="0"/>
        <v>37</v>
      </c>
      <c r="C50" s="33">
        <f>B50*2</f>
        <v>74</v>
      </c>
      <c r="D50" s="234"/>
    </row>
    <row r="51" spans="1:6">
      <c r="A51" s="171" t="s">
        <v>77</v>
      </c>
      <c r="B51" s="33">
        <f t="shared" si="0"/>
        <v>799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13308.260761000001</v>
      </c>
      <c r="C5" s="17">
        <f>IF(ISERROR('Eigen informatie GS &amp; warmtenet'!B60),0,'Eigen informatie GS &amp; warmtenet'!B60)</f>
        <v>0</v>
      </c>
      <c r="D5" s="30">
        <f>SUM(D6:D12)</f>
        <v>11811.245404200003</v>
      </c>
      <c r="E5" s="17">
        <f>SUM(E6:E12)</f>
        <v>165.12184718227996</v>
      </c>
      <c r="F5" s="17">
        <f>SUM(F6:F12)</f>
        <v>1553.9701972314415</v>
      </c>
      <c r="G5" s="18"/>
      <c r="H5" s="17"/>
      <c r="I5" s="17"/>
      <c r="J5" s="17">
        <f>SUM(J6:J12)</f>
        <v>3.0883230543332179E-2</v>
      </c>
      <c r="K5" s="17"/>
      <c r="L5" s="17"/>
      <c r="M5" s="17"/>
      <c r="N5" s="17">
        <f>SUM(N6:N12)</f>
        <v>1214.4797344442484</v>
      </c>
      <c r="O5" s="17">
        <f>B38*B39*B40</f>
        <v>29.383564595046927</v>
      </c>
      <c r="P5" s="17">
        <f>B46*B47*B48/1000-B46*B47*B48/1000/B49</f>
        <v>210.15655322598008</v>
      </c>
      <c r="R5" s="32"/>
    </row>
    <row r="6" spans="1:18">
      <c r="A6" s="32" t="s">
        <v>53</v>
      </c>
      <c r="B6" s="37">
        <f>B26</f>
        <v>4949.9126780000006</v>
      </c>
      <c r="C6" s="33"/>
      <c r="D6" s="37">
        <f>IF(ISERROR(TER_kantoor_gas_kWh/1000),0,TER_kantoor_gas_kWh/1000)*0.902</f>
        <v>1224.528476446</v>
      </c>
      <c r="E6" s="33">
        <f>$C$26*'E Balans VL '!I12/100/3.6*1000000</f>
        <v>39.830360252828491</v>
      </c>
      <c r="F6" s="33">
        <f>$C$26*('E Balans VL '!L12+'E Balans VL '!N12)/100/3.6*1000000</f>
        <v>605.17889629977208</v>
      </c>
      <c r="G6" s="34"/>
      <c r="H6" s="33"/>
      <c r="I6" s="33"/>
      <c r="J6" s="33">
        <f>$C$26*('E Balans VL '!D12+'E Balans VL '!E12)/100/3.6*1000000</f>
        <v>0</v>
      </c>
      <c r="K6" s="33"/>
      <c r="L6" s="33"/>
      <c r="M6" s="33"/>
      <c r="N6" s="33">
        <f>$C$26*'E Balans VL '!Y12/100/3.6*1000000</f>
        <v>2.6603343076085051</v>
      </c>
      <c r="O6" s="33"/>
      <c r="P6" s="33"/>
      <c r="R6" s="32"/>
    </row>
    <row r="7" spans="1:18">
      <c r="A7" s="32" t="s">
        <v>52</v>
      </c>
      <c r="B7" s="37">
        <f t="shared" ref="B7:B12" si="0">B27</f>
        <v>767.00769700000001</v>
      </c>
      <c r="C7" s="33"/>
      <c r="D7" s="37">
        <f>IF(ISERROR(TER_horeca_gas_kWh/1000),0,TER_horeca_gas_kWh/1000)*0.902</f>
        <v>1037.0511201600002</v>
      </c>
      <c r="E7" s="33">
        <f>$C$27*'E Balans VL '!I9/100/3.6*1000000</f>
        <v>8.235779224155003</v>
      </c>
      <c r="F7" s="33">
        <f>$C$27*('E Balans VL '!L9+'E Balans VL '!N9)/100/3.6*1000000</f>
        <v>92.252427015152733</v>
      </c>
      <c r="G7" s="34"/>
      <c r="H7" s="33"/>
      <c r="I7" s="33"/>
      <c r="J7" s="33">
        <f>$C$27*('E Balans VL '!D9+'E Balans VL '!E9)/100/3.6*1000000</f>
        <v>0</v>
      </c>
      <c r="K7" s="33"/>
      <c r="L7" s="33"/>
      <c r="M7" s="33"/>
      <c r="N7" s="33">
        <f>$C$27*'E Balans VL '!Y9/100/3.6*1000000</f>
        <v>0.11498999922151523</v>
      </c>
      <c r="O7" s="33"/>
      <c r="P7" s="33"/>
      <c r="R7" s="32"/>
    </row>
    <row r="8" spans="1:18">
      <c r="A8" s="6" t="s">
        <v>51</v>
      </c>
      <c r="B8" s="37">
        <f t="shared" si="0"/>
        <v>3065.7489430000001</v>
      </c>
      <c r="C8" s="33"/>
      <c r="D8" s="37">
        <f>IF(ISERROR(TER_handel_gas_kWh/1000),0,TER_handel_gas_kWh/1000)*0.902</f>
        <v>902.54426860399997</v>
      </c>
      <c r="E8" s="33">
        <f>$C$28*'E Balans VL '!I13/100/3.6*1000000</f>
        <v>82.27531593077974</v>
      </c>
      <c r="F8" s="33">
        <f>$C$28*('E Balans VL '!L13+'E Balans VL '!N13)/100/3.6*1000000</f>
        <v>292.56693798099417</v>
      </c>
      <c r="G8" s="34"/>
      <c r="H8" s="33"/>
      <c r="I8" s="33"/>
      <c r="J8" s="33">
        <f>$C$28*('E Balans VL '!D13+'E Balans VL '!E13)/100/3.6*1000000</f>
        <v>0</v>
      </c>
      <c r="K8" s="33"/>
      <c r="L8" s="33"/>
      <c r="M8" s="33"/>
      <c r="N8" s="33">
        <f>$C$28*'E Balans VL '!Y13/100/3.6*1000000</f>
        <v>1.2152977397524691</v>
      </c>
      <c r="O8" s="33"/>
      <c r="P8" s="33"/>
      <c r="R8" s="32"/>
    </row>
    <row r="9" spans="1:18">
      <c r="A9" s="32" t="s">
        <v>50</v>
      </c>
      <c r="B9" s="37">
        <f t="shared" si="0"/>
        <v>570.91058499999997</v>
      </c>
      <c r="C9" s="33"/>
      <c r="D9" s="37">
        <f>IF(ISERROR(TER_gezond_gas_kWh/1000),0,TER_gezond_gas_kWh/1000)*0.902</f>
        <v>1235.518934232</v>
      </c>
      <c r="E9" s="33">
        <f>$C$29*'E Balans VL '!I10/100/3.6*1000000</f>
        <v>1.0700723328488104</v>
      </c>
      <c r="F9" s="33">
        <f>$C$29*('E Balans VL '!L10+'E Balans VL '!N10)/100/3.6*1000000</f>
        <v>46.934059244705246</v>
      </c>
      <c r="G9" s="34"/>
      <c r="H9" s="33"/>
      <c r="I9" s="33"/>
      <c r="J9" s="33">
        <f>$C$29*('E Balans VL '!D10+'E Balans VL '!E10)/100/3.6*1000000</f>
        <v>0</v>
      </c>
      <c r="K9" s="33"/>
      <c r="L9" s="33"/>
      <c r="M9" s="33"/>
      <c r="N9" s="33">
        <f>$C$29*'E Balans VL '!Y10/100/3.6*1000000</f>
        <v>4.4421103118013763</v>
      </c>
      <c r="O9" s="33"/>
      <c r="P9" s="33"/>
      <c r="R9" s="32"/>
    </row>
    <row r="10" spans="1:18">
      <c r="A10" s="32" t="s">
        <v>49</v>
      </c>
      <c r="B10" s="37">
        <f t="shared" si="0"/>
        <v>1550.342071</v>
      </c>
      <c r="C10" s="33"/>
      <c r="D10" s="37">
        <f>IF(ISERROR(TER_ander_gas_kWh/1000),0,TER_ander_gas_kWh/1000)*0.902</f>
        <v>1619.9666087000001</v>
      </c>
      <c r="E10" s="33">
        <f>$C$30*'E Balans VL '!I14/100/3.6*1000000</f>
        <v>2.3898680118199755</v>
      </c>
      <c r="F10" s="33">
        <f>$C$30*('E Balans VL '!L14+'E Balans VL '!N14)/100/3.6*1000000</f>
        <v>240.69103451820942</v>
      </c>
      <c r="G10" s="34"/>
      <c r="H10" s="33"/>
      <c r="I10" s="33"/>
      <c r="J10" s="33">
        <f>$C$30*('E Balans VL '!D14+'E Balans VL '!E14)/100/3.6*1000000</f>
        <v>2.6318691684421299E-2</v>
      </c>
      <c r="K10" s="33"/>
      <c r="L10" s="33"/>
      <c r="M10" s="33"/>
      <c r="N10" s="33">
        <f>$C$30*'E Balans VL '!Y14/100/3.6*1000000</f>
        <v>1025.6566260832017</v>
      </c>
      <c r="O10" s="33"/>
      <c r="P10" s="33"/>
      <c r="R10" s="32"/>
    </row>
    <row r="11" spans="1:18">
      <c r="A11" s="32" t="s">
        <v>54</v>
      </c>
      <c r="B11" s="37">
        <f t="shared" si="0"/>
        <v>22.567394</v>
      </c>
      <c r="C11" s="33"/>
      <c r="D11" s="37">
        <f>IF(ISERROR(TER_onderwijs_gas_kWh/1000),0,TER_onderwijs_gas_kWh/1000)*0.902</f>
        <v>0</v>
      </c>
      <c r="E11" s="33">
        <f>$C$31*'E Balans VL '!I11/100/3.6*1000000</f>
        <v>0.57562268357457369</v>
      </c>
      <c r="F11" s="33">
        <f>$C$31*('E Balans VL '!L11+'E Balans VL '!N11)/100/3.6*1000000</f>
        <v>2.7139415409012755</v>
      </c>
      <c r="G11" s="34"/>
      <c r="H11" s="33"/>
      <c r="I11" s="33"/>
      <c r="J11" s="33">
        <f>$C$31*('E Balans VL '!D11+'E Balans VL '!E11)/100/3.6*1000000</f>
        <v>0</v>
      </c>
      <c r="K11" s="33"/>
      <c r="L11" s="33"/>
      <c r="M11" s="33"/>
      <c r="N11" s="33">
        <f>$C$31*'E Balans VL '!Y11/100/3.6*1000000</f>
        <v>5.0189333606841628E-2</v>
      </c>
      <c r="O11" s="33"/>
      <c r="P11" s="33"/>
      <c r="R11" s="32"/>
    </row>
    <row r="12" spans="1:18">
      <c r="A12" s="32" t="s">
        <v>259</v>
      </c>
      <c r="B12" s="37">
        <f t="shared" si="0"/>
        <v>2381.771393</v>
      </c>
      <c r="C12" s="33"/>
      <c r="D12" s="37">
        <f>IF(ISERROR(TER_rest_gas_kWh/1000),0,TER_rest_gas_kWh/1000)*0.902</f>
        <v>5791.6359960580003</v>
      </c>
      <c r="E12" s="33">
        <f>$C$32*'E Balans VL '!I8/100/3.6*1000000</f>
        <v>30.744828746273345</v>
      </c>
      <c r="F12" s="33">
        <f>$C$32*('E Balans VL '!L8+'E Balans VL '!N8)/100/3.6*1000000</f>
        <v>273.63290063170655</v>
      </c>
      <c r="G12" s="34"/>
      <c r="H12" s="33"/>
      <c r="I12" s="33"/>
      <c r="J12" s="33">
        <f>$C$32*('E Balans VL '!D8+'E Balans VL '!E8)/100/3.6*1000000</f>
        <v>4.564538858910879E-3</v>
      </c>
      <c r="K12" s="33"/>
      <c r="L12" s="33"/>
      <c r="M12" s="33"/>
      <c r="N12" s="33">
        <f>$C$32*'E Balans VL '!Y8/100/3.6*1000000</f>
        <v>180.34018666905607</v>
      </c>
      <c r="O12" s="33"/>
      <c r="P12" s="33"/>
      <c r="R12" s="32"/>
    </row>
    <row r="13" spans="1:18">
      <c r="A13" s="16" t="s">
        <v>478</v>
      </c>
      <c r="B13" s="247">
        <f ca="1">'lokale energieproductie'!N41+'lokale energieproductie'!N34</f>
        <v>6.375</v>
      </c>
      <c r="C13" s="247">
        <f ca="1">'lokale energieproductie'!O41+'lokale energieproductie'!O34</f>
        <v>9.1317567567567561</v>
      </c>
      <c r="D13" s="308">
        <f ca="1">('lokale energieproductie'!P34+'lokale energieproductie'!P41)*(-1)</f>
        <v>-17.22972972972973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13314.635761000001</v>
      </c>
      <c r="C16" s="21">
        <f t="shared" ca="1" si="1"/>
        <v>9.1317567567567561</v>
      </c>
      <c r="D16" s="21">
        <f t="shared" ca="1" si="1"/>
        <v>11794.015674470273</v>
      </c>
      <c r="E16" s="21">
        <f t="shared" si="1"/>
        <v>165.12184718227996</v>
      </c>
      <c r="F16" s="21">
        <f t="shared" ca="1" si="1"/>
        <v>1553.9701972314415</v>
      </c>
      <c r="G16" s="21">
        <f t="shared" si="1"/>
        <v>0</v>
      </c>
      <c r="H16" s="21">
        <f t="shared" si="1"/>
        <v>0</v>
      </c>
      <c r="I16" s="21">
        <f t="shared" si="1"/>
        <v>0</v>
      </c>
      <c r="J16" s="21">
        <f t="shared" si="1"/>
        <v>3.0883230543332179E-2</v>
      </c>
      <c r="K16" s="21">
        <f t="shared" si="1"/>
        <v>0</v>
      </c>
      <c r="L16" s="21">
        <f t="shared" ca="1" si="1"/>
        <v>0</v>
      </c>
      <c r="M16" s="21">
        <f t="shared" si="1"/>
        <v>0</v>
      </c>
      <c r="N16" s="21">
        <f t="shared" ca="1" si="1"/>
        <v>1214.4797344442484</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0.20885458288126937</v>
      </c>
      <c r="C18" s="25">
        <f ca="1">'EF ele_warmte'!B22</f>
        <v>0.23764315717702914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2780.8226980796881</v>
      </c>
      <c r="C20" s="23">
        <f t="shared" ref="C20:P20" ca="1" si="2">C16*C18</f>
        <v>2.1700995062483437</v>
      </c>
      <c r="D20" s="23">
        <f t="shared" ca="1" si="2"/>
        <v>2382.391166242995</v>
      </c>
      <c r="E20" s="23">
        <f t="shared" si="2"/>
        <v>37.482659310377556</v>
      </c>
      <c r="F20" s="23">
        <f t="shared" ca="1" si="2"/>
        <v>414.91004266079489</v>
      </c>
      <c r="G20" s="23">
        <f t="shared" si="2"/>
        <v>0</v>
      </c>
      <c r="H20" s="23">
        <f t="shared" si="2"/>
        <v>0</v>
      </c>
      <c r="I20" s="23">
        <f t="shared" si="2"/>
        <v>0</v>
      </c>
      <c r="J20" s="23">
        <f t="shared" si="2"/>
        <v>1.0932663612339591E-2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4949.9126780000006</v>
      </c>
      <c r="C26" s="39">
        <f>IF(ISERROR(B26*3.6/1000000/'E Balans VL '!Z12*100),0,B26*3.6/1000000/'E Balans VL '!Z12*100)</f>
        <v>0.10500786881371114</v>
      </c>
      <c r="D26" s="237" t="s">
        <v>708</v>
      </c>
      <c r="F26" s="6"/>
    </row>
    <row r="27" spans="1:18">
      <c r="A27" s="231" t="s">
        <v>52</v>
      </c>
      <c r="B27" s="33">
        <f>IF(ISERROR(TER_horeca_ele_kWh/1000),0,TER_horeca_ele_kWh/1000)</f>
        <v>767.00769700000001</v>
      </c>
      <c r="C27" s="39">
        <f>IF(ISERROR(B27*3.6/1000000/'E Balans VL '!Z9*100),0,B27*3.6/1000000/'E Balans VL '!Z9*100)</f>
        <v>5.7762474126813582E-2</v>
      </c>
      <c r="D27" s="237" t="s">
        <v>708</v>
      </c>
      <c r="F27" s="6"/>
    </row>
    <row r="28" spans="1:18">
      <c r="A28" s="171" t="s">
        <v>51</v>
      </c>
      <c r="B28" s="33">
        <f>IF(ISERROR(TER_handel_ele_kWh/1000),0,TER_handel_ele_kWh/1000)</f>
        <v>3065.7489430000001</v>
      </c>
      <c r="C28" s="39">
        <f>IF(ISERROR(B28*3.6/1000000/'E Balans VL '!Z13*100),0,B28*3.6/1000000/'E Balans VL '!Z13*100)</f>
        <v>8.8987829019250023E-2</v>
      </c>
      <c r="D28" s="237" t="s">
        <v>708</v>
      </c>
      <c r="F28" s="6"/>
    </row>
    <row r="29" spans="1:18">
      <c r="A29" s="231" t="s">
        <v>50</v>
      </c>
      <c r="B29" s="33">
        <f>IF(ISERROR(TER_gezond_ele_kWh/1000),0,TER_gezond_ele_kWh/1000)</f>
        <v>570.91058499999997</v>
      </c>
      <c r="C29" s="39">
        <f>IF(ISERROR(B29*3.6/1000000/'E Balans VL '!Z10*100),0,B29*3.6/1000000/'E Balans VL '!Z10*100)</f>
        <v>5.7577013335852557E-2</v>
      </c>
      <c r="D29" s="237" t="s">
        <v>708</v>
      </c>
      <c r="F29" s="6"/>
    </row>
    <row r="30" spans="1:18">
      <c r="A30" s="231" t="s">
        <v>49</v>
      </c>
      <c r="B30" s="33">
        <f>IF(ISERROR(TER_ander_ele_kWh/1000),0,TER_ander_ele_kWh/1000)</f>
        <v>1550.342071</v>
      </c>
      <c r="C30" s="39">
        <f>IF(ISERROR(B30*3.6/1000000/'E Balans VL '!Z14*100),0,B30*3.6/1000000/'E Balans VL '!Z14*100)</f>
        <v>0.1124984677949582</v>
      </c>
      <c r="D30" s="237" t="s">
        <v>708</v>
      </c>
      <c r="F30" s="6"/>
    </row>
    <row r="31" spans="1:18">
      <c r="A31" s="231" t="s">
        <v>54</v>
      </c>
      <c r="B31" s="33">
        <f>IF(ISERROR(TER_onderwijs_ele_kWh/1000),0,TER_onderwijs_ele_kWh/1000)</f>
        <v>22.567394</v>
      </c>
      <c r="C31" s="39">
        <f>IF(ISERROR(B31*3.6/1000000/'E Balans VL '!Z11*100),0,B31*3.6/1000000/'E Balans VL '!Z11*100)</f>
        <v>6.4326262770750507E-3</v>
      </c>
      <c r="D31" s="237" t="s">
        <v>708</v>
      </c>
    </row>
    <row r="32" spans="1:18">
      <c r="A32" s="231" t="s">
        <v>259</v>
      </c>
      <c r="B32" s="33">
        <f>IF(ISERROR(TER_rest_ele_kWh/1000),0,TER_rest_ele_kWh/1000)</f>
        <v>2381.771393</v>
      </c>
      <c r="C32" s="39">
        <f>IF(ISERROR(B32*3.6/1000000/'E Balans VL '!Z8*100),0,B32*3.6/1000000/'E Balans VL '!Z8*100)</f>
        <v>1.9510986107336654E-2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2588.3856949999999</v>
      </c>
      <c r="C5" s="17">
        <f>IF(ISERROR('Eigen informatie GS &amp; warmtenet'!B61),0,'Eigen informatie GS &amp; warmtenet'!B61)</f>
        <v>0</v>
      </c>
      <c r="D5" s="30">
        <f>SUM(D6:D15)</f>
        <v>2227.4190850779996</v>
      </c>
      <c r="E5" s="17">
        <f>SUM(E6:E15)</f>
        <v>341.62892275330375</v>
      </c>
      <c r="F5" s="17">
        <f>SUM(F6:F15)</f>
        <v>1089.8969276982041</v>
      </c>
      <c r="G5" s="18"/>
      <c r="H5" s="17"/>
      <c r="I5" s="17"/>
      <c r="J5" s="17">
        <f>SUM(J6:J15)</f>
        <v>4.9090788564034398</v>
      </c>
      <c r="K5" s="17"/>
      <c r="L5" s="17"/>
      <c r="M5" s="17"/>
      <c r="N5" s="17">
        <f>SUM(N6:N15)</f>
        <v>148.51194648792449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162.59268299999999</v>
      </c>
      <c r="C8" s="33"/>
      <c r="D8" s="37">
        <f>IF( ISERROR(IND_metaal_Gas_kWH/1000),0,IND_metaal_Gas_kWH/1000)*0.902</f>
        <v>0</v>
      </c>
      <c r="E8" s="33">
        <f>C30*'E Balans VL '!I18/100/3.6*1000000</f>
        <v>1.1729920896346322</v>
      </c>
      <c r="F8" s="33">
        <f>C30*'E Balans VL '!L18/100/3.6*1000000+C30*'E Balans VL '!N18/100/3.6*1000000</f>
        <v>15.378269812735951</v>
      </c>
      <c r="G8" s="34"/>
      <c r="H8" s="33"/>
      <c r="I8" s="33"/>
      <c r="J8" s="40">
        <f>C30*'E Balans VL '!D18/100/3.6*1000000+C30*'E Balans VL '!E18/100/3.6*1000000</f>
        <v>0.16353666541969328</v>
      </c>
      <c r="K8" s="33"/>
      <c r="L8" s="33"/>
      <c r="M8" s="33"/>
      <c r="N8" s="33">
        <f>C30*'E Balans VL '!Y18/100/3.6*1000000</f>
        <v>2.0556016908892936</v>
      </c>
      <c r="O8" s="33"/>
      <c r="P8" s="33"/>
      <c r="R8" s="32"/>
    </row>
    <row r="9" spans="1:18">
      <c r="A9" s="6" t="s">
        <v>32</v>
      </c>
      <c r="B9" s="37">
        <f t="shared" si="0"/>
        <v>1125.9780169999999</v>
      </c>
      <c r="C9" s="33"/>
      <c r="D9" s="37">
        <f>IF( ISERROR(IND_andere_gas_kWh/1000),0,IND_andere_gas_kWh/1000)*0.902</f>
        <v>677.26690295000003</v>
      </c>
      <c r="E9" s="33">
        <f>C31*'E Balans VL '!I19/100/3.6*1000000</f>
        <v>312.02356472306309</v>
      </c>
      <c r="F9" s="33">
        <f>C31*'E Balans VL '!L19/100/3.6*1000000+C31*'E Balans VL '!N19/100/3.6*1000000</f>
        <v>933.21301374684765</v>
      </c>
      <c r="G9" s="34"/>
      <c r="H9" s="33"/>
      <c r="I9" s="33"/>
      <c r="J9" s="40">
        <f>C31*'E Balans VL '!D19/100/3.6*1000000+C31*'E Balans VL '!E19/100/3.6*1000000</f>
        <v>0</v>
      </c>
      <c r="K9" s="33"/>
      <c r="L9" s="33"/>
      <c r="M9" s="33"/>
      <c r="N9" s="33">
        <f>C31*'E Balans VL '!Y19/100/3.6*1000000</f>
        <v>81.732231832097398</v>
      </c>
      <c r="O9" s="33"/>
      <c r="P9" s="33"/>
      <c r="R9" s="32"/>
    </row>
    <row r="10" spans="1:18">
      <c r="A10" s="6" t="s">
        <v>40</v>
      </c>
      <c r="B10" s="37">
        <f t="shared" si="0"/>
        <v>725.37854099999993</v>
      </c>
      <c r="C10" s="33"/>
      <c r="D10" s="37">
        <f>IF( ISERROR(IND_voed_gas_kWh/1000),0,IND_voed_gas_kWh/1000)*0.902</f>
        <v>382.893821618</v>
      </c>
      <c r="E10" s="33">
        <f>C32*'E Balans VL '!I20/100/3.6*1000000</f>
        <v>1.2841657190344613</v>
      </c>
      <c r="F10" s="33">
        <f>C32*'E Balans VL '!L20/100/3.6*1000000+C32*'E Balans VL '!N20/100/3.6*1000000</f>
        <v>39.176870186340047</v>
      </c>
      <c r="G10" s="34"/>
      <c r="H10" s="33"/>
      <c r="I10" s="33"/>
      <c r="J10" s="40">
        <f>C32*'E Balans VL '!D20/100/3.6*1000000+C32*'E Balans VL '!E20/100/3.6*1000000</f>
        <v>0</v>
      </c>
      <c r="K10" s="33"/>
      <c r="L10" s="33"/>
      <c r="M10" s="33"/>
      <c r="N10" s="33">
        <f>C32*'E Balans VL '!Y20/100/3.6*1000000</f>
        <v>42.150033017048258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574.43645400000003</v>
      </c>
      <c r="C15" s="33"/>
      <c r="D15" s="37">
        <f>IF( ISERROR(IND_rest_gas_kWh/1000),0,IND_rest_gas_kWh/1000)*0.902</f>
        <v>1167.2583605099999</v>
      </c>
      <c r="E15" s="33">
        <f>C37*'E Balans VL '!I15/100/3.6*1000000</f>
        <v>27.14820022157161</v>
      </c>
      <c r="F15" s="33">
        <f>C37*'E Balans VL '!L15/100/3.6*1000000+C37*'E Balans VL '!N15/100/3.6*1000000</f>
        <v>102.12877395228051</v>
      </c>
      <c r="G15" s="34"/>
      <c r="H15" s="33"/>
      <c r="I15" s="33"/>
      <c r="J15" s="40">
        <f>C37*'E Balans VL '!D15/100/3.6*1000000+C37*'E Balans VL '!E15/100/3.6*1000000</f>
        <v>4.7455421909837465</v>
      </c>
      <c r="K15" s="33"/>
      <c r="L15" s="33"/>
      <c r="M15" s="33"/>
      <c r="N15" s="33">
        <f>C37*'E Balans VL '!Y15/100/3.6*1000000</f>
        <v>22.57407994788953</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2588.3856949999999</v>
      </c>
      <c r="C18" s="21">
        <f>C5+C16</f>
        <v>0</v>
      </c>
      <c r="D18" s="21">
        <f>MAX((D5+D16),0)</f>
        <v>2227.4190850779996</v>
      </c>
      <c r="E18" s="21">
        <f>MAX((E5+E16),0)</f>
        <v>341.62892275330375</v>
      </c>
      <c r="F18" s="21">
        <f>MAX((F5+F16),0)</f>
        <v>1089.8969276982041</v>
      </c>
      <c r="G18" s="21"/>
      <c r="H18" s="21"/>
      <c r="I18" s="21"/>
      <c r="J18" s="21">
        <f>MAX((J5+J16),0)</f>
        <v>4.9090788564034398</v>
      </c>
      <c r="K18" s="21"/>
      <c r="L18" s="21">
        <f>MAX((L5+L16),0)</f>
        <v>0</v>
      </c>
      <c r="M18" s="21"/>
      <c r="N18" s="21">
        <f>MAX((N5+N16),0)</f>
        <v>148.51194648792449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0.20885458288126937</v>
      </c>
      <c r="C20" s="25">
        <f ca="1">'EF ele_warmte'!B22</f>
        <v>0.23764315717702914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540.59621466506951</v>
      </c>
      <c r="C22" s="23">
        <f ca="1">C18*C20</f>
        <v>0</v>
      </c>
      <c r="D22" s="23">
        <f>D18*D20</f>
        <v>449.93865518575598</v>
      </c>
      <c r="E22" s="23">
        <f>E18*E20</f>
        <v>77.54976546499995</v>
      </c>
      <c r="F22" s="23">
        <f>F18*F20</f>
        <v>291.0024796954205</v>
      </c>
      <c r="G22" s="23"/>
      <c r="H22" s="23"/>
      <c r="I22" s="23"/>
      <c r="J22" s="23">
        <f>J18*J20</f>
        <v>1.7378139151668175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162.59268299999999</v>
      </c>
      <c r="C30" s="39">
        <f>IF(ISERROR(B30*3.6/1000000/'E Balans VL '!Z18*100),0,B30*3.6/1000000/'E Balans VL '!Z18*100)</f>
        <v>9.3862218884762788E-3</v>
      </c>
      <c r="D30" s="237" t="s">
        <v>708</v>
      </c>
    </row>
    <row r="31" spans="1:18">
      <c r="A31" s="6" t="s">
        <v>32</v>
      </c>
      <c r="B31" s="37">
        <f>IF( ISERROR(IND_ander_ele_kWh/1000),0,IND_ander_ele_kWh/1000)</f>
        <v>1125.9780169999999</v>
      </c>
      <c r="C31" s="39">
        <f>IF(ISERROR(B31*3.6/1000000/'E Balans VL '!Z19*100),0,B31*3.6/1000000/'E Balans VL '!Z19*100)</f>
        <v>5.663304453867847E-2</v>
      </c>
      <c r="D31" s="237" t="s">
        <v>708</v>
      </c>
    </row>
    <row r="32" spans="1:18">
      <c r="A32" s="171" t="s">
        <v>40</v>
      </c>
      <c r="B32" s="37">
        <f>IF( ISERROR(IND_voed_ele_kWh/1000),0,IND_voed_ele_kWh/1000)</f>
        <v>725.37854099999993</v>
      </c>
      <c r="C32" s="39">
        <f>IF(ISERROR(B32*3.6/1000000/'E Balans VL '!Z20*100),0,B32*3.6/1000000/'E Balans VL '!Z20*100)</f>
        <v>2.4159412893032257E-2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574.43645400000003</v>
      </c>
      <c r="C37" s="39">
        <f>IF(ISERROR(B37*3.6/1000000/'E Balans VL '!Z15*100),0,B37*3.6/1000000/'E Balans VL '!Z15*100)</f>
        <v>4.4821752130455679E-3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4824.5200249999998</v>
      </c>
      <c r="C5" s="17">
        <f>'Eigen informatie GS &amp; warmtenet'!B62</f>
        <v>0</v>
      </c>
      <c r="D5" s="30">
        <f>IF(ISERROR(SUM(LB_lb_gas_kWh,LB_rest_gas_kWh)/1000),0,SUM(LB_lb_gas_kWh,LB_rest_gas_kWh)/1000)*0.902</f>
        <v>77655.457726791996</v>
      </c>
      <c r="E5" s="17">
        <f>B17*'E Balans VL '!I25/3.6*1000000/100</f>
        <v>150.57167904981551</v>
      </c>
      <c r="F5" s="17">
        <f>B17*('E Balans VL '!L25/3.6*1000000+'E Balans VL '!N25/3.6*1000000)/100</f>
        <v>17050.388214261162</v>
      </c>
      <c r="G5" s="18"/>
      <c r="H5" s="17"/>
      <c r="I5" s="17"/>
      <c r="J5" s="17">
        <f>('E Balans VL '!D25+'E Balans VL '!E25)/3.6*1000000*landbouw!B17/100</f>
        <v>1329.188724640652</v>
      </c>
      <c r="K5" s="17"/>
      <c r="L5" s="17">
        <f>L6*(-1)</f>
        <v>0</v>
      </c>
      <c r="M5" s="17"/>
      <c r="N5" s="17">
        <f>N6*(-1)</f>
        <v>0</v>
      </c>
      <c r="O5" s="17"/>
      <c r="P5" s="17"/>
      <c r="R5" s="32"/>
    </row>
    <row r="6" spans="1:18">
      <c r="A6" s="16" t="s">
        <v>478</v>
      </c>
      <c r="B6" s="17" t="s">
        <v>210</v>
      </c>
      <c r="C6" s="17">
        <f>'lokale energieproductie'!O42+'lokale energieproductie'!O35</f>
        <v>30857.142857142855</v>
      </c>
      <c r="D6" s="308">
        <f>('lokale energieproductie'!P35+'lokale energieproductie'!P42)*(-1)</f>
        <v>-61714.285714285725</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4824.5200249999998</v>
      </c>
      <c r="C8" s="21">
        <f>C5+C6</f>
        <v>30857.142857142855</v>
      </c>
      <c r="D8" s="21">
        <f>MAX((D5+D6),0)</f>
        <v>15941.172012506271</v>
      </c>
      <c r="E8" s="21">
        <f>MAX((E5+E6),0)</f>
        <v>150.57167904981551</v>
      </c>
      <c r="F8" s="21">
        <f>MAX((F5+F6),0)</f>
        <v>17050.388214261162</v>
      </c>
      <c r="G8" s="21"/>
      <c r="H8" s="21"/>
      <c r="I8" s="21"/>
      <c r="J8" s="21">
        <f>MAX((J5+J6),0)</f>
        <v>1329.188724640652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0.20885458288126937</v>
      </c>
      <c r="C10" s="31">
        <f ca="1">'EF ele_warmte'!B22</f>
        <v>0.23764315717702914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1007.6231174237063</v>
      </c>
      <c r="C12" s="23">
        <f ca="1">C8*C10</f>
        <v>7332.9888500340412</v>
      </c>
      <c r="D12" s="23">
        <f>D8*D10</f>
        <v>3220.116746526267</v>
      </c>
      <c r="E12" s="23">
        <f>E8*E10</f>
        <v>34.17977114430812</v>
      </c>
      <c r="F12" s="23">
        <f>F8*F10</f>
        <v>4552.4536532077309</v>
      </c>
      <c r="G12" s="23"/>
      <c r="H12" s="23"/>
      <c r="I12" s="23"/>
      <c r="J12" s="23">
        <f>J8*J10</f>
        <v>470.53280852279079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0.71719948715179704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658.0950282011986</v>
      </c>
      <c r="C26" s="247">
        <f>B26*'GWP N2O_CH4'!B5</f>
        <v>13819.99559222517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312.87124228015301</v>
      </c>
      <c r="C27" s="247">
        <f>B27*'GWP N2O_CH4'!B5</f>
        <v>6570.2960878832137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9.1355535194404709</v>
      </c>
      <c r="C28" s="247">
        <f>B28*'GWP N2O_CH4'!B4</f>
        <v>2832.021591026546</v>
      </c>
      <c r="D28" s="50"/>
    </row>
    <row r="29" spans="1:4">
      <c r="A29" s="41" t="s">
        <v>276</v>
      </c>
      <c r="B29" s="247">
        <f>B34*'ha_N2O bodem landbouw'!B4</f>
        <v>23.410449354404658</v>
      </c>
      <c r="C29" s="247">
        <f>B29*'GWP N2O_CH4'!B4</f>
        <v>7257.2392998654441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5.133490047757568E-3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4.395037019546377E-4</v>
      </c>
      <c r="C5" s="437" t="s">
        <v>210</v>
      </c>
      <c r="D5" s="422">
        <f>SUM(D6:D11)</f>
        <v>1.5599152149374598E-3</v>
      </c>
      <c r="E5" s="422">
        <f>SUM(E6:E11)</f>
        <v>1.5418213099824352E-3</v>
      </c>
      <c r="F5" s="435" t="s">
        <v>210</v>
      </c>
      <c r="G5" s="422">
        <f>SUM(G6:G11)</f>
        <v>0.79675325344571224</v>
      </c>
      <c r="H5" s="422">
        <f>SUM(H6:H11)</f>
        <v>0.14989804317746655</v>
      </c>
      <c r="I5" s="437" t="s">
        <v>210</v>
      </c>
      <c r="J5" s="437" t="s">
        <v>210</v>
      </c>
      <c r="K5" s="437" t="s">
        <v>210</v>
      </c>
      <c r="L5" s="437" t="s">
        <v>210</v>
      </c>
      <c r="M5" s="422">
        <f>SUM(M6:M11)</f>
        <v>5.5851032134421927E-2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4.8645727543614505E-5</v>
      </c>
      <c r="C6" s="423"/>
      <c r="D6" s="890">
        <f>vkm_GW_PW*SUMIFS(TableVerdeelsleutelVkm[CNG],TableVerdeelsleutelVkm[Voertuigtype],"Lichte voertuigen")*SUMIFS(TableECFTransport[EnergieConsumptieFactor (PJ per km)],TableECFTransport[Index],CONCATENATE($A6,"_CNG_CNG"))</f>
        <v>1.5670746367892554E-4</v>
      </c>
      <c r="E6" s="890">
        <f>vkm_GW_PW*SUMIFS(TableVerdeelsleutelVkm[LPG],TableVerdeelsleutelVkm[Voertuigtype],"Lichte voertuigen")*SUMIFS(TableECFTransport[EnergieConsumptieFactor (PJ per km)],TableECFTransport[Index],CONCATENATE($A6,"_LPG_LPG"))</f>
        <v>1.3401255714189973E-4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4.329268144974787E-2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1.4680282765070548E-2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3.4674605536726515E-3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2.5043067794102664E-2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3.580933836098527E-7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1.4435426891312927E-3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6.331302266308916E-5</v>
      </c>
      <c r="C8" s="423"/>
      <c r="D8" s="425">
        <f>vkm_NGW_PW*SUMIFS(TableVerdeelsleutelVkm[CNG],TableVerdeelsleutelVkm[Voertuigtype],"Lichte voertuigen")*SUMIFS(TableECFTransport[EnergieConsumptieFactor (PJ per km)],TableECFTransport[Index],CONCATENATE($A8,"_CNG_CNG"))</f>
        <v>3.4556031581048547E-4</v>
      </c>
      <c r="E8" s="425">
        <f>vkm_NGW_PW*SUMIFS(TableVerdeelsleutelVkm[LPG],TableVerdeelsleutelVkm[Voertuigtype],"Lichte voertuigen")*SUMIFS(TableECFTransport[EnergieConsumptieFactor (PJ per km)],TableECFTransport[Index],CONCATENATE($A8,"_LPG_LPG"))</f>
        <v>2.8078810143848768E-4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8.4761535629999565E-2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3.1830888401642707E-2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6.9933574411043149E-3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3.3710960397438317E-2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6.1117489034393947E-7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1.9431894269380915E-3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3.2754495174793402E-4</v>
      </c>
      <c r="C10" s="423"/>
      <c r="D10" s="425">
        <f>vkm_SW_PW*SUMIFS(TableVerdeelsleutelVkm[CNG],TableVerdeelsleutelVkm[Voertuigtype],"Lichte voertuigen")*SUMIFS(TableECFTransport[EnergieConsumptieFactor (PJ per km)],TableECFTransport[Index],CONCATENATE($A10,"_CNG_CNG"))</f>
        <v>1.0576474354480488E-3</v>
      </c>
      <c r="E10" s="425">
        <f>vkm_SW_PW*SUMIFS(TableVerdeelsleutelVkm[LPG],TableVerdeelsleutelVkm[Voertuigtype],"Lichte voertuigen")*SUMIFS(TableECFTransport[EnergieConsumptieFactor (PJ per km)],TableECFTransport[Index],CONCATENATE($A10,"_LPG_LPG"))</f>
        <v>1.1270206514020478E-3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0.32439594854768455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0.10338153994615353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2.5543728586548818E-2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0.28554905962673921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4.3627963258182475E-6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1.6459753437026752E-2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122.08436165406603</v>
      </c>
      <c r="C14" s="21"/>
      <c r="D14" s="21">
        <f t="shared" ref="D14:M14" si="0">((D5)*10^9/3600)+D12</f>
        <v>433.30978192707221</v>
      </c>
      <c r="E14" s="21">
        <f t="shared" si="0"/>
        <v>428.28369721734316</v>
      </c>
      <c r="F14" s="21"/>
      <c r="G14" s="21">
        <f t="shared" si="0"/>
        <v>221320.34817936449</v>
      </c>
      <c r="H14" s="21">
        <f t="shared" si="0"/>
        <v>41638.345327074043</v>
      </c>
      <c r="I14" s="21"/>
      <c r="J14" s="21"/>
      <c r="K14" s="21"/>
      <c r="L14" s="21"/>
      <c r="M14" s="21">
        <f t="shared" si="0"/>
        <v>15514.175592894981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0.20885458288126937</v>
      </c>
      <c r="C16" s="56">
        <f ca="1">'EF ele_warmte'!B22</f>
        <v>0.23764315717702914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25.497878429585999</v>
      </c>
      <c r="C18" s="23"/>
      <c r="D18" s="23">
        <f t="shared" ref="D18:M18" si="1">D14*D16</f>
        <v>87.528575949268586</v>
      </c>
      <c r="E18" s="23">
        <f t="shared" si="1"/>
        <v>97.220399268336905</v>
      </c>
      <c r="F18" s="23"/>
      <c r="G18" s="23">
        <f t="shared" si="1"/>
        <v>59092.53296389032</v>
      </c>
      <c r="H18" s="23">
        <f t="shared" si="1"/>
        <v>10367.947986441437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1.159515305061255E-3</v>
      </c>
      <c r="H50" s="319">
        <f t="shared" si="2"/>
        <v>0</v>
      </c>
      <c r="I50" s="319">
        <f t="shared" si="2"/>
        <v>0</v>
      </c>
      <c r="J50" s="319">
        <f t="shared" si="2"/>
        <v>0</v>
      </c>
      <c r="K50" s="319">
        <f t="shared" si="2"/>
        <v>0</v>
      </c>
      <c r="L50" s="319">
        <f t="shared" si="2"/>
        <v>0</v>
      </c>
      <c r="M50" s="319">
        <f t="shared" si="2"/>
        <v>6.4435849684645196E-5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1.159515305061255E-3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6.4435849684645196E-5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322.08758473923746</v>
      </c>
      <c r="H54" s="21">
        <f t="shared" si="3"/>
        <v>0</v>
      </c>
      <c r="I54" s="21">
        <f t="shared" si="3"/>
        <v>0</v>
      </c>
      <c r="J54" s="21">
        <f t="shared" si="3"/>
        <v>0</v>
      </c>
      <c r="K54" s="21">
        <f t="shared" si="3"/>
        <v>0</v>
      </c>
      <c r="L54" s="21">
        <f t="shared" si="3"/>
        <v>0</v>
      </c>
      <c r="M54" s="21">
        <f t="shared" si="3"/>
        <v>17.898847134623665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0.20885458288126937</v>
      </c>
      <c r="C56" s="56">
        <f ca="1">'EF ele_warmte'!B22</f>
        <v>0.23764315717702914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85.997385125376411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14501.921761000001</v>
      </c>
      <c r="D10" s="686">
        <f ca="1">tertiair!C16</f>
        <v>9.1317567567567561</v>
      </c>
      <c r="E10" s="686">
        <f ca="1">tertiair!D16</f>
        <v>11794.015674470273</v>
      </c>
      <c r="F10" s="686">
        <f>tertiair!E16</f>
        <v>165.12184718227996</v>
      </c>
      <c r="G10" s="686">
        <f ca="1">tertiair!F16</f>
        <v>1553.9701972314415</v>
      </c>
      <c r="H10" s="686">
        <f>tertiair!G16</f>
        <v>0</v>
      </c>
      <c r="I10" s="686">
        <f>tertiair!H16</f>
        <v>0</v>
      </c>
      <c r="J10" s="686">
        <f>tertiair!I16</f>
        <v>0</v>
      </c>
      <c r="K10" s="686">
        <f>tertiair!J16</f>
        <v>3.0883230543332179E-2</v>
      </c>
      <c r="L10" s="686">
        <f>tertiair!K16</f>
        <v>0</v>
      </c>
      <c r="M10" s="686">
        <f ca="1">tertiair!L16</f>
        <v>0</v>
      </c>
      <c r="N10" s="686">
        <f>tertiair!M16</f>
        <v>0</v>
      </c>
      <c r="O10" s="686">
        <f ca="1">tertiair!N16</f>
        <v>1214.4797344442484</v>
      </c>
      <c r="P10" s="686">
        <f>tertiair!O16</f>
        <v>29.383564595046927</v>
      </c>
      <c r="Q10" s="687">
        <f>tertiair!P16</f>
        <v>210.15655322598008</v>
      </c>
      <c r="R10" s="689">
        <f ca="1">SUM(C10:Q10)</f>
        <v>29478.211972136567</v>
      </c>
      <c r="S10" s="67"/>
    </row>
    <row r="11" spans="1:19" s="448" customFormat="1">
      <c r="A11" s="808" t="s">
        <v>224</v>
      </c>
      <c r="B11" s="813"/>
      <c r="C11" s="686">
        <f>huishoudens!B8</f>
        <v>23518.341578368076</v>
      </c>
      <c r="D11" s="686">
        <f>huishoudens!C8</f>
        <v>0</v>
      </c>
      <c r="E11" s="686">
        <f>huishoudens!D8</f>
        <v>30110.47122028</v>
      </c>
      <c r="F11" s="686">
        <f>huishoudens!E8</f>
        <v>20050.429440403197</v>
      </c>
      <c r="G11" s="686">
        <f>huishoudens!F8</f>
        <v>16582.348423079624</v>
      </c>
      <c r="H11" s="686">
        <f>huishoudens!G8</f>
        <v>0</v>
      </c>
      <c r="I11" s="686">
        <f>huishoudens!H8</f>
        <v>0</v>
      </c>
      <c r="J11" s="686">
        <f>huishoudens!I8</f>
        <v>0</v>
      </c>
      <c r="K11" s="686">
        <f>huishoudens!J8</f>
        <v>487.25683610938859</v>
      </c>
      <c r="L11" s="686">
        <f>huishoudens!K8</f>
        <v>0</v>
      </c>
      <c r="M11" s="686">
        <f>huishoudens!L8</f>
        <v>0</v>
      </c>
      <c r="N11" s="686">
        <f>huishoudens!M8</f>
        <v>0</v>
      </c>
      <c r="O11" s="686">
        <f>huishoudens!N8</f>
        <v>16951.454481556157</v>
      </c>
      <c r="P11" s="686">
        <f>huishoudens!O8</f>
        <v>406.71143497434156</v>
      </c>
      <c r="Q11" s="687">
        <f>huishoudens!P8</f>
        <v>695.2413143072115</v>
      </c>
      <c r="R11" s="689">
        <f>SUM(C11:Q11)</f>
        <v>108802.25472907796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2588.3856949999999</v>
      </c>
      <c r="D13" s="686">
        <f>industrie!C18</f>
        <v>0</v>
      </c>
      <c r="E13" s="686">
        <f>industrie!D18</f>
        <v>2227.4190850779996</v>
      </c>
      <c r="F13" s="686">
        <f>industrie!E18</f>
        <v>341.62892275330375</v>
      </c>
      <c r="G13" s="686">
        <f>industrie!F18</f>
        <v>1089.8969276982041</v>
      </c>
      <c r="H13" s="686">
        <f>industrie!G18</f>
        <v>0</v>
      </c>
      <c r="I13" s="686">
        <f>industrie!H18</f>
        <v>0</v>
      </c>
      <c r="J13" s="686">
        <f>industrie!I18</f>
        <v>0</v>
      </c>
      <c r="K13" s="686">
        <f>industrie!J18</f>
        <v>4.9090788564034398</v>
      </c>
      <c r="L13" s="686">
        <f>industrie!K18</f>
        <v>0</v>
      </c>
      <c r="M13" s="686">
        <f>industrie!L18</f>
        <v>0</v>
      </c>
      <c r="N13" s="686">
        <f>industrie!M18</f>
        <v>0</v>
      </c>
      <c r="O13" s="686">
        <f>industrie!N18</f>
        <v>148.51194648792449</v>
      </c>
      <c r="P13" s="686">
        <f>industrie!O18</f>
        <v>0</v>
      </c>
      <c r="Q13" s="687">
        <f>industrie!P18</f>
        <v>0</v>
      </c>
      <c r="R13" s="689">
        <f>SUM(C13:Q13)</f>
        <v>6400.7516558738353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40608.649034368071</v>
      </c>
      <c r="D16" s="722">
        <f t="shared" ref="D16:R16" ca="1" si="0">SUM(D9:D15)</f>
        <v>9.1317567567567561</v>
      </c>
      <c r="E16" s="722">
        <f t="shared" ca="1" si="0"/>
        <v>44131.905979828269</v>
      </c>
      <c r="F16" s="722">
        <f t="shared" si="0"/>
        <v>20557.180210338782</v>
      </c>
      <c r="G16" s="722">
        <f t="shared" ca="1" si="0"/>
        <v>19226.21554800927</v>
      </c>
      <c r="H16" s="722">
        <f t="shared" si="0"/>
        <v>0</v>
      </c>
      <c r="I16" s="722">
        <f t="shared" si="0"/>
        <v>0</v>
      </c>
      <c r="J16" s="722">
        <f t="shared" si="0"/>
        <v>0</v>
      </c>
      <c r="K16" s="722">
        <f t="shared" si="0"/>
        <v>492.19679819633535</v>
      </c>
      <c r="L16" s="722">
        <f t="shared" si="0"/>
        <v>0</v>
      </c>
      <c r="M16" s="722">
        <f t="shared" ca="1" si="0"/>
        <v>0</v>
      </c>
      <c r="N16" s="722">
        <f t="shared" si="0"/>
        <v>0</v>
      </c>
      <c r="O16" s="722">
        <f t="shared" ca="1" si="0"/>
        <v>18314.44616248833</v>
      </c>
      <c r="P16" s="722">
        <f t="shared" si="0"/>
        <v>436.09499956938851</v>
      </c>
      <c r="Q16" s="722">
        <f t="shared" si="0"/>
        <v>905.39786753319163</v>
      </c>
      <c r="R16" s="722">
        <f t="shared" ca="1" si="0"/>
        <v>144681.21835708836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322.08758473923746</v>
      </c>
      <c r="I19" s="686">
        <f>transport!H54</f>
        <v>0</v>
      </c>
      <c r="J19" s="686">
        <f>transport!I54</f>
        <v>0</v>
      </c>
      <c r="K19" s="686">
        <f>transport!J54</f>
        <v>0</v>
      </c>
      <c r="L19" s="686">
        <f>transport!K54</f>
        <v>0</v>
      </c>
      <c r="M19" s="686">
        <f>transport!L54</f>
        <v>0</v>
      </c>
      <c r="N19" s="686">
        <f>transport!M54</f>
        <v>17.898847134623665</v>
      </c>
      <c r="O19" s="686">
        <f>transport!N54</f>
        <v>0</v>
      </c>
      <c r="P19" s="686">
        <f>transport!O54</f>
        <v>0</v>
      </c>
      <c r="Q19" s="687">
        <f>transport!P54</f>
        <v>0</v>
      </c>
      <c r="R19" s="689">
        <f>SUM(C19:Q19)</f>
        <v>339.98643187386114</v>
      </c>
      <c r="S19" s="67"/>
    </row>
    <row r="20" spans="1:19" s="448" customFormat="1">
      <c r="A20" s="808" t="s">
        <v>306</v>
      </c>
      <c r="B20" s="813"/>
      <c r="C20" s="686">
        <f>transport!B14</f>
        <v>122.08436165406603</v>
      </c>
      <c r="D20" s="686">
        <f>transport!C14</f>
        <v>0</v>
      </c>
      <c r="E20" s="686">
        <f>transport!D14</f>
        <v>433.30978192707221</v>
      </c>
      <c r="F20" s="686">
        <f>transport!E14</f>
        <v>428.28369721734316</v>
      </c>
      <c r="G20" s="686">
        <f>transport!F14</f>
        <v>0</v>
      </c>
      <c r="H20" s="686">
        <f>transport!G14</f>
        <v>221320.34817936449</v>
      </c>
      <c r="I20" s="686">
        <f>transport!H14</f>
        <v>41638.345327074043</v>
      </c>
      <c r="J20" s="686">
        <f>transport!I14</f>
        <v>0</v>
      </c>
      <c r="K20" s="686">
        <f>transport!J14</f>
        <v>0</v>
      </c>
      <c r="L20" s="686">
        <f>transport!K14</f>
        <v>0</v>
      </c>
      <c r="M20" s="686">
        <f>transport!L14</f>
        <v>0</v>
      </c>
      <c r="N20" s="686">
        <f>transport!M14</f>
        <v>15514.175592894981</v>
      </c>
      <c r="O20" s="686">
        <f>transport!N14</f>
        <v>0</v>
      </c>
      <c r="P20" s="686">
        <f>transport!O14</f>
        <v>0</v>
      </c>
      <c r="Q20" s="687">
        <f>transport!P14</f>
        <v>0</v>
      </c>
      <c r="R20" s="689">
        <f>SUM(C20:Q20)</f>
        <v>279456.54694013199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122.08436165406603</v>
      </c>
      <c r="D22" s="811">
        <f t="shared" ref="D22:R22" si="1">SUM(D18:D21)</f>
        <v>0</v>
      </c>
      <c r="E22" s="811">
        <f t="shared" si="1"/>
        <v>433.30978192707221</v>
      </c>
      <c r="F22" s="811">
        <f t="shared" si="1"/>
        <v>428.28369721734316</v>
      </c>
      <c r="G22" s="811">
        <f t="shared" si="1"/>
        <v>0</v>
      </c>
      <c r="H22" s="811">
        <f t="shared" si="1"/>
        <v>221642.43576410372</v>
      </c>
      <c r="I22" s="811">
        <f t="shared" si="1"/>
        <v>41638.345327074043</v>
      </c>
      <c r="J22" s="811">
        <f t="shared" si="1"/>
        <v>0</v>
      </c>
      <c r="K22" s="811">
        <f t="shared" si="1"/>
        <v>0</v>
      </c>
      <c r="L22" s="811">
        <f t="shared" si="1"/>
        <v>0</v>
      </c>
      <c r="M22" s="811">
        <f t="shared" si="1"/>
        <v>0</v>
      </c>
      <c r="N22" s="811">
        <f t="shared" si="1"/>
        <v>15532.074440029604</v>
      </c>
      <c r="O22" s="811">
        <f t="shared" si="1"/>
        <v>0</v>
      </c>
      <c r="P22" s="811">
        <f t="shared" si="1"/>
        <v>0</v>
      </c>
      <c r="Q22" s="811">
        <f t="shared" si="1"/>
        <v>0</v>
      </c>
      <c r="R22" s="811">
        <f t="shared" si="1"/>
        <v>279796.53337200586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4824.5200249999998</v>
      </c>
      <c r="D24" s="686">
        <f>+landbouw!C8</f>
        <v>30857.142857142855</v>
      </c>
      <c r="E24" s="686">
        <f>+landbouw!D8</f>
        <v>15941.172012506271</v>
      </c>
      <c r="F24" s="686">
        <f>+landbouw!E8</f>
        <v>150.57167904981551</v>
      </c>
      <c r="G24" s="686">
        <f>+landbouw!F8</f>
        <v>17050.388214261162</v>
      </c>
      <c r="H24" s="686">
        <f>+landbouw!G8</f>
        <v>0</v>
      </c>
      <c r="I24" s="686">
        <f>+landbouw!H8</f>
        <v>0</v>
      </c>
      <c r="J24" s="686">
        <f>+landbouw!I8</f>
        <v>0</v>
      </c>
      <c r="K24" s="686">
        <f>+landbouw!J8</f>
        <v>1329.188724640652</v>
      </c>
      <c r="L24" s="686">
        <f>+landbouw!K8</f>
        <v>0</v>
      </c>
      <c r="M24" s="686">
        <f>+landbouw!L8</f>
        <v>0</v>
      </c>
      <c r="N24" s="686">
        <f>+landbouw!M8</f>
        <v>0</v>
      </c>
      <c r="O24" s="686">
        <f>+landbouw!N8</f>
        <v>0</v>
      </c>
      <c r="P24" s="686">
        <f>+landbouw!O8</f>
        <v>0</v>
      </c>
      <c r="Q24" s="687">
        <f>+landbouw!P8</f>
        <v>0</v>
      </c>
      <c r="R24" s="689">
        <f>SUM(C24:Q24)</f>
        <v>70152.983512600753</v>
      </c>
      <c r="S24" s="67"/>
    </row>
    <row r="25" spans="1:19" s="448" customFormat="1" ht="15" thickBot="1">
      <c r="A25" s="830" t="s">
        <v>724</v>
      </c>
      <c r="B25" s="949"/>
      <c r="C25" s="950">
        <f>IF(Onbekend_ele_kWh="---",0,Onbekend_ele_kWh)/1000+IF(REST_rest_ele_kWh="---",0,REST_rest_ele_kWh)/1000</f>
        <v>833.21270499999991</v>
      </c>
      <c r="D25" s="950"/>
      <c r="E25" s="950">
        <f>IF(onbekend_gas_kWh="---",0,onbekend_gas_kWh)/1000+IF(REST_rest_gas_kWh="---",0,REST_rest_gas_kWh)/1000</f>
        <v>899.18418399999996</v>
      </c>
      <c r="F25" s="950"/>
      <c r="G25" s="950"/>
      <c r="H25" s="950"/>
      <c r="I25" s="950"/>
      <c r="J25" s="950"/>
      <c r="K25" s="950"/>
      <c r="L25" s="950"/>
      <c r="M25" s="950"/>
      <c r="N25" s="950"/>
      <c r="O25" s="950"/>
      <c r="P25" s="950"/>
      <c r="Q25" s="951"/>
      <c r="R25" s="689">
        <f>SUM(C25:Q25)</f>
        <v>1732.3968889999999</v>
      </c>
      <c r="S25" s="67"/>
    </row>
    <row r="26" spans="1:19" s="448" customFormat="1" ht="15.75" thickBot="1">
      <c r="A26" s="694" t="s">
        <v>725</v>
      </c>
      <c r="B26" s="816"/>
      <c r="C26" s="811">
        <f>SUM(C24:C25)</f>
        <v>5657.7327299999997</v>
      </c>
      <c r="D26" s="811">
        <f t="shared" ref="D26:R26" si="2">SUM(D24:D25)</f>
        <v>30857.142857142855</v>
      </c>
      <c r="E26" s="811">
        <f t="shared" si="2"/>
        <v>16840.356196506273</v>
      </c>
      <c r="F26" s="811">
        <f t="shared" si="2"/>
        <v>150.57167904981551</v>
      </c>
      <c r="G26" s="811">
        <f t="shared" si="2"/>
        <v>17050.388214261162</v>
      </c>
      <c r="H26" s="811">
        <f t="shared" si="2"/>
        <v>0</v>
      </c>
      <c r="I26" s="811">
        <f t="shared" si="2"/>
        <v>0</v>
      </c>
      <c r="J26" s="811">
        <f t="shared" si="2"/>
        <v>0</v>
      </c>
      <c r="K26" s="811">
        <f t="shared" si="2"/>
        <v>1329.188724640652</v>
      </c>
      <c r="L26" s="811">
        <f t="shared" si="2"/>
        <v>0</v>
      </c>
      <c r="M26" s="811">
        <f t="shared" si="2"/>
        <v>0</v>
      </c>
      <c r="N26" s="811">
        <f t="shared" si="2"/>
        <v>0</v>
      </c>
      <c r="O26" s="811">
        <f t="shared" si="2"/>
        <v>0</v>
      </c>
      <c r="P26" s="811">
        <f t="shared" si="2"/>
        <v>0</v>
      </c>
      <c r="Q26" s="811">
        <f t="shared" si="2"/>
        <v>0</v>
      </c>
      <c r="R26" s="811">
        <f t="shared" si="2"/>
        <v>71885.380401600749</v>
      </c>
      <c r="S26" s="67"/>
    </row>
    <row r="27" spans="1:19" s="448" customFormat="1" ht="17.25" thickTop="1" thickBot="1">
      <c r="A27" s="695" t="s">
        <v>115</v>
      </c>
      <c r="B27" s="803"/>
      <c r="C27" s="696">
        <f ca="1">C22+C16+C26</f>
        <v>46388.466126022133</v>
      </c>
      <c r="D27" s="696">
        <f t="shared" ref="D27:R27" ca="1" si="3">D22+D16+D26</f>
        <v>30866.274613899612</v>
      </c>
      <c r="E27" s="696">
        <f t="shared" ca="1" si="3"/>
        <v>61405.571958261615</v>
      </c>
      <c r="F27" s="696">
        <f t="shared" si="3"/>
        <v>21136.03558660594</v>
      </c>
      <c r="G27" s="696">
        <f t="shared" ca="1" si="3"/>
        <v>36276.603762270432</v>
      </c>
      <c r="H27" s="696">
        <f t="shared" si="3"/>
        <v>221642.43576410372</v>
      </c>
      <c r="I27" s="696">
        <f t="shared" si="3"/>
        <v>41638.345327074043</v>
      </c>
      <c r="J27" s="696">
        <f t="shared" si="3"/>
        <v>0</v>
      </c>
      <c r="K27" s="696">
        <f t="shared" si="3"/>
        <v>1821.3855228369873</v>
      </c>
      <c r="L27" s="696">
        <f t="shared" si="3"/>
        <v>0</v>
      </c>
      <c r="M27" s="696">
        <f t="shared" ca="1" si="3"/>
        <v>0</v>
      </c>
      <c r="N27" s="696">
        <f t="shared" si="3"/>
        <v>15532.074440029604</v>
      </c>
      <c r="O27" s="696">
        <f t="shared" ca="1" si="3"/>
        <v>18314.44616248833</v>
      </c>
      <c r="P27" s="696">
        <f t="shared" si="3"/>
        <v>436.09499956938851</v>
      </c>
      <c r="Q27" s="696">
        <f t="shared" si="3"/>
        <v>905.39786753319163</v>
      </c>
      <c r="R27" s="696">
        <f t="shared" ca="1" si="3"/>
        <v>496363.13213069492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3028.7928203704587</v>
      </c>
      <c r="D40" s="686">
        <f ca="1">tertiair!C20</f>
        <v>2.1700995062483437</v>
      </c>
      <c r="E40" s="686">
        <f ca="1">tertiair!D20</f>
        <v>2382.391166242995</v>
      </c>
      <c r="F40" s="686">
        <f>tertiair!E20</f>
        <v>37.482659310377556</v>
      </c>
      <c r="G40" s="686">
        <f ca="1">tertiair!F20</f>
        <v>414.91004266079489</v>
      </c>
      <c r="H40" s="686">
        <f>tertiair!G20</f>
        <v>0</v>
      </c>
      <c r="I40" s="686">
        <f>tertiair!H20</f>
        <v>0</v>
      </c>
      <c r="J40" s="686">
        <f>tertiair!I20</f>
        <v>0</v>
      </c>
      <c r="K40" s="686">
        <f>tertiair!J20</f>
        <v>1.0932663612339591E-2</v>
      </c>
      <c r="L40" s="686">
        <f>tertiair!K20</f>
        <v>0</v>
      </c>
      <c r="M40" s="686">
        <f ca="1">tertiair!L20</f>
        <v>0</v>
      </c>
      <c r="N40" s="686">
        <f>tertiair!M20</f>
        <v>0</v>
      </c>
      <c r="O40" s="686">
        <f ca="1">tertiair!N20</f>
        <v>0</v>
      </c>
      <c r="P40" s="686">
        <f>tertiair!O20</f>
        <v>0</v>
      </c>
      <c r="Q40" s="769">
        <f>tertiair!P20</f>
        <v>0</v>
      </c>
      <c r="R40" s="849">
        <f t="shared" ca="1" si="4"/>
        <v>5865.7577207544855</v>
      </c>
    </row>
    <row r="41" spans="1:18">
      <c r="A41" s="821" t="s">
        <v>224</v>
      </c>
      <c r="B41" s="828"/>
      <c r="C41" s="686">
        <f ca="1">huishoudens!B12</f>
        <v>4911.9134204092788</v>
      </c>
      <c r="D41" s="686">
        <f ca="1">huishoudens!C12</f>
        <v>0</v>
      </c>
      <c r="E41" s="686">
        <f>huishoudens!D12</f>
        <v>6082.3151864965603</v>
      </c>
      <c r="F41" s="686">
        <f>huishoudens!E12</f>
        <v>4551.4474829715255</v>
      </c>
      <c r="G41" s="686">
        <f>huishoudens!F12</f>
        <v>4427.4870289622595</v>
      </c>
      <c r="H41" s="686">
        <f>huishoudens!G12</f>
        <v>0</v>
      </c>
      <c r="I41" s="686">
        <f>huishoudens!H12</f>
        <v>0</v>
      </c>
      <c r="J41" s="686">
        <f>huishoudens!I12</f>
        <v>0</v>
      </c>
      <c r="K41" s="686">
        <f>huishoudens!J12</f>
        <v>172.48891998272356</v>
      </c>
      <c r="L41" s="686">
        <f>huishoudens!K12</f>
        <v>0</v>
      </c>
      <c r="M41" s="686">
        <f>huishoudens!L12</f>
        <v>0</v>
      </c>
      <c r="N41" s="686">
        <f>huishoudens!M12</f>
        <v>0</v>
      </c>
      <c r="O41" s="686">
        <f>huishoudens!N12</f>
        <v>0</v>
      </c>
      <c r="P41" s="686">
        <f>huishoudens!O12</f>
        <v>0</v>
      </c>
      <c r="Q41" s="769">
        <f>huishoudens!P12</f>
        <v>0</v>
      </c>
      <c r="R41" s="849">
        <f t="shared" ca="1" si="4"/>
        <v>20145.652038822347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540.59621466506951</v>
      </c>
      <c r="D43" s="686">
        <f ca="1">industrie!C22</f>
        <v>0</v>
      </c>
      <c r="E43" s="686">
        <f>industrie!D22</f>
        <v>449.93865518575598</v>
      </c>
      <c r="F43" s="686">
        <f>industrie!E22</f>
        <v>77.54976546499995</v>
      </c>
      <c r="G43" s="686">
        <f>industrie!F22</f>
        <v>291.0024796954205</v>
      </c>
      <c r="H43" s="686">
        <f>industrie!G22</f>
        <v>0</v>
      </c>
      <c r="I43" s="686">
        <f>industrie!H22</f>
        <v>0</v>
      </c>
      <c r="J43" s="686">
        <f>industrie!I22</f>
        <v>0</v>
      </c>
      <c r="K43" s="686">
        <f>industrie!J22</f>
        <v>1.7378139151668175</v>
      </c>
      <c r="L43" s="686">
        <f>industrie!K22</f>
        <v>0</v>
      </c>
      <c r="M43" s="686">
        <f>industrie!L22</f>
        <v>0</v>
      </c>
      <c r="N43" s="686">
        <f>industrie!M22</f>
        <v>0</v>
      </c>
      <c r="O43" s="686">
        <f>industrie!N22</f>
        <v>0</v>
      </c>
      <c r="P43" s="686">
        <f>industrie!O22</f>
        <v>0</v>
      </c>
      <c r="Q43" s="769">
        <f>industrie!P22</f>
        <v>0</v>
      </c>
      <c r="R43" s="848">
        <f t="shared" ca="1" si="4"/>
        <v>1360.8249289264127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8481.3024554448075</v>
      </c>
      <c r="D46" s="722">
        <f t="shared" ref="D46:Q46" ca="1" si="5">SUM(D39:D45)</f>
        <v>2.1700995062483437</v>
      </c>
      <c r="E46" s="722">
        <f t="shared" ca="1" si="5"/>
        <v>8914.64500792531</v>
      </c>
      <c r="F46" s="722">
        <f t="shared" si="5"/>
        <v>4666.4799077469024</v>
      </c>
      <c r="G46" s="722">
        <f t="shared" ca="1" si="5"/>
        <v>5133.3995513184746</v>
      </c>
      <c r="H46" s="722">
        <f t="shared" si="5"/>
        <v>0</v>
      </c>
      <c r="I46" s="722">
        <f t="shared" si="5"/>
        <v>0</v>
      </c>
      <c r="J46" s="722">
        <f t="shared" si="5"/>
        <v>0</v>
      </c>
      <c r="K46" s="722">
        <f t="shared" si="5"/>
        <v>174.23766656150272</v>
      </c>
      <c r="L46" s="722">
        <f t="shared" si="5"/>
        <v>0</v>
      </c>
      <c r="M46" s="722">
        <f t="shared" ca="1" si="5"/>
        <v>0</v>
      </c>
      <c r="N46" s="722">
        <f t="shared" si="5"/>
        <v>0</v>
      </c>
      <c r="O46" s="722">
        <f t="shared" ca="1" si="5"/>
        <v>0</v>
      </c>
      <c r="P46" s="722">
        <f t="shared" si="5"/>
        <v>0</v>
      </c>
      <c r="Q46" s="722">
        <f t="shared" si="5"/>
        <v>0</v>
      </c>
      <c r="R46" s="722">
        <f ca="1">SUM(R39:R45)</f>
        <v>27372.234688503246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85.997385125376411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85.997385125376411</v>
      </c>
    </row>
    <row r="50" spans="1:18">
      <c r="A50" s="824" t="s">
        <v>306</v>
      </c>
      <c r="B50" s="834"/>
      <c r="C50" s="692">
        <f ca="1">transport!B18</f>
        <v>25.497878429585999</v>
      </c>
      <c r="D50" s="692">
        <f>transport!C18</f>
        <v>0</v>
      </c>
      <c r="E50" s="692">
        <f>transport!D18</f>
        <v>87.528575949268586</v>
      </c>
      <c r="F50" s="692">
        <f>transport!E18</f>
        <v>97.220399268336905</v>
      </c>
      <c r="G50" s="692">
        <f>transport!F18</f>
        <v>0</v>
      </c>
      <c r="H50" s="692">
        <f>transport!G18</f>
        <v>59092.53296389032</v>
      </c>
      <c r="I50" s="692">
        <f>transport!H18</f>
        <v>10367.947986441437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69670.727803978953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25.497878429585999</v>
      </c>
      <c r="D52" s="722">
        <f t="shared" ref="D52:Q52" ca="1" si="6">SUM(D48:D51)</f>
        <v>0</v>
      </c>
      <c r="E52" s="722">
        <f t="shared" si="6"/>
        <v>87.528575949268586</v>
      </c>
      <c r="F52" s="722">
        <f t="shared" si="6"/>
        <v>97.220399268336905</v>
      </c>
      <c r="G52" s="722">
        <f t="shared" si="6"/>
        <v>0</v>
      </c>
      <c r="H52" s="722">
        <f t="shared" si="6"/>
        <v>59178.530349015695</v>
      </c>
      <c r="I52" s="722">
        <f t="shared" si="6"/>
        <v>10367.947986441437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69756.725189104327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1007.6231174237063</v>
      </c>
      <c r="D54" s="692">
        <f ca="1">+landbouw!C12</f>
        <v>7332.9888500340412</v>
      </c>
      <c r="E54" s="692">
        <f>+landbouw!D12</f>
        <v>3220.116746526267</v>
      </c>
      <c r="F54" s="692">
        <f>+landbouw!E12</f>
        <v>34.17977114430812</v>
      </c>
      <c r="G54" s="692">
        <f>+landbouw!F12</f>
        <v>4552.4536532077309</v>
      </c>
      <c r="H54" s="692">
        <f>+landbouw!G12</f>
        <v>0</v>
      </c>
      <c r="I54" s="692">
        <f>+landbouw!H12</f>
        <v>0</v>
      </c>
      <c r="J54" s="692">
        <f>+landbouw!I12</f>
        <v>0</v>
      </c>
      <c r="K54" s="692">
        <f>+landbouw!J12</f>
        <v>470.53280852279079</v>
      </c>
      <c r="L54" s="692">
        <f>+landbouw!K12</f>
        <v>0</v>
      </c>
      <c r="M54" s="692">
        <f>+landbouw!L12</f>
        <v>0</v>
      </c>
      <c r="N54" s="692">
        <f>+landbouw!M12</f>
        <v>0</v>
      </c>
      <c r="O54" s="692">
        <f>+landbouw!N12</f>
        <v>0</v>
      </c>
      <c r="P54" s="692">
        <f>+landbouw!O12</f>
        <v>0</v>
      </c>
      <c r="Q54" s="693">
        <f>+landbouw!P12</f>
        <v>0</v>
      </c>
      <c r="R54" s="721">
        <f ca="1">SUM(C54:Q54)</f>
        <v>16617.894946858847</v>
      </c>
    </row>
    <row r="55" spans="1:18" ht="15" thickBot="1">
      <c r="A55" s="824" t="s">
        <v>724</v>
      </c>
      <c r="B55" s="834"/>
      <c r="C55" s="692">
        <f ca="1">C25*'EF ele_warmte'!B12</f>
        <v>174.02029195414914</v>
      </c>
      <c r="D55" s="692"/>
      <c r="E55" s="692">
        <f>E25*EF_CO2_aardgas</f>
        <v>181.635205168</v>
      </c>
      <c r="F55" s="692"/>
      <c r="G55" s="692"/>
      <c r="H55" s="692"/>
      <c r="I55" s="692"/>
      <c r="J55" s="692"/>
      <c r="K55" s="692"/>
      <c r="L55" s="692"/>
      <c r="M55" s="692"/>
      <c r="N55" s="692"/>
      <c r="O55" s="692"/>
      <c r="P55" s="692"/>
      <c r="Q55" s="693"/>
      <c r="R55" s="721">
        <f ca="1">SUM(C55:Q55)</f>
        <v>355.65549712214914</v>
      </c>
    </row>
    <row r="56" spans="1:18" ht="15.75" thickBot="1">
      <c r="A56" s="822" t="s">
        <v>725</v>
      </c>
      <c r="B56" s="835"/>
      <c r="C56" s="722">
        <f ca="1">SUM(C54:C55)</f>
        <v>1181.6434093778555</v>
      </c>
      <c r="D56" s="722">
        <f t="shared" ref="D56:Q56" ca="1" si="7">SUM(D54:D55)</f>
        <v>7332.9888500340412</v>
      </c>
      <c r="E56" s="722">
        <f t="shared" si="7"/>
        <v>3401.7519516942671</v>
      </c>
      <c r="F56" s="722">
        <f t="shared" si="7"/>
        <v>34.17977114430812</v>
      </c>
      <c r="G56" s="722">
        <f t="shared" si="7"/>
        <v>4552.4536532077309</v>
      </c>
      <c r="H56" s="722">
        <f t="shared" si="7"/>
        <v>0</v>
      </c>
      <c r="I56" s="722">
        <f t="shared" si="7"/>
        <v>0</v>
      </c>
      <c r="J56" s="722">
        <f t="shared" si="7"/>
        <v>0</v>
      </c>
      <c r="K56" s="722">
        <f t="shared" si="7"/>
        <v>470.53280852279079</v>
      </c>
      <c r="L56" s="722">
        <f t="shared" si="7"/>
        <v>0</v>
      </c>
      <c r="M56" s="722">
        <f t="shared" si="7"/>
        <v>0</v>
      </c>
      <c r="N56" s="722">
        <f t="shared" si="7"/>
        <v>0</v>
      </c>
      <c r="O56" s="722">
        <f t="shared" si="7"/>
        <v>0</v>
      </c>
      <c r="P56" s="722">
        <f t="shared" si="7"/>
        <v>0</v>
      </c>
      <c r="Q56" s="723">
        <f t="shared" si="7"/>
        <v>0</v>
      </c>
      <c r="R56" s="724">
        <f ca="1">SUM(R54:R55)</f>
        <v>16973.550443980996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9688.4437432522482</v>
      </c>
      <c r="D61" s="730">
        <f t="shared" ref="D61:Q61" ca="1" si="8">D46+D52+D56</f>
        <v>7335.1589495402895</v>
      </c>
      <c r="E61" s="730">
        <f t="shared" ca="1" si="8"/>
        <v>12403.925535568846</v>
      </c>
      <c r="F61" s="730">
        <f t="shared" si="8"/>
        <v>4797.8800781595473</v>
      </c>
      <c r="G61" s="730">
        <f t="shared" ca="1" si="8"/>
        <v>9685.8532045262054</v>
      </c>
      <c r="H61" s="730">
        <f t="shared" si="8"/>
        <v>59178.530349015695</v>
      </c>
      <c r="I61" s="730">
        <f t="shared" si="8"/>
        <v>10367.947986441437</v>
      </c>
      <c r="J61" s="730">
        <f t="shared" si="8"/>
        <v>0</v>
      </c>
      <c r="K61" s="730">
        <f t="shared" si="8"/>
        <v>644.77047508429348</v>
      </c>
      <c r="L61" s="730">
        <f t="shared" si="8"/>
        <v>0</v>
      </c>
      <c r="M61" s="730">
        <f t="shared" ca="1" si="8"/>
        <v>0</v>
      </c>
      <c r="N61" s="730">
        <f t="shared" si="8"/>
        <v>0</v>
      </c>
      <c r="O61" s="730">
        <f t="shared" ca="1" si="8"/>
        <v>0</v>
      </c>
      <c r="P61" s="730">
        <f t="shared" si="8"/>
        <v>0</v>
      </c>
      <c r="Q61" s="730">
        <f t="shared" si="8"/>
        <v>0</v>
      </c>
      <c r="R61" s="730">
        <f ca="1">R46+R52+R56</f>
        <v>114102.51032158858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0.2088545828812694</v>
      </c>
      <c r="D63" s="776">
        <f t="shared" ca="1" si="9"/>
        <v>0.23764315717702914</v>
      </c>
      <c r="E63" s="975">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4176.4957726220646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21606.375</v>
      </c>
      <c r="D76" s="958">
        <f>'lokale energieproductie'!C8</f>
        <v>25418.847376984315</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5134.6071701508317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4176.4957726220646</v>
      </c>
      <c r="C78" s="748">
        <f>SUM(C72:C77)</f>
        <v>21606.375</v>
      </c>
      <c r="D78" s="749">
        <f t="shared" ref="D78:H78" si="10">SUM(D76:D77)</f>
        <v>25418.847376984315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5134.6071701508317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30866.274613899612</v>
      </c>
      <c r="D87" s="772">
        <f>'lokale energieproductie'!C17</f>
        <v>36312.668067031133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7335.1589495402895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30866.274613899612</v>
      </c>
      <c r="D90" s="748">
        <f t="shared" ref="D90:H90" si="12">SUM(D87:D89)</f>
        <v>36312.668067031133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7335.1589495402895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4176.4957726220646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21606.375</v>
      </c>
      <c r="C8" s="548">
        <f>B51</f>
        <v>25418.847376984315</v>
      </c>
      <c r="D8" s="549"/>
      <c r="E8" s="549">
        <f>E51</f>
        <v>0</v>
      </c>
      <c r="F8" s="550"/>
      <c r="G8" s="551"/>
      <c r="H8" s="549">
        <f>I51</f>
        <v>0</v>
      </c>
      <c r="I8" s="549">
        <f>G51+F51</f>
        <v>0</v>
      </c>
      <c r="J8" s="549">
        <f>H51+D51+C51</f>
        <v>0</v>
      </c>
      <c r="K8" s="549"/>
      <c r="L8" s="549"/>
      <c r="M8" s="549"/>
      <c r="N8" s="552"/>
      <c r="O8" s="553">
        <f>C8*$C$12+D8*$D$12+E8*$E$12+F8*$F$12+G8*$G$12+H8*$H$12+I8*$I$12+J8*$J$12</f>
        <v>5134.6071701508317</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25782.870772622064</v>
      </c>
      <c r="C10" s="563">
        <f t="shared" ref="C10:L10" si="0">SUM(C8:C9)</f>
        <v>25418.847376984315</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5134.6071701508317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30866.274613899612</v>
      </c>
      <c r="C17" s="579">
        <f>B52</f>
        <v>36312.668067031133</v>
      </c>
      <c r="D17" s="580"/>
      <c r="E17" s="580">
        <f>E52</f>
        <v>0</v>
      </c>
      <c r="F17" s="581"/>
      <c r="G17" s="582"/>
      <c r="H17" s="579">
        <f>I52</f>
        <v>0</v>
      </c>
      <c r="I17" s="580">
        <f>G52+F52</f>
        <v>0</v>
      </c>
      <c r="J17" s="580">
        <f>H52+D52+C52</f>
        <v>0</v>
      </c>
      <c r="K17" s="580"/>
      <c r="L17" s="580"/>
      <c r="M17" s="580"/>
      <c r="N17" s="972"/>
      <c r="O17" s="583">
        <f>C17*$C$22+E17*$E$22+H17*$H$22+I17*$I$22+J17*$J$22+D17*$D$22+F17*$F$22+G17*$G$22+K17*$K$22+L17*$L$22</f>
        <v>7335.1589495402895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30866.274613899612</v>
      </c>
      <c r="C20" s="562">
        <f>SUM(C17:C19)</f>
        <v>36312.668067031133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7335.1589495402895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44049</v>
      </c>
      <c r="C28" s="791">
        <v>9850</v>
      </c>
      <c r="D28" s="640" t="s">
        <v>888</v>
      </c>
      <c r="E28" s="639" t="s">
        <v>889</v>
      </c>
      <c r="F28" s="639" t="s">
        <v>890</v>
      </c>
      <c r="G28" s="639" t="s">
        <v>891</v>
      </c>
      <c r="H28" s="639" t="s">
        <v>892</v>
      </c>
      <c r="I28" s="639" t="s">
        <v>889</v>
      </c>
      <c r="J28" s="790">
        <v>39436</v>
      </c>
      <c r="K28" s="790">
        <v>39436</v>
      </c>
      <c r="L28" s="639" t="s">
        <v>893</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25.5">
      <c r="A29" s="592"/>
      <c r="B29" s="791">
        <v>44049</v>
      </c>
      <c r="C29" s="791">
        <v>9850</v>
      </c>
      <c r="D29" s="640" t="s">
        <v>894</v>
      </c>
      <c r="E29" s="639" t="s">
        <v>895</v>
      </c>
      <c r="F29" s="639" t="s">
        <v>896</v>
      </c>
      <c r="G29" s="639" t="s">
        <v>891</v>
      </c>
      <c r="H29" s="639" t="s">
        <v>892</v>
      </c>
      <c r="I29" s="639" t="s">
        <v>895</v>
      </c>
      <c r="J29" s="790">
        <v>39496</v>
      </c>
      <c r="K29" s="790">
        <v>39542</v>
      </c>
      <c r="L29" s="639" t="s">
        <v>893</v>
      </c>
      <c r="M29" s="639">
        <v>2000</v>
      </c>
      <c r="N29" s="639">
        <v>9000</v>
      </c>
      <c r="O29" s="639">
        <v>12857.142857142857</v>
      </c>
      <c r="P29" s="639">
        <v>25714.285714285717</v>
      </c>
      <c r="Q29" s="639">
        <v>0</v>
      </c>
      <c r="R29" s="639">
        <v>0</v>
      </c>
      <c r="S29" s="639">
        <v>0</v>
      </c>
      <c r="T29" s="639">
        <v>0</v>
      </c>
      <c r="U29" s="639">
        <v>0</v>
      </c>
      <c r="V29" s="639">
        <v>0</v>
      </c>
      <c r="W29" s="639">
        <v>0</v>
      </c>
      <c r="X29" s="639">
        <v>10</v>
      </c>
      <c r="Y29" s="639" t="s">
        <v>111</v>
      </c>
      <c r="Z29" s="641" t="s">
        <v>111</v>
      </c>
    </row>
    <row r="30" spans="1:26" s="593" customFormat="1" ht="25.5">
      <c r="A30" s="592"/>
      <c r="B30" s="791">
        <v>44049</v>
      </c>
      <c r="C30" s="791">
        <v>9850</v>
      </c>
      <c r="D30" s="640" t="s">
        <v>897</v>
      </c>
      <c r="E30" s="639" t="s">
        <v>898</v>
      </c>
      <c r="F30" s="639" t="s">
        <v>899</v>
      </c>
      <c r="G30" s="639" t="s">
        <v>891</v>
      </c>
      <c r="H30" s="639" t="s">
        <v>892</v>
      </c>
      <c r="I30" s="639" t="s">
        <v>898</v>
      </c>
      <c r="J30" s="790">
        <v>39898</v>
      </c>
      <c r="K30" s="790">
        <v>39708</v>
      </c>
      <c r="L30" s="639" t="s">
        <v>893</v>
      </c>
      <c r="M30" s="639">
        <v>800</v>
      </c>
      <c r="N30" s="639">
        <v>3600</v>
      </c>
      <c r="O30" s="639">
        <v>5142.8571428571431</v>
      </c>
      <c r="P30" s="639">
        <v>10285.714285714286</v>
      </c>
      <c r="Q30" s="639">
        <v>0</v>
      </c>
      <c r="R30" s="639">
        <v>0</v>
      </c>
      <c r="S30" s="639">
        <v>0</v>
      </c>
      <c r="T30" s="639">
        <v>0</v>
      </c>
      <c r="U30" s="639">
        <v>0</v>
      </c>
      <c r="V30" s="639">
        <v>0</v>
      </c>
      <c r="W30" s="639">
        <v>0</v>
      </c>
      <c r="X30" s="639">
        <v>10</v>
      </c>
      <c r="Y30" s="639" t="s">
        <v>111</v>
      </c>
      <c r="Z30" s="641" t="s">
        <v>111</v>
      </c>
    </row>
    <row r="31" spans="1:26" s="593" customFormat="1" ht="12.75">
      <c r="A31" s="592"/>
      <c r="B31" s="791">
        <v>44049</v>
      </c>
      <c r="C31" s="791">
        <v>9850</v>
      </c>
      <c r="D31" s="640" t="s">
        <v>900</v>
      </c>
      <c r="E31" s="639"/>
      <c r="F31" s="639" t="s">
        <v>901</v>
      </c>
      <c r="G31" s="639" t="s">
        <v>902</v>
      </c>
      <c r="H31" s="639" t="s">
        <v>903</v>
      </c>
      <c r="I31" s="639" t="s">
        <v>904</v>
      </c>
      <c r="J31" s="790">
        <v>42824</v>
      </c>
      <c r="K31" s="790">
        <v>42824</v>
      </c>
      <c r="L31" s="639" t="s">
        <v>905</v>
      </c>
      <c r="M31" s="639">
        <v>1.7</v>
      </c>
      <c r="N31" s="639">
        <v>6.375</v>
      </c>
      <c r="O31" s="639">
        <v>9.1317567567567561</v>
      </c>
      <c r="P31" s="639">
        <v>17.22972972972973</v>
      </c>
      <c r="Q31" s="639">
        <v>0</v>
      </c>
      <c r="R31" s="639">
        <v>0</v>
      </c>
      <c r="S31" s="639">
        <v>0</v>
      </c>
      <c r="T31" s="639">
        <v>0</v>
      </c>
      <c r="U31" s="639">
        <v>0</v>
      </c>
      <c r="V31" s="639">
        <v>0</v>
      </c>
      <c r="W31" s="639">
        <v>0</v>
      </c>
      <c r="X31" s="639">
        <v>1100</v>
      </c>
      <c r="Y31" s="639" t="s">
        <v>160</v>
      </c>
      <c r="Z31" s="641" t="s">
        <v>155</v>
      </c>
    </row>
    <row r="32" spans="1:26" s="573" customFormat="1">
      <c r="A32" s="595" t="s">
        <v>279</v>
      </c>
      <c r="B32" s="596"/>
      <c r="C32" s="596"/>
      <c r="D32" s="596"/>
      <c r="E32" s="596"/>
      <c r="F32" s="596"/>
      <c r="G32" s="596"/>
      <c r="H32" s="596"/>
      <c r="I32" s="596"/>
      <c r="J32" s="596"/>
      <c r="K32" s="596"/>
      <c r="L32" s="597"/>
      <c r="M32" s="597">
        <f>SUM(M28:M31)</f>
        <v>4801.7</v>
      </c>
      <c r="N32" s="597">
        <f>SUM(N28:N31)</f>
        <v>21606.375</v>
      </c>
      <c r="O32" s="597">
        <f>SUM(O28:O31)</f>
        <v>30866.274613899612</v>
      </c>
      <c r="P32" s="597">
        <f>SUM(P28:P31)</f>
        <v>61731.515444015451</v>
      </c>
      <c r="Q32" s="597">
        <f>SUM(Q28:Q31)</f>
        <v>0</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1.7</v>
      </c>
      <c r="N34" s="597">
        <f ca="1">SUMIF($Z$28:AD31,"tertiair",N28:N31)</f>
        <v>6.375</v>
      </c>
      <c r="O34" s="597">
        <f ca="1">SUMIF($Z$28:AE31,"tertiair",O28:O31)</f>
        <v>9.1317567567567561</v>
      </c>
      <c r="P34" s="597">
        <f ca="1">SUMIF($Z$28:AF31,"tertiair",P28:P31)</f>
        <v>17.22972972972973</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4800</v>
      </c>
      <c r="N35" s="602">
        <f>SUMIF($Z$28:$Z$31,"landbouw",N28:N31)</f>
        <v>21600</v>
      </c>
      <c r="O35" s="602">
        <f>SUMIF($Z$28:$Z$31,"landbouw",O28:O31)</f>
        <v>30857.142857142855</v>
      </c>
      <c r="P35" s="602">
        <f>SUMIF($Z$28:$Z$31,"landbouw",P28:P31)</f>
        <v>61714.285714285725</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0.58823548726846386</v>
      </c>
      <c r="C48" s="622">
        <f>IF(ISERROR(N32/(O32+N32)),0,N32/(N32+O32))</f>
        <v>0.41176451273153608</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25418.847376984315</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36312.668067031133</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23518.341578368076</v>
      </c>
      <c r="C4" s="452">
        <f>huishoudens!C8</f>
        <v>0</v>
      </c>
      <c r="D4" s="452">
        <f>huishoudens!D8</f>
        <v>30110.47122028</v>
      </c>
      <c r="E4" s="452">
        <f>huishoudens!E8</f>
        <v>20050.429440403197</v>
      </c>
      <c r="F4" s="452">
        <f>huishoudens!F8</f>
        <v>16582.348423079624</v>
      </c>
      <c r="G4" s="452">
        <f>huishoudens!G8</f>
        <v>0</v>
      </c>
      <c r="H4" s="452">
        <f>huishoudens!H8</f>
        <v>0</v>
      </c>
      <c r="I4" s="452">
        <f>huishoudens!I8</f>
        <v>0</v>
      </c>
      <c r="J4" s="452">
        <f>huishoudens!J8</f>
        <v>487.25683610938859</v>
      </c>
      <c r="K4" s="452">
        <f>huishoudens!K8</f>
        <v>0</v>
      </c>
      <c r="L4" s="452">
        <f>huishoudens!L8</f>
        <v>0</v>
      </c>
      <c r="M4" s="452">
        <f>huishoudens!M8</f>
        <v>0</v>
      </c>
      <c r="N4" s="452">
        <f>huishoudens!N8</f>
        <v>16951.454481556157</v>
      </c>
      <c r="O4" s="452">
        <f>huishoudens!O8</f>
        <v>406.71143497434156</v>
      </c>
      <c r="P4" s="453">
        <f>huishoudens!P8</f>
        <v>695.2413143072115</v>
      </c>
      <c r="Q4" s="454">
        <f>SUM(B4:P4)</f>
        <v>108802.25472907796</v>
      </c>
    </row>
    <row r="5" spans="1:17">
      <c r="A5" s="451" t="s">
        <v>155</v>
      </c>
      <c r="B5" s="452">
        <f ca="1">tertiair!B16</f>
        <v>13314.635761000001</v>
      </c>
      <c r="C5" s="452">
        <f ca="1">tertiair!C16</f>
        <v>9.1317567567567561</v>
      </c>
      <c r="D5" s="452">
        <f ca="1">tertiair!D16</f>
        <v>11794.015674470273</v>
      </c>
      <c r="E5" s="452">
        <f>tertiair!E16</f>
        <v>165.12184718227996</v>
      </c>
      <c r="F5" s="452">
        <f ca="1">tertiair!F16</f>
        <v>1553.9701972314415</v>
      </c>
      <c r="G5" s="452">
        <f>tertiair!G16</f>
        <v>0</v>
      </c>
      <c r="H5" s="452">
        <f>tertiair!H16</f>
        <v>0</v>
      </c>
      <c r="I5" s="452">
        <f>tertiair!I16</f>
        <v>0</v>
      </c>
      <c r="J5" s="452">
        <f>tertiair!J16</f>
        <v>3.0883230543332179E-2</v>
      </c>
      <c r="K5" s="452">
        <f>tertiair!K16</f>
        <v>0</v>
      </c>
      <c r="L5" s="452">
        <f ca="1">tertiair!L16</f>
        <v>0</v>
      </c>
      <c r="M5" s="452">
        <f>tertiair!M16</f>
        <v>0</v>
      </c>
      <c r="N5" s="452">
        <f ca="1">tertiair!N16</f>
        <v>1214.4797344442484</v>
      </c>
      <c r="O5" s="452">
        <f>tertiair!O16</f>
        <v>29.383564595046927</v>
      </c>
      <c r="P5" s="453">
        <f>tertiair!P16</f>
        <v>210.15655322598008</v>
      </c>
      <c r="Q5" s="451">
        <f t="shared" ref="Q5:Q14" ca="1" si="0">SUM(B5:P5)</f>
        <v>28290.925972136567</v>
      </c>
    </row>
    <row r="6" spans="1:17">
      <c r="A6" s="451" t="s">
        <v>193</v>
      </c>
      <c r="B6" s="452">
        <f>'openbare verlichting'!B8</f>
        <v>1187.2860000000001</v>
      </c>
      <c r="C6" s="452"/>
      <c r="D6" s="452"/>
      <c r="E6" s="452"/>
      <c r="F6" s="452"/>
      <c r="G6" s="452"/>
      <c r="H6" s="452"/>
      <c r="I6" s="452"/>
      <c r="J6" s="452"/>
      <c r="K6" s="452"/>
      <c r="L6" s="452"/>
      <c r="M6" s="452"/>
      <c r="N6" s="452"/>
      <c r="O6" s="452"/>
      <c r="P6" s="453"/>
      <c r="Q6" s="451">
        <f t="shared" si="0"/>
        <v>1187.2860000000001</v>
      </c>
    </row>
    <row r="7" spans="1:17">
      <c r="A7" s="451" t="s">
        <v>111</v>
      </c>
      <c r="B7" s="452">
        <f>landbouw!B8</f>
        <v>4824.5200249999998</v>
      </c>
      <c r="C7" s="452">
        <f>landbouw!C8</f>
        <v>30857.142857142855</v>
      </c>
      <c r="D7" s="452">
        <f>landbouw!D8</f>
        <v>15941.172012506271</v>
      </c>
      <c r="E7" s="452">
        <f>landbouw!E8</f>
        <v>150.57167904981551</v>
      </c>
      <c r="F7" s="452">
        <f>landbouw!F8</f>
        <v>17050.388214261162</v>
      </c>
      <c r="G7" s="452">
        <f>landbouw!G8</f>
        <v>0</v>
      </c>
      <c r="H7" s="452">
        <f>landbouw!H8</f>
        <v>0</v>
      </c>
      <c r="I7" s="452">
        <f>landbouw!I8</f>
        <v>0</v>
      </c>
      <c r="J7" s="452">
        <f>landbouw!J8</f>
        <v>1329.188724640652</v>
      </c>
      <c r="K7" s="452">
        <f>landbouw!K8</f>
        <v>0</v>
      </c>
      <c r="L7" s="452">
        <f>landbouw!L8</f>
        <v>0</v>
      </c>
      <c r="M7" s="452">
        <f>landbouw!M8</f>
        <v>0</v>
      </c>
      <c r="N7" s="452">
        <f>landbouw!N8</f>
        <v>0</v>
      </c>
      <c r="O7" s="452">
        <f>landbouw!O8</f>
        <v>0</v>
      </c>
      <c r="P7" s="453">
        <f>landbouw!P8</f>
        <v>0</v>
      </c>
      <c r="Q7" s="451">
        <f t="shared" si="0"/>
        <v>70152.983512600753</v>
      </c>
    </row>
    <row r="8" spans="1:17">
      <c r="A8" s="451" t="s">
        <v>625</v>
      </c>
      <c r="B8" s="452">
        <f>industrie!B18</f>
        <v>2588.3856949999999</v>
      </c>
      <c r="C8" s="452">
        <f>industrie!C18</f>
        <v>0</v>
      </c>
      <c r="D8" s="452">
        <f>industrie!D18</f>
        <v>2227.4190850779996</v>
      </c>
      <c r="E8" s="452">
        <f>industrie!E18</f>
        <v>341.62892275330375</v>
      </c>
      <c r="F8" s="452">
        <f>industrie!F18</f>
        <v>1089.8969276982041</v>
      </c>
      <c r="G8" s="452">
        <f>industrie!G18</f>
        <v>0</v>
      </c>
      <c r="H8" s="452">
        <f>industrie!H18</f>
        <v>0</v>
      </c>
      <c r="I8" s="452">
        <f>industrie!I18</f>
        <v>0</v>
      </c>
      <c r="J8" s="452">
        <f>industrie!J18</f>
        <v>4.9090788564034398</v>
      </c>
      <c r="K8" s="452">
        <f>industrie!K18</f>
        <v>0</v>
      </c>
      <c r="L8" s="452">
        <f>industrie!L18</f>
        <v>0</v>
      </c>
      <c r="M8" s="452">
        <f>industrie!M18</f>
        <v>0</v>
      </c>
      <c r="N8" s="452">
        <f>industrie!N18</f>
        <v>148.51194648792449</v>
      </c>
      <c r="O8" s="452">
        <f>industrie!O18</f>
        <v>0</v>
      </c>
      <c r="P8" s="453">
        <f>industrie!P18</f>
        <v>0</v>
      </c>
      <c r="Q8" s="451">
        <f t="shared" si="0"/>
        <v>6400.7516558738353</v>
      </c>
    </row>
    <row r="9" spans="1:17" s="457" customFormat="1">
      <c r="A9" s="455" t="s">
        <v>551</v>
      </c>
      <c r="B9" s="456">
        <f>transport!B14</f>
        <v>122.08436165406603</v>
      </c>
      <c r="C9" s="456">
        <f>transport!C14</f>
        <v>0</v>
      </c>
      <c r="D9" s="456">
        <f>transport!D14</f>
        <v>433.30978192707221</v>
      </c>
      <c r="E9" s="456">
        <f>transport!E14</f>
        <v>428.28369721734316</v>
      </c>
      <c r="F9" s="456">
        <f>transport!F14</f>
        <v>0</v>
      </c>
      <c r="G9" s="456">
        <f>transport!G14</f>
        <v>221320.34817936449</v>
      </c>
      <c r="H9" s="456">
        <f>transport!H14</f>
        <v>41638.345327074043</v>
      </c>
      <c r="I9" s="456">
        <f>transport!I14</f>
        <v>0</v>
      </c>
      <c r="J9" s="456">
        <f>transport!J14</f>
        <v>0</v>
      </c>
      <c r="K9" s="456">
        <f>transport!K14</f>
        <v>0</v>
      </c>
      <c r="L9" s="456">
        <f>transport!L14</f>
        <v>0</v>
      </c>
      <c r="M9" s="456">
        <f>transport!M14</f>
        <v>15514.175592894981</v>
      </c>
      <c r="N9" s="456">
        <f>transport!N14</f>
        <v>0</v>
      </c>
      <c r="O9" s="456">
        <f>transport!O14</f>
        <v>0</v>
      </c>
      <c r="P9" s="456">
        <f>transport!P14</f>
        <v>0</v>
      </c>
      <c r="Q9" s="455">
        <f>SUM(B9:P9)</f>
        <v>279456.54694013199</v>
      </c>
    </row>
    <row r="10" spans="1:17">
      <c r="A10" s="451" t="s">
        <v>541</v>
      </c>
      <c r="B10" s="452">
        <f>transport!B54</f>
        <v>0</v>
      </c>
      <c r="C10" s="452">
        <f>transport!C54</f>
        <v>0</v>
      </c>
      <c r="D10" s="452">
        <f>transport!D54</f>
        <v>0</v>
      </c>
      <c r="E10" s="452">
        <f>transport!E54</f>
        <v>0</v>
      </c>
      <c r="F10" s="452">
        <f>transport!F54</f>
        <v>0</v>
      </c>
      <c r="G10" s="452">
        <f>transport!G54</f>
        <v>322.08758473923746</v>
      </c>
      <c r="H10" s="452">
        <f>transport!H54</f>
        <v>0</v>
      </c>
      <c r="I10" s="452">
        <f>transport!I54</f>
        <v>0</v>
      </c>
      <c r="J10" s="452">
        <f>transport!J54</f>
        <v>0</v>
      </c>
      <c r="K10" s="452">
        <f>transport!K54</f>
        <v>0</v>
      </c>
      <c r="L10" s="452">
        <f>transport!L54</f>
        <v>0</v>
      </c>
      <c r="M10" s="452">
        <f>transport!M54</f>
        <v>17.898847134623665</v>
      </c>
      <c r="N10" s="452">
        <f>transport!N54</f>
        <v>0</v>
      </c>
      <c r="O10" s="452">
        <f>transport!O54</f>
        <v>0</v>
      </c>
      <c r="P10" s="453">
        <f>transport!P54</f>
        <v>0</v>
      </c>
      <c r="Q10" s="451">
        <f t="shared" si="0"/>
        <v>339.98643187386114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833.21270499999991</v>
      </c>
      <c r="C14" s="459"/>
      <c r="D14" s="459">
        <f>'SEAP template'!E25</f>
        <v>899.18418399999996</v>
      </c>
      <c r="E14" s="459"/>
      <c r="F14" s="459"/>
      <c r="G14" s="459"/>
      <c r="H14" s="459"/>
      <c r="I14" s="459"/>
      <c r="J14" s="459"/>
      <c r="K14" s="459"/>
      <c r="L14" s="459"/>
      <c r="M14" s="459"/>
      <c r="N14" s="459"/>
      <c r="O14" s="459"/>
      <c r="P14" s="460"/>
      <c r="Q14" s="451">
        <f t="shared" si="0"/>
        <v>1732.3968889999999</v>
      </c>
    </row>
    <row r="15" spans="1:17" s="463" customFormat="1">
      <c r="A15" s="461" t="s">
        <v>545</v>
      </c>
      <c r="B15" s="462">
        <f ca="1">SUM(B4:B14)</f>
        <v>46388.46612602214</v>
      </c>
      <c r="C15" s="462">
        <f t="shared" ref="C15:Q15" ca="1" si="1">SUM(C4:C14)</f>
        <v>30866.274613899612</v>
      </c>
      <c r="D15" s="462">
        <f t="shared" ca="1" si="1"/>
        <v>61405.571958261608</v>
      </c>
      <c r="E15" s="462">
        <f t="shared" si="1"/>
        <v>21136.03558660594</v>
      </c>
      <c r="F15" s="462">
        <f t="shared" ca="1" si="1"/>
        <v>36276.603762270432</v>
      </c>
      <c r="G15" s="462">
        <f t="shared" si="1"/>
        <v>221642.43576410372</v>
      </c>
      <c r="H15" s="462">
        <f t="shared" si="1"/>
        <v>41638.345327074043</v>
      </c>
      <c r="I15" s="462">
        <f t="shared" si="1"/>
        <v>0</v>
      </c>
      <c r="J15" s="462">
        <f t="shared" si="1"/>
        <v>1821.3855228369875</v>
      </c>
      <c r="K15" s="462">
        <f t="shared" si="1"/>
        <v>0</v>
      </c>
      <c r="L15" s="462">
        <f t="shared" ca="1" si="1"/>
        <v>0</v>
      </c>
      <c r="M15" s="462">
        <f t="shared" si="1"/>
        <v>15532.074440029604</v>
      </c>
      <c r="N15" s="462">
        <f t="shared" ca="1" si="1"/>
        <v>18314.44616248833</v>
      </c>
      <c r="O15" s="462">
        <f t="shared" si="1"/>
        <v>436.09499956938851</v>
      </c>
      <c r="P15" s="462">
        <f t="shared" si="1"/>
        <v>905.39786753319163</v>
      </c>
      <c r="Q15" s="462">
        <f t="shared" ca="1" si="1"/>
        <v>496363.13213069498</v>
      </c>
    </row>
    <row r="17" spans="1:17">
      <c r="A17" s="464" t="s">
        <v>546</v>
      </c>
      <c r="B17" s="781">
        <f ca="1">huishoudens!B10</f>
        <v>0.20885458288126937</v>
      </c>
      <c r="C17" s="781">
        <f ca="1">huishoudens!C10</f>
        <v>0.23764315717702914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4911.9134204092788</v>
      </c>
      <c r="C22" s="452">
        <f t="shared" ref="C22:C32" ca="1" si="3">C4*$C$17</f>
        <v>0</v>
      </c>
      <c r="D22" s="452">
        <f t="shared" ref="D22:D32" si="4">D4*$D$17</f>
        <v>6082.3151864965603</v>
      </c>
      <c r="E22" s="452">
        <f t="shared" ref="E22:E32" si="5">E4*$E$17</f>
        <v>4551.4474829715255</v>
      </c>
      <c r="F22" s="452">
        <f t="shared" ref="F22:F32" si="6">F4*$F$17</f>
        <v>4427.4870289622595</v>
      </c>
      <c r="G22" s="452">
        <f t="shared" ref="G22:G32" si="7">G4*$G$17</f>
        <v>0</v>
      </c>
      <c r="H22" s="452">
        <f t="shared" ref="H22:H32" si="8">H4*$H$17</f>
        <v>0</v>
      </c>
      <c r="I22" s="452">
        <f t="shared" ref="I22:I32" si="9">I4*$I$17</f>
        <v>0</v>
      </c>
      <c r="J22" s="452">
        <f t="shared" ref="J22:J32" si="10">J4*$J$17</f>
        <v>172.48891998272356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20145.652038822347</v>
      </c>
    </row>
    <row r="23" spans="1:17">
      <c r="A23" s="451" t="s">
        <v>155</v>
      </c>
      <c r="B23" s="452">
        <f t="shared" ca="1" si="2"/>
        <v>2780.8226980796881</v>
      </c>
      <c r="C23" s="452">
        <f t="shared" ca="1" si="3"/>
        <v>2.1700995062483437</v>
      </c>
      <c r="D23" s="452">
        <f t="shared" ca="1" si="4"/>
        <v>2382.391166242995</v>
      </c>
      <c r="E23" s="452">
        <f t="shared" si="5"/>
        <v>37.482659310377556</v>
      </c>
      <c r="F23" s="452">
        <f t="shared" ca="1" si="6"/>
        <v>414.91004266079489</v>
      </c>
      <c r="G23" s="452">
        <f t="shared" si="7"/>
        <v>0</v>
      </c>
      <c r="H23" s="452">
        <f t="shared" si="8"/>
        <v>0</v>
      </c>
      <c r="I23" s="452">
        <f t="shared" si="9"/>
        <v>0</v>
      </c>
      <c r="J23" s="452">
        <f t="shared" si="10"/>
        <v>1.0932663612339591E-2</v>
      </c>
      <c r="K23" s="452">
        <f t="shared" si="11"/>
        <v>0</v>
      </c>
      <c r="L23" s="452">
        <f t="shared" ca="1" si="12"/>
        <v>0</v>
      </c>
      <c r="M23" s="452">
        <f t="shared" si="13"/>
        <v>0</v>
      </c>
      <c r="N23" s="452">
        <f t="shared" ca="1" si="14"/>
        <v>0</v>
      </c>
      <c r="O23" s="452">
        <f t="shared" si="15"/>
        <v>0</v>
      </c>
      <c r="P23" s="453">
        <f t="shared" si="16"/>
        <v>0</v>
      </c>
      <c r="Q23" s="451">
        <f t="shared" ref="Q23:Q31" ca="1" si="17">SUM(B23:P23)</f>
        <v>5617.7875984637158</v>
      </c>
    </row>
    <row r="24" spans="1:17">
      <c r="A24" s="451" t="s">
        <v>193</v>
      </c>
      <c r="B24" s="452">
        <f t="shared" ca="1" si="2"/>
        <v>247.9701222907708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247.9701222907708</v>
      </c>
    </row>
    <row r="25" spans="1:17">
      <c r="A25" s="451" t="s">
        <v>111</v>
      </c>
      <c r="B25" s="452">
        <f t="shared" ca="1" si="2"/>
        <v>1007.6231174237063</v>
      </c>
      <c r="C25" s="452">
        <f t="shared" ca="1" si="3"/>
        <v>7332.9888500340412</v>
      </c>
      <c r="D25" s="452">
        <f t="shared" si="4"/>
        <v>3220.116746526267</v>
      </c>
      <c r="E25" s="452">
        <f t="shared" si="5"/>
        <v>34.17977114430812</v>
      </c>
      <c r="F25" s="452">
        <f t="shared" si="6"/>
        <v>4552.4536532077309</v>
      </c>
      <c r="G25" s="452">
        <f t="shared" si="7"/>
        <v>0</v>
      </c>
      <c r="H25" s="452">
        <f t="shared" si="8"/>
        <v>0</v>
      </c>
      <c r="I25" s="452">
        <f t="shared" si="9"/>
        <v>0</v>
      </c>
      <c r="J25" s="452">
        <f t="shared" si="10"/>
        <v>470.53280852279079</v>
      </c>
      <c r="K25" s="452">
        <f t="shared" si="11"/>
        <v>0</v>
      </c>
      <c r="L25" s="452">
        <f t="shared" si="12"/>
        <v>0</v>
      </c>
      <c r="M25" s="452">
        <f t="shared" si="13"/>
        <v>0</v>
      </c>
      <c r="N25" s="452">
        <f t="shared" si="14"/>
        <v>0</v>
      </c>
      <c r="O25" s="452">
        <f t="shared" si="15"/>
        <v>0</v>
      </c>
      <c r="P25" s="453">
        <f t="shared" si="16"/>
        <v>0</v>
      </c>
      <c r="Q25" s="451">
        <f t="shared" ca="1" si="17"/>
        <v>16617.894946858847</v>
      </c>
    </row>
    <row r="26" spans="1:17">
      <c r="A26" s="451" t="s">
        <v>625</v>
      </c>
      <c r="B26" s="452">
        <f t="shared" ca="1" si="2"/>
        <v>540.59621466506951</v>
      </c>
      <c r="C26" s="452">
        <f t="shared" ca="1" si="3"/>
        <v>0</v>
      </c>
      <c r="D26" s="452">
        <f t="shared" si="4"/>
        <v>449.93865518575598</v>
      </c>
      <c r="E26" s="452">
        <f t="shared" si="5"/>
        <v>77.54976546499995</v>
      </c>
      <c r="F26" s="452">
        <f t="shared" si="6"/>
        <v>291.0024796954205</v>
      </c>
      <c r="G26" s="452">
        <f t="shared" si="7"/>
        <v>0</v>
      </c>
      <c r="H26" s="452">
        <f t="shared" si="8"/>
        <v>0</v>
      </c>
      <c r="I26" s="452">
        <f t="shared" si="9"/>
        <v>0</v>
      </c>
      <c r="J26" s="452">
        <f t="shared" si="10"/>
        <v>1.7378139151668175</v>
      </c>
      <c r="K26" s="452">
        <f t="shared" si="11"/>
        <v>0</v>
      </c>
      <c r="L26" s="452">
        <f t="shared" si="12"/>
        <v>0</v>
      </c>
      <c r="M26" s="452">
        <f t="shared" si="13"/>
        <v>0</v>
      </c>
      <c r="N26" s="452">
        <f t="shared" si="14"/>
        <v>0</v>
      </c>
      <c r="O26" s="452">
        <f t="shared" si="15"/>
        <v>0</v>
      </c>
      <c r="P26" s="453">
        <f t="shared" si="16"/>
        <v>0</v>
      </c>
      <c r="Q26" s="451">
        <f t="shared" ca="1" si="17"/>
        <v>1360.8249289264127</v>
      </c>
    </row>
    <row r="27" spans="1:17" s="457" customFormat="1">
      <c r="A27" s="455" t="s">
        <v>551</v>
      </c>
      <c r="B27" s="775">
        <f t="shared" ca="1" si="2"/>
        <v>25.497878429585999</v>
      </c>
      <c r="C27" s="456">
        <f t="shared" ca="1" si="3"/>
        <v>0</v>
      </c>
      <c r="D27" s="456">
        <f t="shared" si="4"/>
        <v>87.528575949268586</v>
      </c>
      <c r="E27" s="456">
        <f t="shared" si="5"/>
        <v>97.220399268336905</v>
      </c>
      <c r="F27" s="456">
        <f t="shared" si="6"/>
        <v>0</v>
      </c>
      <c r="G27" s="456">
        <f t="shared" si="7"/>
        <v>59092.53296389032</v>
      </c>
      <c r="H27" s="456">
        <f t="shared" si="8"/>
        <v>10367.947986441437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69670.727803978953</v>
      </c>
    </row>
    <row r="28" spans="1:17" ht="16.5" customHeight="1">
      <c r="A28" s="451" t="s">
        <v>541</v>
      </c>
      <c r="B28" s="452">
        <f t="shared" ca="1" si="2"/>
        <v>0</v>
      </c>
      <c r="C28" s="452">
        <f t="shared" ca="1" si="3"/>
        <v>0</v>
      </c>
      <c r="D28" s="452">
        <f t="shared" si="4"/>
        <v>0</v>
      </c>
      <c r="E28" s="452">
        <f t="shared" si="5"/>
        <v>0</v>
      </c>
      <c r="F28" s="452">
        <f t="shared" si="6"/>
        <v>0</v>
      </c>
      <c r="G28" s="452">
        <f t="shared" si="7"/>
        <v>85.997385125376411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85.997385125376411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174.02029195414914</v>
      </c>
      <c r="C32" s="452">
        <f t="shared" ca="1" si="3"/>
        <v>0</v>
      </c>
      <c r="D32" s="452">
        <f t="shared" si="4"/>
        <v>181.635205168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355.65549712214914</v>
      </c>
    </row>
    <row r="33" spans="1:17" s="463" customFormat="1">
      <c r="A33" s="461" t="s">
        <v>545</v>
      </c>
      <c r="B33" s="462">
        <f ca="1">SUM(B22:B32)</f>
        <v>9688.4437432522482</v>
      </c>
      <c r="C33" s="462">
        <f t="shared" ref="C33:Q33" ca="1" si="19">SUM(C22:C32)</f>
        <v>7335.1589495402895</v>
      </c>
      <c r="D33" s="462">
        <f t="shared" ca="1" si="19"/>
        <v>12403.925535568846</v>
      </c>
      <c r="E33" s="462">
        <f t="shared" si="19"/>
        <v>4797.8800781595473</v>
      </c>
      <c r="F33" s="462">
        <f t="shared" ca="1" si="19"/>
        <v>9685.8532045262054</v>
      </c>
      <c r="G33" s="462">
        <f t="shared" si="19"/>
        <v>59178.530349015695</v>
      </c>
      <c r="H33" s="462">
        <f t="shared" si="19"/>
        <v>10367.947986441437</v>
      </c>
      <c r="I33" s="462">
        <f t="shared" si="19"/>
        <v>0</v>
      </c>
      <c r="J33" s="462">
        <f t="shared" si="19"/>
        <v>644.77047508429348</v>
      </c>
      <c r="K33" s="462">
        <f t="shared" si="19"/>
        <v>0</v>
      </c>
      <c r="L33" s="462">
        <f t="shared" ca="1" si="19"/>
        <v>0</v>
      </c>
      <c r="M33" s="462">
        <f t="shared" si="19"/>
        <v>0</v>
      </c>
      <c r="N33" s="462">
        <f t="shared" ca="1" si="19"/>
        <v>0</v>
      </c>
      <c r="O33" s="462">
        <f t="shared" si="19"/>
        <v>0</v>
      </c>
      <c r="P33" s="462">
        <f t="shared" si="19"/>
        <v>0</v>
      </c>
      <c r="Q33" s="462">
        <f t="shared" ca="1" si="19"/>
        <v>114102.51032158858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4176.4957726220646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21606.375</v>
      </c>
      <c r="D8" s="1029">
        <f>'SEAP template'!D76</f>
        <v>25418.847376984315</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5134.6071701508317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4176.4957726220646</v>
      </c>
      <c r="C10" s="1031">
        <f>SUM(C4:C9)</f>
        <v>21606.375</v>
      </c>
      <c r="D10" s="1031">
        <f t="shared" ref="D10:H10" si="0">SUM(D8:D9)</f>
        <v>25418.847376984315</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5134.6071701508317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0.20885458288126937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30866.274613899612</v>
      </c>
      <c r="D17" s="1030">
        <f>'SEAP template'!D87</f>
        <v>36312.668067031133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7335.1589495402895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30866.274613899612</v>
      </c>
      <c r="D20" s="1031">
        <f t="shared" ref="D20:H20" si="2">SUM(D17:D19)</f>
        <v>36312.668067031133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7335.1589495402895</v>
      </c>
    </row>
    <row r="21" spans="1:16">
      <c r="B21" s="887"/>
    </row>
    <row r="22" spans="1:16">
      <c r="A22" s="464" t="s">
        <v>797</v>
      </c>
      <c r="B22" s="781" t="s">
        <v>795</v>
      </c>
      <c r="C22" s="781">
        <f ca="1">'EF ele_warmte'!B22</f>
        <v>0.23764315717702914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0.20885458288126937</v>
      </c>
      <c r="C17" s="501">
        <f ca="1">'EF ele_warmte'!B22</f>
        <v>0.23764315717702914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2020-06-20T15:36:01Z</dcterms:modified>
</cp:coreProperties>
</file>