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51" i="18" l="1"/>
  <c r="V51" i="18"/>
  <c r="U51" i="18"/>
  <c r="T51" i="18"/>
  <c r="S51" i="18"/>
  <c r="R51" i="18"/>
  <c r="Q51" i="18"/>
  <c r="P51" i="18"/>
  <c r="O51" i="18"/>
  <c r="N51" i="18"/>
  <c r="M51" i="18"/>
  <c r="W50" i="18"/>
  <c r="V50" i="18"/>
  <c r="U50" i="18"/>
  <c r="T50" i="18"/>
  <c r="S50" i="18"/>
  <c r="R50" i="18"/>
  <c r="Q50" i="18"/>
  <c r="P50" i="18"/>
  <c r="O50" i="18"/>
  <c r="N50" i="18"/>
  <c r="M50" i="18"/>
  <c r="W49" i="18"/>
  <c r="V49" i="18"/>
  <c r="U49" i="18"/>
  <c r="T49" i="18"/>
  <c r="S49" i="18"/>
  <c r="R49" i="18"/>
  <c r="Q49" i="18"/>
  <c r="P49" i="18"/>
  <c r="O49" i="18"/>
  <c r="N49" i="18"/>
  <c r="M49" i="18"/>
  <c r="W48" i="18"/>
  <c r="H9" i="18" s="1"/>
  <c r="M77" i="14" s="1"/>
  <c r="M9" i="59" s="1"/>
  <c r="V48" i="18"/>
  <c r="U48" i="18"/>
  <c r="T48" i="18"/>
  <c r="S48" i="18"/>
  <c r="E9" i="18" s="1"/>
  <c r="F77" i="14" s="1"/>
  <c r="F9" i="59" s="1"/>
  <c r="R48" i="18"/>
  <c r="Q48" i="18"/>
  <c r="P48" i="18"/>
  <c r="O48" i="18"/>
  <c r="N48" i="18"/>
  <c r="B9" i="18" s="1"/>
  <c r="M48" i="18"/>
  <c r="W44" i="18"/>
  <c r="V44" i="18"/>
  <c r="U44" i="18"/>
  <c r="T44" i="18"/>
  <c r="L6" i="17" s="1"/>
  <c r="L5" i="17" s="1"/>
  <c r="S44" i="18"/>
  <c r="R44" i="18"/>
  <c r="Q44" i="18"/>
  <c r="P44" i="18"/>
  <c r="D6" i="17" s="1"/>
  <c r="O44" i="18"/>
  <c r="C6" i="17" s="1"/>
  <c r="N44" i="18"/>
  <c r="M44" i="18"/>
  <c r="W43" i="18"/>
  <c r="V43" i="18"/>
  <c r="U43" i="18"/>
  <c r="T43" i="18"/>
  <c r="S43" i="18"/>
  <c r="R43" i="18"/>
  <c r="Q43" i="18"/>
  <c r="P43" i="18"/>
  <c r="O43" i="18"/>
  <c r="C13" i="15" s="1"/>
  <c r="N43" i="18"/>
  <c r="M43" i="18"/>
  <c r="W42" i="18"/>
  <c r="V42" i="18"/>
  <c r="U42" i="18"/>
  <c r="T42" i="18"/>
  <c r="S42" i="18"/>
  <c r="F16" i="16" s="1"/>
  <c r="R42" i="18"/>
  <c r="Q42" i="18"/>
  <c r="P42" i="18"/>
  <c r="D16" i="16" s="1"/>
  <c r="O42" i="18"/>
  <c r="N42" i="18"/>
  <c r="W41" i="18"/>
  <c r="V41" i="18"/>
  <c r="U41" i="18"/>
  <c r="T41" i="18"/>
  <c r="S41" i="18"/>
  <c r="R41" i="18"/>
  <c r="Q41" i="18"/>
  <c r="P41" i="18"/>
  <c r="O41" i="18"/>
  <c r="B17" i="18" s="1"/>
  <c r="N41" i="18"/>
  <c r="B8" i="18" s="1"/>
  <c r="M4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7" i="18"/>
  <c r="B61" i="18" s="1"/>
  <c r="B16" i="16"/>
  <c r="K9" i="14"/>
  <c r="H77" i="14"/>
  <c r="J11" i="48"/>
  <c r="J29" i="48" s="1"/>
  <c r="M9" i="14"/>
  <c r="L11" i="48"/>
  <c r="O19" i="14"/>
  <c r="O22" i="14" s="1"/>
  <c r="N10" i="48"/>
  <c r="N28" i="48" s="1"/>
  <c r="J19" i="14"/>
  <c r="J22" i="14" s="1"/>
  <c r="J27" i="14" s="1"/>
  <c r="I10" i="48"/>
  <c r="I28" i="48" s="1"/>
  <c r="J19" i="19"/>
  <c r="K39" i="14" s="1"/>
  <c r="N19" i="19"/>
  <c r="O39" i="14" s="1"/>
  <c r="C57" i="18"/>
  <c r="I6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60" i="18"/>
  <c r="E8" i="18" s="1"/>
  <c r="F76" i="14" s="1"/>
  <c r="F7" i="48"/>
  <c r="F25" i="48" s="1"/>
  <c r="D60" i="18"/>
  <c r="O9" i="18"/>
  <c r="M29" i="48"/>
  <c r="F12" i="17"/>
  <c r="G54" i="14" s="1"/>
  <c r="G56" i="14" s="1"/>
  <c r="C61" i="18"/>
  <c r="C60" i="18"/>
  <c r="B10" i="18"/>
  <c r="E61" i="18"/>
  <c r="E17" i="18" s="1"/>
  <c r="F87" i="14" s="1"/>
  <c r="G61" i="18"/>
  <c r="D7" i="48"/>
  <c r="D25" i="48" s="1"/>
  <c r="H60" i="18"/>
  <c r="G60" i="18"/>
  <c r="D61" i="18"/>
  <c r="L28" i="48"/>
  <c r="H61" i="18"/>
  <c r="I61" i="18"/>
  <c r="H17" i="18" s="1"/>
  <c r="F61" i="18"/>
  <c r="F60" i="18"/>
  <c r="H10" i="18"/>
  <c r="M78" i="14"/>
  <c r="B6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E27" i="14"/>
  <c r="I76" i="14"/>
  <c r="I8" i="59" s="1"/>
  <c r="I10" i="59" s="1"/>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7" i="49"/>
  <c r="C10" i="13"/>
  <c r="C12" i="13" s="1"/>
  <c r="D41" i="14" s="1"/>
  <c r="D46" i="14" s="1"/>
  <c r="D61" i="14" s="1"/>
  <c r="D63" i="14" s="1"/>
  <c r="C10" i="17"/>
  <c r="C12" i="17" s="1"/>
  <c r="D54" i="14" s="1"/>
  <c r="D56" i="14" s="1"/>
  <c r="C22" i="59"/>
  <c r="C29" i="20"/>
  <c r="C17" i="19"/>
  <c r="C19" i="19" s="1"/>
  <c r="D39" i="14" s="1"/>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<sst xmlns="http://schemas.openxmlformats.org/spreadsheetml/2006/main" count="2525" uniqueCount="943">
  <si>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</si>
  <si>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</si>
  <si>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</si>
  <si>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</si>
  <si>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</si>
  <si>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</si>
  <si>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</si>
  <si>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</si>
  <si>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</si>
  <si>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</si>
  <si>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</si>
  <si>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</si>
  <si>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</si>
  <si>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</si>
  <si>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</si>
  <si>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</si>
  <si>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</si>
  <si>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</si>
  <si>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</si>
  <si>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</si>
  <si>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</si>
  <si>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</si>
  <si>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</si>
  <si>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</si>
  <si>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</si>
  <si>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</si>
  <si>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</si>
  <si>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</si>
  <si>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</si>
  <si>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</si>
  <si>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</si>
  <si>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</si>
  <si>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</si>
  <si>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</si>
  <si>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</si>
  <si>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</si>
  <si>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</si>
  <si>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</si>
  <si>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</si>
  <si>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</si>
  <si>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</si>
  <si>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</si>
  <si>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</si>
  <si>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</si>
  <si>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</si>
  <si>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</si>
  <si>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</si>
  <si>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</si>
  <si>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</si>
  <si>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</si>
  <si>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</si>
  <si>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</si>
  <si>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</si>
  <si>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</si>
  <si>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</si>
  <si>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</si>
  <si>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</si>
  <si>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</si>
  <si>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</si>
  <si>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</si>
  <si>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</si>
  <si>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</si>
  <si>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</si>
  <si>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</si>
  <si>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</si>
  <si>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</si>
  <si>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</si>
  <si>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</si>
  <si>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</si>
  <si>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</si>
  <si>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</si>
  <si>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</si>
  <si>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</si>
  <si>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</si>
  <si>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</si>
  <si>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</si>
  <si>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</si>
  <si>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</si>
  <si>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</si>
  <si>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</si>
  <si>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</si>
  <si>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</si>
  <si>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</si>
  <si>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</si>
  <si>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</si>
  <si>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</si>
  <si>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</si>
  <si>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</si>
  <si>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</si>
  <si>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</si>
  <si>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</si>
  <si>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</si>
  <si>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</si>
  <si>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</si>
  <si>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</si>
  <si>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</si>
  <si>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</si>
  <si>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</si>
  <si>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</si>
  <si>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</si>
  <si>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</si>
  <si>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</si>
  <si>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</si>
  <si>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</si>
  <si>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</si>
  <si>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</si>
  <si>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</si>
  <si>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</si>
  <si>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</si>
  <si>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</si>
  <si>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</si>
  <si>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</si>
  <si>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</si>
  <si>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</si>
  <si>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</si>
  <si>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</si>
  <si>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</si>
  <si>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</si>
  <si>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</si>
  <si>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</si>
  <si>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</si>
  <si>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</si>
  <si>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</si>
  <si>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</si>
  <si>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</si>
  <si>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</si>
  <si>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</si>
  <si>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</si>
  <si>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</si>
  <si>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</si>
  <si>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</si>
  <si>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</si>
  <si>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</si>
  <si>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</si>
  <si>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</si>
  <si>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</si>
  <si>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</si>
  <si>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</si>
  <si>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</si>
  <si>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</si>
  <si>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</si>
  <si>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</si>
  <si>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</si>
  <si>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</si>
  <si>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</si>
  <si>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</si>
  <si>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</si>
  <si>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</si>
  <si>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</si>
  <si>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</si>
  <si>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</si>
  <si>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</si>
  <si>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</si>
  <si>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</si>
  <si>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</si>
  <si>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</si>
  <si>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</si>
  <si>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</si>
  <si>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</si>
  <si>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</si>
  <si>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</si>
  <si>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</si>
  <si>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</si>
  <si>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</si>
  <si>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</si>
  <si>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</si>
  <si>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</si>
  <si>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</si>
  <si>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</si>
  <si>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</si>
  <si>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</si>
  <si>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</si>
  <si>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</si>
  <si>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</si>
  <si>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</si>
  <si>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</si>
  <si>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</si>
  <si>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</si>
  <si>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</si>
  <si>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</si>
  <si>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</si>
  <si>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</si>
  <si>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</si>
  <si>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</si>
  <si>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</si>
  <si>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</si>
  <si>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</si>
  <si>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</si>
  <si>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</si>
  <si>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</si>
  <si>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</si>
  <si>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</si>
  <si>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</si>
  <si>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</si>
  <si>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</si>
  <si>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</si>
  <si>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</si>
  <si>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</si>
  <si>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</si>
  <si>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</si>
  <si>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</si>
  <si>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</si>
  <si>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</si>
  <si>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</si>
  <si>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</si>
  <si>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</si>
  <si>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</si>
  <si>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</si>
  <si>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</si>
  <si>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</si>
  <si>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</si>
  <si>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</si>
  <si>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</si>
  <si>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</si>
  <si>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</si>
  <si>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</si>
  <si>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</si>
  <si>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</si>
  <si>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</si>
  <si>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</si>
  <si>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</si>
  <si>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</si>
  <si>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</si>
  <si>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</si>
  <si>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</si>
  <si>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</si>
  <si>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</si>
  <si>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</si>
  <si>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</si>
  <si>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</si>
  <si>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</si>
  <si>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</si>
  <si>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</si>
  <si>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</si>
  <si>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</si>
  <si>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</si>
  <si>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</si>
  <si>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</si>
  <si>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</si>
  <si>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</si>
  <si>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</si>
  <si>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</si>
  <si>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</si>
  <si>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</si>
  <si>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</si>
  <si>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</si>
  <si>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</si>
  <si>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</si>
  <si>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</si>
  <si>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</si>
  <si>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</si>
  <si>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</si>
  <si>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</si>
  <si>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</si>
  <si>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</si>
  <si>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</si>
  <si>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</si>
  <si>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</si>
  <si>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</si>
  <si>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</si>
  <si>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</si>
  <si>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</si>
  <si>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</si>
  <si>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</si>
  <si>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</si>
  <si>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</si>
  <si>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</si>
  <si>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</si>
  <si>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</si>
  <si>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</si>
  <si>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</si>
  <si>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</si>
  <si>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</si>
  <si>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</si>
  <si>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</si>
  <si>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</si>
  <si>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</si>
  <si>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</si>
  <si>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</si>
  <si>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</si>
  <si>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</si>
  <si>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</si>
  <si>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</si>
  <si>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</si>
  <si>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</si>
  <si>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</si>
  <si>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</si>
  <si>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</si>
  <si>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</si>
  <si>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</si>
  <si>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</si>
  <si>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</si>
  <si>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</si>
  <si>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</si>
  <si>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</si>
  <si>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</si>
  <si>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</si>
  <si>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</si>
  <si>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</si>
  <si>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</si>
  <si>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</si>
  <si>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</si>
  <si>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</si>
  <si>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</si>
  <si>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</si>
  <si>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</si>
  <si>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</si>
  <si>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</si>
  <si>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</si>
  <si>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</si>
  <si>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</si>
  <si>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</si>
  <si>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</si>
  <si>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</si>
  <si>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</si>
  <si>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</si>
  <si>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</si>
  <si>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</si>
  <si>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</si>
  <si>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</si>
  <si>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</si>
  <si>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</si>
  <si>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</si>
  <si>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</si>
  <si>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</si>
  <si>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</si>
  <si>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</si>
  <si>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</si>
  <si>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</si>
  <si>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</si>
  <si>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</si>
  <si>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</si>
  <si>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</si>
  <si>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</si>
  <si>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</si>
  <si>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</si>
  <si>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</si>
  <si>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</si>
  <si>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</si>
  <si>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</si>
  <si>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</si>
  <si>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</si>
  <si>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</si>
  <si>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</si>
  <si>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</si>
  <si>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</si>
  <si>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</si>
  <si>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</si>
  <si>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</si>
  <si>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</si>
  <si>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</si>
  <si>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</si>
  <si>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</si>
  <si>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</si>
  <si>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</si>
  <si>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</si>
  <si>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</si>
  <si>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</si>
  <si>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</si>
  <si>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</si>
  <si>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</si>
  <si>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</si>
  <si>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</si>
  <si>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</si>
  <si>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</si>
  <si>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</si>
  <si>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</si>
  <si>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</si>
  <si>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</si>
  <si>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</si>
  <si>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</si>
  <si>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</si>
  <si>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</si>
  <si>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</si>
  <si>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</si>
  <si>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</si>
  <si>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</si>
  <si>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</si>
  <si>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</si>
  <si>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</si>
  <si>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</si>
  <si>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</si>
  <si>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</si>
  <si>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</si>
  <si>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</si>
  <si>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</si>
  <si>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</si>
  <si>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</si>
  <si>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</si>
  <si>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</si>
  <si>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</si>
  <si>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</si>
  <si>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</si>
  <si>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</si>
  <si>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</si>
  <si>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</si>
  <si>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</si>
  <si>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</si>
  <si>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</si>
  <si>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</si>
  <si>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</si>
  <si>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</si>
  <si>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</si>
  <si>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</si>
  <si>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</si>
  <si>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</si>
  <si>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</si>
  <si>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</si>
  <si>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</si>
  <si>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</si>
  <si>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</si>
  <si>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</si>
  <si>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</si>
  <si>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</si>
  <si>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</si>
  <si>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</si>
  <si>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</si>
  <si>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</si>
  <si>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</si>
  <si>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</si>
  <si>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</si>
  <si>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</si>
  <si>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</si>
  <si>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</si>
  <si>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</si>
  <si>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</si>
  <si>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</si>
  <si>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</si>
  <si>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</si>
  <si>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</si>
  <si>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</si>
  <si>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</si>
  <si>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</si>
  <si>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</si>
  <si>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</si>
  <si>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</si>
  <si>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</si>
  <si>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</si>
  <si>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</si>
  <si>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</si>
  <si>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</si>
  <si>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</si>
  <si>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</si>
  <si>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</si>
  <si>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</si>
  <si>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</si>
  <si>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</si>
  <si>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</si>
  <si>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</si>
  <si>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</si>
  <si>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</si>
  <si>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</si>
  <si>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</si>
  <si>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</si>
  <si>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</si>
  <si>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</si>
  <si>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</si>
  <si>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</si>
  <si>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</si>
  <si>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</si>
  <si>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</si>
  <si>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</si>
  <si>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</si>
  <si>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</si>
  <si>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</si>
  <si>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</si>
  <si>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</si>
  <si>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</si>
  <si>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</si>
  <si>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</si>
  <si>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</si>
  <si>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</si>
  <si>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</si>
  <si>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</si>
  <si>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</si>
  <si>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</si>
  <si>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</si>
  <si>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</si>
  <si>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</si>
  <si>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</si>
  <si>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</si>
  <si>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</si>
  <si>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</si>
  <si>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</si>
  <si>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</si>
  <si>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</si>
  <si>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</si>
  <si>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</si>
  <si>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</si>
  <si>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</si>
  <si>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</si>
  <si>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</si>
  <si>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</si>
  <si>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</si>
  <si>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</si>
  <si>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</si>
  <si>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</si>
  <si>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</si>
  <si>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</si>
  <si>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</si>
  <si>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</si>
  <si>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</si>
  <si>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</si>
  <si>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</si>
  <si>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</si>
  <si>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</si>
  <si>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</si>
  <si>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</si>
  <si>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</si>
  <si>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</si>
  <si>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</si>
  <si>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</si>
  <si>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</si>
  <si>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</si>
  <si>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</si>
  <si>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</si>
  <si>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</si>
  <si>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</si>
  <si>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</si>
  <si>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</si>
  <si>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</si>
  <si>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</si>
  <si>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</si>
  <si>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</si>
  <si>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</si>
  <si>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</si>
  <si>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</si>
  <si>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</si>
  <si>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</si>
  <si>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</si>
  <si>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</si>
  <si>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</si>
  <si>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</si>
  <si>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</si>
  <si>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</si>
  <si>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</si>
  <si>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</si>
  <si>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</si>
  <si>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</si>
  <si>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</si>
  <si>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</si>
  <si>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</si>
  <si>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</si>
  <si>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</si>
  <si>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</si>
  <si>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</si>
  <si>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</si>
  <si>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</si>
  <si>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</si>
  <si>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</si>
  <si>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</si>
  <si>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</si>
  <si>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</si>
  <si>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</si>
  <si>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</si>
  <si>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</si>
  <si>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</si>
  <si>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</si>
  <si>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</si>
  <si>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</si>
  <si>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</si>
  <si>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</si>
  <si>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</si>
  <si>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</si>
  <si>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</si>
  <si>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</si>
  <si>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</si>
  <si>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</si>
  <si>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</si>
  <si>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</si>
  <si>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</si>
  <si>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</si>
  <si>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</si>
  <si>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</si>
  <si>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</si>
  <si>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</si>
  <si>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</si>
  <si>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</si>
  <si>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</si>
  <si>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</si>
  <si>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</si>
  <si>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</si>
  <si>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</si>
  <si>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</si>
  <si>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</si>
  <si>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</si>
  <si>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</si>
  <si>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</si>
  <si>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</si>
  <si>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</si>
  <si>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</si>
  <si>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</si>
  <si>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</si>
  <si>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</si>
  <si>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</si>
  <si>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</si>
  <si>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</si>
  <si>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</si>
  <si>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</si>
  <si>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</si>
  <si>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</si>
  <si>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</si>
  <si>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</si>
  <si>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</si>
  <si>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</si>
  <si>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</si>
  <si>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</si>
  <si>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</si>
  <si>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</si>
  <si>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</si>
  <si>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</si>
  <si>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</si>
  <si>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</si>
  <si>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</si>
  <si>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</si>
  <si>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</si>
  <si>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</si>
  <si>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</si>
  <si>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</si>
  <si>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</si>
  <si>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</si>
  <si>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</si>
  <si>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</si>
  <si>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</si>
  <si>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</si>
  <si>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</si>
  <si>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</si>
  <si>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</si>
  <si>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</si>
  <si>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</si>
  <si>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</si>
  <si>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</si>
  <si>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</si>
  <si>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</si>
  <si>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</si>
  <si>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</si>
  <si>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</si>
  <si>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</si>
  <si>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</si>
  <si>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</si>
  <si>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</si>
  <si>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</si>
  <si>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</si>
  <si>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</si>
  <si>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</si>
  <si>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</si>
  <si>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</si>
  <si>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</si>
  <si>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</si>
  <si>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</si>
  <si>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</si>
  <si>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</si>
  <si>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</si>
  <si>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</si>
  <si>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</si>
  <si>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</si>
  <si>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</si>
  <si>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</si>
  <si>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</si>
  <si>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</si>
  <si>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</si>
  <si>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</si>
  <si>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</si>
  <si>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</si>
  <si>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</si>
  <si>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</si>
  <si>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</si>
  <si>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</si>
  <si>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</si>
  <si>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</si>
  <si>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</si>
  <si>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</si>
  <si>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</si>
  <si>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</si>
  <si>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</si>
  <si>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</si>
  <si>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</si>
  <si>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</si>
  <si>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</si>
  <si>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</si>
  <si>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</si>
  <si>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</si>
  <si>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</si>
  <si>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</si>
  <si>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</si>
  <si>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</si>
  <si>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</si>
  <si>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</si>
  <si>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</si>
  <si>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</si>
  <si>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</si>
  <si>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</si>
  <si>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</si>
  <si>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</si>
  <si>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</si>
  <si>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</si>
  <si>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</si>
  <si>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</si>
  <si>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</si>
  <si>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</si>
  <si>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</si>
  <si>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</si>
  <si>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</si>
  <si>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</si>
  <si>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</si>
  <si>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</si>
  <si>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</si>
  <si>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</si>
  <si>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</si>
  <si>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</si>
  <si>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</si>
  <si>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</si>
  <si>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</si>
  <si>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</si>
  <si>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</si>
  <si>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</si>
  <si>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</si>
  <si>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</si>
  <si>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</si>
  <si>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</si>
  <si>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</si>
  <si>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</si>
  <si>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</si>
  <si>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</si>
  <si>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</si>
  <si>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</si>
  <si>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</si>
  <si>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</si>
  <si>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</si>
  <si>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</si>
  <si>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</si>
  <si>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</si>
  <si>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</si>
  <si>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</si>
  <si>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</si>
  <si>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</si>
  <si>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</si>
  <si>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</si>
  <si>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</si>
  <si>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</si>
  <si>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</si>
  <si>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</si>
  <si>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</si>
  <si>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</si>
  <si>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</si>
  <si>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</si>
  <si>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</si>
  <si>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</si>
  <si>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</si>
  <si>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</si>
  <si>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</si>
  <si>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</si>
  <si>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</si>
  <si>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</si>
  <si>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</si>
  <si>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</si>
  <si>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</si>
  <si>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</si>
  <si>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</si>
  <si>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</si>
  <si>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</si>
  <si>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</si>
  <si>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</si>
  <si>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</si>
  <si>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</si>
  <si>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</si>
  <si>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</si>
  <si>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</si>
  <si>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</si>
  <si>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</si>
  <si>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</si>
  <si>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</si>
  <si>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</si>
  <si>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</si>
  <si>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</si>
  <si>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</si>
  <si>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</si>
  <si>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</si>
  <si>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</si>
  <si>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</si>
  <si>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</si>
  <si>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</si>
  <si>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</si>
  <si>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</si>
  <si>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</si>
  <si>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</si>
  <si>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</si>
  <si>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</si>
  <si>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</si>
  <si>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</si>
  <si>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</si>
  <si>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</si>
  <si>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</si>
  <si>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</si>
  <si>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</si>
  <si>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</si>
  <si>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</si>
  <si>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</si>
  <si>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</si>
  <si>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</si>
  <si>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</si>
  <si>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</si>
  <si>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</si>
  <si>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</si>
  <si>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</si>
  <si>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</si>
  <si>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</si>
  <si>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</si>
  <si>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</si>
  <si>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</si>
  <si>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</si>
  <si>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</si>
  <si>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</si>
  <si>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</si>
  <si>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</si>
  <si>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</si>
  <si>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</si>
  <si>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</si>
  <si>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</si>
  <si>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</si>
  <si>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</si>
  <si>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</si>
  <si>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</si>
  <si>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</si>
  <si>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</si>
  <si>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</si>
  <si>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</si>
  <si>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</si>
  <si>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</si>
  <si>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</si>
  <si>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</si>
  <si>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</si>
  <si>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</si>
  <si>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</si>
  <si>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</si>
  <si>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</si>
  <si>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</si>
  <si>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</si>
  <si>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</si>
  <si>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</si>
  <si>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</si>
  <si>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</si>
  <si>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</si>
  <si>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</si>
  <si>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</si>
  <si>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</si>
  <si>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</si>
  <si>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</si>
  <si>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</si>
  <si>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</si>
  <si>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</si>
  <si>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</si>
  <si>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</si>
  <si>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</si>
  <si>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</si>
  <si>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</si>
  <si>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</si>
  <si>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</si>
  <si>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</si>
  <si>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</si>
  <si>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</si>
  <si>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</si>
  <si>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</si>
  <si>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</si>
  <si>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</si>
  <si>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</si>
  <si>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</si>
  <si>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</si>
  <si>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</si>
  <si>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</si>
  <si>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</si>
  <si>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</si>
  <si>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</si>
  <si>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</si>
  <si>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</si>
  <si>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</si>
  <si>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</si>
  <si>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</si>
  <si>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</si>
  <si>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</si>
  <si>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</si>
  <si>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</si>
  <si>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</si>
  <si>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</si>
  <si>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</si>
  <si>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44021</t>
  </si>
  <si>
    <t>GENT</t>
  </si>
  <si>
    <t>referentietaak LNE (2017); Jaarverslag De Lijn</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</si>
  <si>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</si>
  <si>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</si>
  <si>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</si>
  <si>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</si>
  <si>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</si>
  <si>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</si>
  <si>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</si>
  <si>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</si>
  <si>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</si>
  <si>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</si>
  <si>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S&amp;R Gent nv</t>
  </si>
  <si>
    <t>Victor Braeckmanlaan 180 , 9040 Sint-Amandsberg</t>
  </si>
  <si>
    <t>WKK-0417 SR Gent</t>
  </si>
  <si>
    <t>WKK interne verbrandinsgmotor (gas)</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</si>
  <si>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</si>
  <si>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</si>
  <si>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</si>
  <si>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</si>
  <si>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</si>
  <si>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</si>
  <si>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</si>
  <si>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</si>
  <si>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</si>
  <si>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</si>
  <si>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</si>
  <si>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</si>
  <si>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</si>
  <si>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WKK-0616 Sofa Invest</t>
  </si>
  <si>
    <t>Koningin Maria Hendrikaplein 70 , 9000 Gent</t>
  </si>
  <si>
    <t>Universiteit Gent</t>
  </si>
  <si>
    <t>Sint-Pietersnieuwstraat 25 , 9000 Gent</t>
  </si>
  <si>
    <t>WKK-0653 Universiteit Gent II</t>
  </si>
  <si>
    <t>Karel Lodewijk Ledeganckstraat 25 , 9000 Gent</t>
  </si>
  <si>
    <t>WKK-0625 Universiteit Gent</t>
  </si>
  <si>
    <t>coupure links 653 , 9000 Gent</t>
  </si>
  <si>
    <t>Trianon NV</t>
  </si>
  <si>
    <t>Sint-Denijslaan 203 , 9000 Gent</t>
  </si>
  <si>
    <t>WKK-0659 Trianon</t>
  </si>
  <si>
    <t>hotels</t>
  </si>
  <si>
    <t>E. Van Wingen nv</t>
  </si>
  <si>
    <t>Durmakker 27 , 9940 Evergem</t>
  </si>
  <si>
    <t>WKK-0639 Mahy</t>
  </si>
  <si>
    <t>Zeeschipstraat 107 B, 9000 Gent</t>
  </si>
  <si>
    <t>Bayer CropScience</t>
  </si>
  <si>
    <t>WKK-0776</t>
  </si>
  <si>
    <t>Interne verbrandingsmotor</t>
  </si>
  <si>
    <t>Technologiepark 38, 9052 Zwijnaarde, BE</t>
  </si>
  <si>
    <t>IMEWO (via EANDIS)</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</si>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</sst>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1588780.0054637443</c:v>
                </c:pt>
                <c:pt idx="1">
                  <c:v>1663292.9831065624</c:v>
                </c:pt>
                <c:pt idx="2">
                  <c:v>13408.469880000001</c:v>
                </c:pt>
                <c:pt idx="3">
                  <c:v>20761.743537937597</c:v>
                </c:pt>
                <c:pt idx="4">
                  <c:v>733280.52246917598</c:v>
                </c:pt>
                <c:pt idx="5">
                  <c:v>2082407.4565222168</c:v>
                </c:pt>
                <c:pt idx="6">
                  <c:v>46180.849610552752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1588780.0054637443</c:v>
                </c:pt>
                <c:pt idx="1">
                  <c:v>1663292.9831065624</c:v>
                </c:pt>
                <c:pt idx="2">
                  <c:v>13408.469880000001</c:v>
                </c:pt>
                <c:pt idx="3">
                  <c:v>20761.743537937597</c:v>
                </c:pt>
                <c:pt idx="4">
                  <c:v>733280.52246917598</c:v>
                </c:pt>
                <c:pt idx="5">
                  <c:v>2082407.4565222168</c:v>
                </c:pt>
                <c:pt idx="6">
                  <c:v>46180.849610552752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300911.56415992737</c:v>
                </c:pt>
                <c:pt idx="1">
                  <c:v>328506.41011383035</c:v>
                </c:pt>
                <c:pt idx="2">
                  <c:v>2577.4522435958661</c:v>
                </c:pt>
                <c:pt idx="3">
                  <c:v>5030.8687237061495</c:v>
                </c:pt>
                <c:pt idx="4">
                  <c:v>145484.52815674726</c:v>
                </c:pt>
                <c:pt idx="5">
                  <c:v>519068.65571804711</c:v>
                </c:pt>
                <c:pt idx="6">
                  <c:v>11121.980142748072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300911.56415992737</c:v>
                </c:pt>
                <c:pt idx="1">
                  <c:v>328506.41011383035</c:v>
                </c:pt>
                <c:pt idx="2">
                  <c:v>2577.4522435958661</c:v>
                </c:pt>
                <c:pt idx="3">
                  <c:v>5030.8687237061495</c:v>
                </c:pt>
                <c:pt idx="4">
                  <c:v>145484.52815674726</c:v>
                </c:pt>
                <c:pt idx="5">
                  <c:v>519068.65571804711</c:v>
                </c:pt>
                <c:pt idx="6">
                  <c:v>11121.980142748072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44021</v>
      </c>
      <c r="B6" s="390"/>
      <c r="C6" s="391"/>
    </row>
    <row r="7" spans="1:7" s="388" customFormat="1" ht="15.75" customHeight="1">
      <c r="A7" s="392" t="str">
        <f>txtMunicipality</f>
        <v>GENT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0.19222568023517581</v>
      </c>
      <c r="C17" s="501">
        <f ca="1">'EF ele_warmte'!B22</f>
        <v>0.23650266848739562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0.19222568023517581</v>
      </c>
      <c r="C29" s="502">
        <f ca="1">'EF ele_warmte'!B22</f>
        <v>0.23650266848739562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119546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3122.5</v>
      </c>
      <c r="C14" s="330"/>
      <c r="D14" s="330"/>
      <c r="E14" s="330"/>
      <c r="F14" s="330"/>
    </row>
    <row r="15" spans="1:6">
      <c r="A15" s="1298" t="s">
        <v>183</v>
      </c>
      <c r="B15" s="1299">
        <v>37</v>
      </c>
      <c r="C15" s="330"/>
      <c r="D15" s="330"/>
      <c r="E15" s="330"/>
      <c r="F15" s="330"/>
    </row>
    <row r="16" spans="1:6">
      <c r="A16" s="1298" t="s">
        <v>6</v>
      </c>
      <c r="B16" s="1299">
        <v>1438</v>
      </c>
      <c r="C16" s="330"/>
      <c r="D16" s="330"/>
      <c r="E16" s="330"/>
      <c r="F16" s="330"/>
    </row>
    <row r="17" spans="1:6">
      <c r="A17" s="1298" t="s">
        <v>7</v>
      </c>
      <c r="B17" s="1299">
        <v>714</v>
      </c>
      <c r="C17" s="330"/>
      <c r="D17" s="330"/>
      <c r="E17" s="330"/>
      <c r="F17" s="330"/>
    </row>
    <row r="18" spans="1:6">
      <c r="A18" s="1298" t="s">
        <v>8</v>
      </c>
      <c r="B18" s="1299">
        <v>1222</v>
      </c>
      <c r="C18" s="330"/>
      <c r="D18" s="330"/>
      <c r="E18" s="330"/>
      <c r="F18" s="330"/>
    </row>
    <row r="19" spans="1:6">
      <c r="A19" s="1298" t="s">
        <v>9</v>
      </c>
      <c r="B19" s="1299">
        <v>1255</v>
      </c>
      <c r="C19" s="330"/>
      <c r="D19" s="330"/>
      <c r="E19" s="330"/>
      <c r="F19" s="330"/>
    </row>
    <row r="20" spans="1:6">
      <c r="A20" s="1298" t="s">
        <v>10</v>
      </c>
      <c r="B20" s="1299">
        <v>913</v>
      </c>
      <c r="C20" s="330"/>
      <c r="D20" s="330"/>
      <c r="E20" s="330"/>
      <c r="F20" s="330"/>
    </row>
    <row r="21" spans="1:6">
      <c r="A21" s="1298" t="s">
        <v>11</v>
      </c>
      <c r="B21" s="1299">
        <v>865</v>
      </c>
      <c r="C21" s="330"/>
      <c r="D21" s="330"/>
      <c r="E21" s="330"/>
      <c r="F21" s="330"/>
    </row>
    <row r="22" spans="1:6">
      <c r="A22" s="1298" t="s">
        <v>12</v>
      </c>
      <c r="B22" s="1299">
        <v>3021</v>
      </c>
      <c r="C22" s="330"/>
      <c r="D22" s="330"/>
      <c r="E22" s="330"/>
      <c r="F22" s="330"/>
    </row>
    <row r="23" spans="1:6">
      <c r="A23" s="1298" t="s">
        <v>13</v>
      </c>
      <c r="B23" s="1299">
        <v>35</v>
      </c>
      <c r="C23" s="330"/>
      <c r="D23" s="330"/>
      <c r="E23" s="330"/>
      <c r="F23" s="330"/>
    </row>
    <row r="24" spans="1:6">
      <c r="A24" s="1298" t="s">
        <v>14</v>
      </c>
      <c r="B24" s="1299">
        <v>3</v>
      </c>
      <c r="C24" s="330"/>
      <c r="D24" s="330"/>
      <c r="E24" s="330"/>
      <c r="F24" s="330"/>
    </row>
    <row r="25" spans="1:6">
      <c r="A25" s="1298" t="s">
        <v>15</v>
      </c>
      <c r="B25" s="1299">
        <v>248</v>
      </c>
      <c r="C25" s="330"/>
      <c r="D25" s="330"/>
      <c r="E25" s="330"/>
      <c r="F25" s="330"/>
    </row>
    <row r="26" spans="1:6">
      <c r="A26" s="1298" t="s">
        <v>16</v>
      </c>
      <c r="B26" s="1299">
        <v>353</v>
      </c>
      <c r="C26" s="330"/>
      <c r="D26" s="330"/>
      <c r="E26" s="330"/>
      <c r="F26" s="330"/>
    </row>
    <row r="27" spans="1:6">
      <c r="A27" s="1298" t="s">
        <v>17</v>
      </c>
      <c r="B27" s="1299">
        <v>11</v>
      </c>
      <c r="C27" s="330"/>
      <c r="D27" s="330"/>
      <c r="E27" s="330"/>
      <c r="F27" s="330"/>
    </row>
    <row r="28" spans="1:6" s="43" customFormat="1">
      <c r="A28" s="1300" t="s">
        <v>18</v>
      </c>
      <c r="B28" s="1301">
        <v>3</v>
      </c>
      <c r="C28" s="336"/>
      <c r="D28" s="336"/>
      <c r="E28" s="336"/>
      <c r="F28" s="336"/>
    </row>
    <row r="29" spans="1:6">
      <c r="A29" s="1300" t="s">
        <v>705</v>
      </c>
      <c r="B29" s="1301">
        <v>436</v>
      </c>
      <c r="C29" s="336"/>
      <c r="D29" s="336"/>
      <c r="E29" s="336"/>
      <c r="F29" s="336"/>
    </row>
    <row r="30" spans="1:6">
      <c r="A30" s="1293" t="s">
        <v>706</v>
      </c>
      <c r="B30" s="1302">
        <v>94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7</v>
      </c>
      <c r="F35" s="1299">
        <v>94065.479000000007</v>
      </c>
    </row>
    <row r="36" spans="1:6">
      <c r="A36" s="1298" t="s">
        <v>24</v>
      </c>
      <c r="B36" s="1298" t="s">
        <v>26</v>
      </c>
      <c r="C36" s="1299">
        <v>13</v>
      </c>
      <c r="D36" s="1299">
        <v>1824895.4820000001</v>
      </c>
      <c r="E36" s="1299">
        <v>49</v>
      </c>
      <c r="F36" s="1299">
        <v>1422653.33</v>
      </c>
    </row>
    <row r="37" spans="1:6">
      <c r="A37" s="1298" t="s">
        <v>24</v>
      </c>
      <c r="B37" s="1298" t="s">
        <v>27</v>
      </c>
      <c r="C37" s="1299">
        <v>0</v>
      </c>
      <c r="D37" s="1299">
        <v>0</v>
      </c>
      <c r="E37" s="1299">
        <v>0</v>
      </c>
      <c r="F37" s="1299">
        <v>0</v>
      </c>
    </row>
    <row r="38" spans="1:6">
      <c r="A38" s="1298" t="s">
        <v>24</v>
      </c>
      <c r="B38" s="1298" t="s">
        <v>28</v>
      </c>
      <c r="C38" s="1299">
        <v>7</v>
      </c>
      <c r="D38" s="1299">
        <v>3543341.2179999999</v>
      </c>
      <c r="E38" s="1299">
        <v>22</v>
      </c>
      <c r="F38" s="1299">
        <v>2536000.2340000002</v>
      </c>
    </row>
    <row r="39" spans="1:6">
      <c r="A39" s="1298" t="s">
        <v>29</v>
      </c>
      <c r="B39" s="1298" t="s">
        <v>30</v>
      </c>
      <c r="C39" s="1299">
        <v>90590</v>
      </c>
      <c r="D39" s="1299">
        <v>1188900580.869</v>
      </c>
      <c r="E39" s="1299">
        <v>117547</v>
      </c>
      <c r="F39" s="1299">
        <v>340563030.98800004</v>
      </c>
    </row>
    <row r="40" spans="1:6">
      <c r="A40" s="1298" t="s">
        <v>29</v>
      </c>
      <c r="B40" s="1298" t="s">
        <v>28</v>
      </c>
      <c r="C40" s="1299">
        <v>1</v>
      </c>
      <c r="D40" s="1299">
        <v>15865.11</v>
      </c>
      <c r="E40" s="1299">
        <v>2</v>
      </c>
      <c r="F40" s="1299">
        <v>7015.8680000000004</v>
      </c>
    </row>
    <row r="41" spans="1:6">
      <c r="A41" s="1298" t="s">
        <v>31</v>
      </c>
      <c r="B41" s="1298" t="s">
        <v>32</v>
      </c>
      <c r="C41" s="1299">
        <v>948</v>
      </c>
      <c r="D41" s="1299">
        <v>26975201.399999999</v>
      </c>
      <c r="E41" s="1299">
        <v>1760</v>
      </c>
      <c r="F41" s="1299">
        <v>24321629.149999999</v>
      </c>
    </row>
    <row r="42" spans="1:6">
      <c r="A42" s="1298" t="s">
        <v>31</v>
      </c>
      <c r="B42" s="1298" t="s">
        <v>33</v>
      </c>
      <c r="C42" s="1299">
        <v>13</v>
      </c>
      <c r="D42" s="1299">
        <v>31252836.57</v>
      </c>
      <c r="E42" s="1299">
        <v>25</v>
      </c>
      <c r="F42" s="1299">
        <v>40385255.770000003</v>
      </c>
    </row>
    <row r="43" spans="1:6">
      <c r="A43" s="1298" t="s">
        <v>31</v>
      </c>
      <c r="B43" s="1298" t="s">
        <v>34</v>
      </c>
      <c r="C43" s="1299">
        <v>0</v>
      </c>
      <c r="D43" s="1299">
        <v>0</v>
      </c>
      <c r="E43" s="1299">
        <v>0</v>
      </c>
      <c r="F43" s="1299">
        <v>0</v>
      </c>
    </row>
    <row r="44" spans="1:6">
      <c r="A44" s="1298" t="s">
        <v>31</v>
      </c>
      <c r="B44" s="1298" t="s">
        <v>35</v>
      </c>
      <c r="C44" s="1299">
        <v>39</v>
      </c>
      <c r="D44" s="1299">
        <v>14329198.5</v>
      </c>
      <c r="E44" s="1299">
        <v>168</v>
      </c>
      <c r="F44" s="1299">
        <v>26193330.59</v>
      </c>
    </row>
    <row r="45" spans="1:6">
      <c r="A45" s="1298" t="s">
        <v>31</v>
      </c>
      <c r="B45" s="1298" t="s">
        <v>36</v>
      </c>
      <c r="C45" s="1299">
        <v>3</v>
      </c>
      <c r="D45" s="1299">
        <v>180934.367</v>
      </c>
      <c r="E45" s="1299">
        <v>29</v>
      </c>
      <c r="F45" s="1299">
        <v>51171165.869999997</v>
      </c>
    </row>
    <row r="46" spans="1:6">
      <c r="A46" s="1298" t="s">
        <v>31</v>
      </c>
      <c r="B46" s="1298" t="s">
        <v>37</v>
      </c>
      <c r="C46" s="1299">
        <v>0</v>
      </c>
      <c r="D46" s="1299">
        <v>0</v>
      </c>
      <c r="E46" s="1299">
        <v>0</v>
      </c>
      <c r="F46" s="1299">
        <v>0</v>
      </c>
    </row>
    <row r="47" spans="1:6">
      <c r="A47" s="1298" t="s">
        <v>31</v>
      </c>
      <c r="B47" s="1298" t="s">
        <v>38</v>
      </c>
      <c r="C47" s="1299">
        <v>67</v>
      </c>
      <c r="D47" s="1299">
        <v>2478436.7149999999</v>
      </c>
      <c r="E47" s="1299">
        <v>104</v>
      </c>
      <c r="F47" s="1299">
        <v>14564945.41</v>
      </c>
    </row>
    <row r="48" spans="1:6">
      <c r="A48" s="1298" t="s">
        <v>31</v>
      </c>
      <c r="B48" s="1298" t="s">
        <v>28</v>
      </c>
      <c r="C48" s="1299">
        <v>314</v>
      </c>
      <c r="D48" s="1299">
        <v>199116164.5</v>
      </c>
      <c r="E48" s="1299">
        <v>354</v>
      </c>
      <c r="F48" s="1299">
        <v>138726717.19999999</v>
      </c>
    </row>
    <row r="49" spans="1:6">
      <c r="A49" s="1298" t="s">
        <v>31</v>
      </c>
      <c r="B49" s="1298" t="s">
        <v>39</v>
      </c>
      <c r="C49" s="1299">
        <v>15</v>
      </c>
      <c r="D49" s="1299">
        <v>329829.29399999999</v>
      </c>
      <c r="E49" s="1299">
        <v>30</v>
      </c>
      <c r="F49" s="1299">
        <v>310429.07900000003</v>
      </c>
    </row>
    <row r="50" spans="1:6">
      <c r="A50" s="1298" t="s">
        <v>31</v>
      </c>
      <c r="B50" s="1298" t="s">
        <v>40</v>
      </c>
      <c r="C50" s="1299">
        <v>135</v>
      </c>
      <c r="D50" s="1299">
        <v>25454740.43</v>
      </c>
      <c r="E50" s="1299">
        <v>201</v>
      </c>
      <c r="F50" s="1299">
        <v>54797408.119999997</v>
      </c>
    </row>
    <row r="51" spans="1:6">
      <c r="A51" s="1298" t="s">
        <v>41</v>
      </c>
      <c r="B51" s="1298" t="s">
        <v>42</v>
      </c>
      <c r="C51" s="1299">
        <v>59</v>
      </c>
      <c r="D51" s="1299">
        <v>3128381.9909999999</v>
      </c>
      <c r="E51" s="1299">
        <v>209</v>
      </c>
      <c r="F51" s="1299">
        <v>1982222.1669999999</v>
      </c>
    </row>
    <row r="52" spans="1:6">
      <c r="A52" s="1298" t="s">
        <v>41</v>
      </c>
      <c r="B52" s="1298" t="s">
        <v>28</v>
      </c>
      <c r="C52" s="1299">
        <v>34</v>
      </c>
      <c r="D52" s="1299">
        <v>2783338.5210000002</v>
      </c>
      <c r="E52" s="1299">
        <v>56</v>
      </c>
      <c r="F52" s="1299">
        <v>1205119.669</v>
      </c>
    </row>
    <row r="53" spans="1:6">
      <c r="A53" s="1298" t="s">
        <v>43</v>
      </c>
      <c r="B53" s="1298" t="s">
        <v>44</v>
      </c>
      <c r="C53" s="1299">
        <v>3857</v>
      </c>
      <c r="D53" s="1299">
        <v>95128243.780000001</v>
      </c>
      <c r="E53" s="1299">
        <v>6905</v>
      </c>
      <c r="F53" s="1299">
        <v>23194462.359999999</v>
      </c>
    </row>
    <row r="54" spans="1:6">
      <c r="A54" s="1298" t="s">
        <v>45</v>
      </c>
      <c r="B54" s="1298" t="s">
        <v>46</v>
      </c>
      <c r="C54" s="1299">
        <v>0</v>
      </c>
      <c r="D54" s="1299">
        <v>0</v>
      </c>
      <c r="E54" s="1299">
        <v>3</v>
      </c>
      <c r="F54" s="1299">
        <v>13408469.880000001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991</v>
      </c>
      <c r="D57" s="1299">
        <v>49758926.030000001</v>
      </c>
      <c r="E57" s="1299">
        <v>1493</v>
      </c>
      <c r="F57" s="1299">
        <v>41873920.030000001</v>
      </c>
    </row>
    <row r="58" spans="1:6">
      <c r="A58" s="1298" t="s">
        <v>48</v>
      </c>
      <c r="B58" s="1298" t="s">
        <v>50</v>
      </c>
      <c r="C58" s="1299">
        <v>819</v>
      </c>
      <c r="D58" s="1299">
        <v>102867012.2</v>
      </c>
      <c r="E58" s="1299">
        <v>1099</v>
      </c>
      <c r="F58" s="1299">
        <v>99801704.109999999</v>
      </c>
    </row>
    <row r="59" spans="1:6">
      <c r="A59" s="1298" t="s">
        <v>48</v>
      </c>
      <c r="B59" s="1298" t="s">
        <v>51</v>
      </c>
      <c r="C59" s="1299">
        <v>1935</v>
      </c>
      <c r="D59" s="1299">
        <v>80342104.959999993</v>
      </c>
      <c r="E59" s="1299">
        <v>3397</v>
      </c>
      <c r="F59" s="1299">
        <v>160884303.09999999</v>
      </c>
    </row>
    <row r="60" spans="1:6">
      <c r="A60" s="1298" t="s">
        <v>48</v>
      </c>
      <c r="B60" s="1298" t="s">
        <v>52</v>
      </c>
      <c r="C60" s="1299">
        <v>1814</v>
      </c>
      <c r="D60" s="1299">
        <v>186792517.5</v>
      </c>
      <c r="E60" s="1299">
        <v>2573</v>
      </c>
      <c r="F60" s="1299">
        <v>92057325.340000004</v>
      </c>
    </row>
    <row r="61" spans="1:6">
      <c r="A61" s="1298" t="s">
        <v>48</v>
      </c>
      <c r="B61" s="1298" t="s">
        <v>53</v>
      </c>
      <c r="C61" s="1299">
        <v>5385</v>
      </c>
      <c r="D61" s="1299">
        <v>310644620.10000002</v>
      </c>
      <c r="E61" s="1299">
        <v>9685</v>
      </c>
      <c r="F61" s="1299">
        <v>184438939.80000001</v>
      </c>
    </row>
    <row r="62" spans="1:6">
      <c r="A62" s="1298" t="s">
        <v>48</v>
      </c>
      <c r="B62" s="1298" t="s">
        <v>54</v>
      </c>
      <c r="C62" s="1299">
        <v>285</v>
      </c>
      <c r="D62" s="1299">
        <v>92249850.269999996</v>
      </c>
      <c r="E62" s="1299">
        <v>284</v>
      </c>
      <c r="F62" s="1299">
        <v>68155774.709999993</v>
      </c>
    </row>
    <row r="63" spans="1:6">
      <c r="A63" s="1298" t="s">
        <v>48</v>
      </c>
      <c r="B63" s="1298" t="s">
        <v>28</v>
      </c>
      <c r="C63" s="1299">
        <v>847</v>
      </c>
      <c r="D63" s="1299">
        <v>98130943.799999997</v>
      </c>
      <c r="E63" s="1299">
        <v>950</v>
      </c>
      <c r="F63" s="1299">
        <v>66459005.439999998</v>
      </c>
    </row>
    <row r="64" spans="1:6">
      <c r="A64" s="1298" t="s">
        <v>55</v>
      </c>
      <c r="B64" s="1298" t="s">
        <v>56</v>
      </c>
      <c r="C64" s="1299">
        <v>0</v>
      </c>
      <c r="D64" s="1299">
        <v>0</v>
      </c>
      <c r="E64" s="1299">
        <v>0</v>
      </c>
      <c r="F64" s="1299">
        <v>0</v>
      </c>
    </row>
    <row r="65" spans="1:6">
      <c r="A65" s="1298" t="s">
        <v>55</v>
      </c>
      <c r="B65" s="1298" t="s">
        <v>28</v>
      </c>
      <c r="C65" s="1299">
        <v>28</v>
      </c>
      <c r="D65" s="1299">
        <v>1334323.368</v>
      </c>
      <c r="E65" s="1299">
        <v>27</v>
      </c>
      <c r="F65" s="1299">
        <v>1840246.588</v>
      </c>
    </row>
    <row r="66" spans="1:6">
      <c r="A66" s="1298" t="s">
        <v>55</v>
      </c>
      <c r="B66" s="1298" t="s">
        <v>57</v>
      </c>
      <c r="C66" s="1299">
        <v>3</v>
      </c>
      <c r="D66" s="1299">
        <v>1961609.3670000001</v>
      </c>
      <c r="E66" s="1299">
        <v>158</v>
      </c>
      <c r="F66" s="1299">
        <v>7640488.7309999997</v>
      </c>
    </row>
    <row r="67" spans="1:6">
      <c r="A67" s="1300" t="s">
        <v>55</v>
      </c>
      <c r="B67" s="1300" t="s">
        <v>58</v>
      </c>
      <c r="C67" s="1299">
        <v>0</v>
      </c>
      <c r="D67" s="1299">
        <v>0</v>
      </c>
      <c r="E67" s="1299">
        <v>0</v>
      </c>
      <c r="F67" s="1299">
        <v>0</v>
      </c>
    </row>
    <row r="68" spans="1:6">
      <c r="A68" s="1293" t="s">
        <v>55</v>
      </c>
      <c r="B68" s="1293" t="s">
        <v>59</v>
      </c>
      <c r="C68" s="1302">
        <v>43</v>
      </c>
      <c r="D68" s="1302">
        <v>3349159.6320000002</v>
      </c>
      <c r="E68" s="1302">
        <v>135</v>
      </c>
      <c r="F68" s="1302">
        <v>13709079.630000001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556593838</v>
      </c>
      <c r="E73" s="450"/>
      <c r="F73" s="330"/>
    </row>
    <row r="74" spans="1:6">
      <c r="A74" s="1298" t="s">
        <v>63</v>
      </c>
      <c r="B74" s="1298" t="s">
        <v>647</v>
      </c>
      <c r="C74" s="1312" t="s">
        <v>649</v>
      </c>
      <c r="D74" s="1313">
        <v>82829820.5</v>
      </c>
      <c r="E74" s="450"/>
      <c r="F74" s="330"/>
    </row>
    <row r="75" spans="1:6">
      <c r="A75" s="1298" t="s">
        <v>64</v>
      </c>
      <c r="B75" s="1298" t="s">
        <v>646</v>
      </c>
      <c r="C75" s="1312" t="s">
        <v>650</v>
      </c>
      <c r="D75" s="1313">
        <v>338206965</v>
      </c>
      <c r="E75" s="450"/>
      <c r="F75" s="330"/>
    </row>
    <row r="76" spans="1:6">
      <c r="A76" s="1298" t="s">
        <v>64</v>
      </c>
      <c r="B76" s="1298" t="s">
        <v>647</v>
      </c>
      <c r="C76" s="1312" t="s">
        <v>651</v>
      </c>
      <c r="D76" s="1313">
        <v>26188411.5</v>
      </c>
      <c r="E76" s="450"/>
      <c r="F76" s="330"/>
    </row>
    <row r="77" spans="1:6">
      <c r="A77" s="1298" t="s">
        <v>65</v>
      </c>
      <c r="B77" s="1298" t="s">
        <v>646</v>
      </c>
      <c r="C77" s="1312" t="s">
        <v>652</v>
      </c>
      <c r="D77" s="1313">
        <v>1009224353</v>
      </c>
      <c r="E77" s="450"/>
      <c r="F77" s="330"/>
    </row>
    <row r="78" spans="1:6">
      <c r="A78" s="1293" t="s">
        <v>65</v>
      </c>
      <c r="B78" s="1293" t="s">
        <v>647</v>
      </c>
      <c r="C78" s="1293" t="s">
        <v>653</v>
      </c>
      <c r="D78" s="1314">
        <v>162623337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10148987</v>
      </c>
      <c r="C83" s="450"/>
      <c r="D83" s="330"/>
      <c r="E83" s="330"/>
      <c r="F83" s="330"/>
    </row>
    <row r="84" spans="1:6">
      <c r="A84" s="1293" t="s">
        <v>336</v>
      </c>
      <c r="B84" s="1314">
        <v>2612567</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133638.9837798173</v>
      </c>
      <c r="C90" s="330"/>
      <c r="D90" s="330"/>
      <c r="E90" s="330"/>
      <c r="F90" s="330"/>
    </row>
    <row r="91" spans="1:6">
      <c r="A91" s="1298" t="s">
        <v>67</v>
      </c>
      <c r="B91" s="1299">
        <v>23006.769218293663</v>
      </c>
      <c r="C91" s="330"/>
      <c r="D91" s="330"/>
      <c r="E91" s="330"/>
      <c r="F91" s="330"/>
    </row>
    <row r="92" spans="1:6">
      <c r="A92" s="1293" t="s">
        <v>68</v>
      </c>
      <c r="B92" s="1294">
        <v>35625.561317135871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62627</v>
      </c>
      <c r="C97" s="330"/>
      <c r="D97" s="330"/>
      <c r="E97" s="330"/>
      <c r="F97" s="330"/>
    </row>
    <row r="98" spans="1:6">
      <c r="A98" s="1298" t="s">
        <v>71</v>
      </c>
      <c r="B98" s="1299">
        <v>127</v>
      </c>
      <c r="C98" s="330"/>
      <c r="D98" s="330"/>
      <c r="E98" s="330"/>
      <c r="F98" s="330"/>
    </row>
    <row r="99" spans="1:6">
      <c r="A99" s="1298" t="s">
        <v>72</v>
      </c>
      <c r="B99" s="1299">
        <v>385</v>
      </c>
      <c r="C99" s="330"/>
      <c r="D99" s="330"/>
      <c r="E99" s="330"/>
      <c r="F99" s="330"/>
    </row>
    <row r="100" spans="1:6">
      <c r="A100" s="1298" t="s">
        <v>73</v>
      </c>
      <c r="B100" s="1299">
        <v>8623</v>
      </c>
      <c r="C100" s="330"/>
      <c r="D100" s="330"/>
      <c r="E100" s="330"/>
      <c r="F100" s="330"/>
    </row>
    <row r="101" spans="1:6">
      <c r="A101" s="1298" t="s">
        <v>74</v>
      </c>
      <c r="B101" s="1299">
        <v>396</v>
      </c>
      <c r="C101" s="330"/>
      <c r="D101" s="330"/>
      <c r="E101" s="330"/>
      <c r="F101" s="330"/>
    </row>
    <row r="102" spans="1:6">
      <c r="A102" s="1298" t="s">
        <v>75</v>
      </c>
      <c r="B102" s="1299">
        <v>4616</v>
      </c>
      <c r="C102" s="330"/>
      <c r="D102" s="330"/>
      <c r="E102" s="330"/>
      <c r="F102" s="330"/>
    </row>
    <row r="103" spans="1:6">
      <c r="A103" s="1298" t="s">
        <v>76</v>
      </c>
      <c r="B103" s="1299">
        <v>1823</v>
      </c>
      <c r="C103" s="330"/>
      <c r="D103" s="330"/>
      <c r="E103" s="330"/>
      <c r="F103" s="330"/>
    </row>
    <row r="104" spans="1:6">
      <c r="A104" s="1298" t="s">
        <v>77</v>
      </c>
      <c r="B104" s="1299">
        <v>21695</v>
      </c>
      <c r="C104" s="330"/>
      <c r="D104" s="330"/>
      <c r="E104" s="330"/>
      <c r="F104" s="330"/>
    </row>
    <row r="105" spans="1:6">
      <c r="A105" s="1293" t="s">
        <v>78</v>
      </c>
      <c r="B105" s="1302">
        <v>311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3</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5</v>
      </c>
      <c r="C121" s="1299">
        <v>0</v>
      </c>
      <c r="D121" s="330"/>
      <c r="E121" s="330"/>
      <c r="F121" s="330"/>
    </row>
    <row r="122" spans="1:6">
      <c r="A122" s="1298" t="s">
        <v>86</v>
      </c>
      <c r="B122" s="1299">
        <v>2</v>
      </c>
      <c r="C122" s="1299">
        <v>0</v>
      </c>
      <c r="D122" s="330"/>
      <c r="E122" s="330"/>
      <c r="F122" s="330"/>
    </row>
    <row r="123" spans="1:6">
      <c r="A123" s="1298" t="s">
        <v>87</v>
      </c>
      <c r="B123" s="1299">
        <v>277</v>
      </c>
      <c r="C123" s="1299">
        <v>304</v>
      </c>
      <c r="D123" s="330"/>
      <c r="E123" s="330"/>
      <c r="F123" s="330"/>
    </row>
    <row r="124" spans="1:6" s="43" customFormat="1">
      <c r="A124" s="1300" t="s">
        <v>88</v>
      </c>
      <c r="B124" s="1321">
        <v>6</v>
      </c>
      <c r="C124" s="1321">
        <v>8</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1363</v>
      </c>
      <c r="C129" s="330"/>
      <c r="D129" s="330"/>
      <c r="E129" s="330"/>
      <c r="F129" s="330"/>
    </row>
    <row r="130" spans="1:6">
      <c r="A130" s="1298" t="s">
        <v>294</v>
      </c>
      <c r="B130" s="1299">
        <v>31</v>
      </c>
      <c r="C130" s="330"/>
      <c r="D130" s="330"/>
      <c r="E130" s="330"/>
      <c r="F130" s="330"/>
    </row>
    <row r="131" spans="1:6">
      <c r="A131" s="1298" t="s">
        <v>295</v>
      </c>
      <c r="B131" s="1299">
        <v>22</v>
      </c>
      <c r="C131" s="330"/>
      <c r="D131" s="330"/>
      <c r="E131" s="330"/>
      <c r="F131" s="330"/>
    </row>
    <row r="132" spans="1:6">
      <c r="A132" s="1293" t="s">
        <v>296</v>
      </c>
      <c r="B132" s="1294">
        <v>159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1486973.1139689889</v>
      </c>
      <c r="C3" s="43" t="s">
        <v>169</v>
      </c>
      <c r="D3" s="43"/>
      <c r="E3" s="154"/>
      <c r="F3" s="43"/>
      <c r="G3" s="43"/>
      <c r="H3" s="43"/>
      <c r="I3" s="43"/>
      <c r="J3" s="43"/>
      <c r="K3" s="96"/>
    </row>
    <row r="4" spans="1:11">
      <c r="A4" s="358" t="s">
        <v>170</v>
      </c>
      <c r="B4" s="49">
        <f>IF(ISERROR('SEAP template'!B78+'SEAP template'!C78),0,'SEAP template'!B78+'SEAP template'!C78)</f>
        <v>201615.56431524683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1770.3998506295218</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0.19222568023517581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2530.0358636561937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10697.705357142859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0.23650266848739562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13408.469880000001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13408.469880000001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0.19222568023517581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2577.4522435958661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340570.04685600003</v>
      </c>
      <c r="C5" s="17">
        <f>IF(ISERROR('Eigen informatie GS &amp; warmtenet'!B59),0,'Eigen informatie GS &amp; warmtenet'!B59)</f>
        <v>0</v>
      </c>
      <c r="D5" s="30">
        <f>(SUM(HH_hh_gas_kWh,HH_rest_gas_kWh)/1000)*0.902</f>
        <v>1072402.6342730578</v>
      </c>
      <c r="E5" s="17">
        <f>B46*B57</f>
        <v>63424.807264974399</v>
      </c>
      <c r="F5" s="17">
        <f>B51*B62</f>
        <v>0</v>
      </c>
      <c r="G5" s="18"/>
      <c r="H5" s="17"/>
      <c r="I5" s="17"/>
      <c r="J5" s="17">
        <f>B50*B61+C50*C61</f>
        <v>0</v>
      </c>
      <c r="K5" s="17"/>
      <c r="L5" s="17"/>
      <c r="M5" s="17"/>
      <c r="N5" s="17">
        <f>B48*B59+C48*C59</f>
        <v>81396.607819948433</v>
      </c>
      <c r="O5" s="17">
        <f>B69*B70*B71</f>
        <v>3323.1300174732783</v>
      </c>
      <c r="P5" s="17">
        <f>B77*B78*B79/1000-B77*B78*B79/1000/B80</f>
        <v>4656.0100139967799</v>
      </c>
    </row>
    <row r="6" spans="1:16">
      <c r="A6" s="16" t="s">
        <v>611</v>
      </c>
      <c r="B6" s="783">
        <f>kWh_PV_kleiner_dan_10kW</f>
        <v>23006.769218293663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363576.81607429369</v>
      </c>
      <c r="C8" s="21">
        <f>C5</f>
        <v>0</v>
      </c>
      <c r="D8" s="21">
        <f>D5</f>
        <v>1072402.6342730578</v>
      </c>
      <c r="E8" s="21">
        <f>E5</f>
        <v>63424.807264974399</v>
      </c>
      <c r="F8" s="21">
        <f>F5</f>
        <v>0</v>
      </c>
      <c r="G8" s="21"/>
      <c r="H8" s="21"/>
      <c r="I8" s="21"/>
      <c r="J8" s="21">
        <f>J5</f>
        <v>0</v>
      </c>
      <c r="K8" s="21"/>
      <c r="L8" s="21">
        <f>L5</f>
        <v>0</v>
      </c>
      <c r="M8" s="21">
        <f>M5</f>
        <v>0</v>
      </c>
      <c r="N8" s="21">
        <f>N5</f>
        <v>81396.607819948433</v>
      </c>
      <c r="O8" s="21">
        <f>O5</f>
        <v>3323.1300174732783</v>
      </c>
      <c r="P8" s="21">
        <f>P5</f>
        <v>4656.0100139967799</v>
      </c>
    </row>
    <row r="9" spans="1:16">
      <c r="B9" s="19"/>
      <c r="C9" s="19"/>
      <c r="D9" s="258"/>
      <c r="E9" s="19"/>
      <c r="F9" s="19"/>
      <c r="G9" s="19"/>
      <c r="H9" s="19"/>
      <c r="I9" s="19"/>
      <c r="J9" s="19"/>
      <c r="K9" s="19"/>
      <c r="L9" s="19"/>
      <c r="M9" s="19"/>
      <c r="N9" s="19"/>
      <c r="O9" s="19"/>
      <c r="P9" s="19"/>
    </row>
    <row r="10" spans="1:16">
      <c r="A10" s="24" t="s">
        <v>213</v>
      </c>
      <c r="B10" s="25">
        <f ca="1">'EF ele_warmte'!B12</f>
        <v>0.19222568023517581</v>
      </c>
      <c r="C10" s="25">
        <f ca="1">'EF ele_warmte'!B22</f>
        <v>0.23650266848739562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69888.800787620508</v>
      </c>
      <c r="C12" s="23">
        <f ca="1">C10*C8</f>
        <v>0</v>
      </c>
      <c r="D12" s="23">
        <f>D8*D10</f>
        <v>216625.33212315768</v>
      </c>
      <c r="E12" s="23">
        <f>E10*E8</f>
        <v>14397.431249149189</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62627</v>
      </c>
      <c r="C18" s="166" t="s">
        <v>110</v>
      </c>
      <c r="D18" s="228"/>
      <c r="E18" s="15"/>
    </row>
    <row r="19" spans="1:7">
      <c r="A19" s="171" t="s">
        <v>71</v>
      </c>
      <c r="B19" s="37">
        <f>aantalw2001_ander</f>
        <v>127</v>
      </c>
      <c r="C19" s="166" t="s">
        <v>110</v>
      </c>
      <c r="D19" s="229"/>
      <c r="E19" s="15"/>
    </row>
    <row r="20" spans="1:7">
      <c r="A20" s="171" t="s">
        <v>72</v>
      </c>
      <c r="B20" s="37">
        <f>aantalw2001_propaan</f>
        <v>385</v>
      </c>
      <c r="C20" s="167">
        <f>IF(ISERROR(B20/SUM($B$20,$B$21,$B$22)*100),0,B20/SUM($B$20,$B$21,$B$22)*100)</f>
        <v>4.0940025521054872</v>
      </c>
      <c r="D20" s="229"/>
      <c r="E20" s="15"/>
    </row>
    <row r="21" spans="1:7">
      <c r="A21" s="171" t="s">
        <v>73</v>
      </c>
      <c r="B21" s="37">
        <f>aantalw2001_elektriciteit</f>
        <v>8623</v>
      </c>
      <c r="C21" s="167">
        <f>IF(ISERROR(B21/SUM($B$20,$B$21,$B$22)*100),0,B21/SUM($B$20,$B$21,$B$22)*100)</f>
        <v>91.695023394300307</v>
      </c>
      <c r="D21" s="229"/>
      <c r="E21" s="15"/>
    </row>
    <row r="22" spans="1:7">
      <c r="A22" s="171" t="s">
        <v>74</v>
      </c>
      <c r="B22" s="37">
        <f>aantalw2001_hout</f>
        <v>396</v>
      </c>
      <c r="C22" s="167">
        <f>IF(ISERROR(B22/SUM($B$20,$B$21,$B$22)*100),0,B22/SUM($B$20,$B$21,$B$22)*100)</f>
        <v>4.2109740535942155</v>
      </c>
      <c r="D22" s="229"/>
      <c r="E22" s="15"/>
    </row>
    <row r="23" spans="1:7">
      <c r="A23" s="171" t="s">
        <v>75</v>
      </c>
      <c r="B23" s="37">
        <f>aantalw2001_niet_gespec</f>
        <v>4616</v>
      </c>
      <c r="C23" s="166" t="s">
        <v>110</v>
      </c>
      <c r="D23" s="228"/>
      <c r="E23" s="15"/>
    </row>
    <row r="24" spans="1:7">
      <c r="A24" s="171" t="s">
        <v>76</v>
      </c>
      <c r="B24" s="37">
        <f>aantalw2001_steenkool</f>
        <v>1823</v>
      </c>
      <c r="C24" s="166" t="s">
        <v>110</v>
      </c>
      <c r="D24" s="229"/>
      <c r="E24" s="15"/>
    </row>
    <row r="25" spans="1:7">
      <c r="A25" s="171" t="s">
        <v>77</v>
      </c>
      <c r="B25" s="37">
        <f>aantalw2001_stookolie</f>
        <v>21695</v>
      </c>
      <c r="C25" s="166" t="s">
        <v>110</v>
      </c>
      <c r="D25" s="228"/>
      <c r="E25" s="52"/>
    </row>
    <row r="26" spans="1:7">
      <c r="A26" s="171" t="s">
        <v>78</v>
      </c>
      <c r="B26" s="37">
        <f>aantalw2001_WP</f>
        <v>311</v>
      </c>
      <c r="C26" s="166" t="s">
        <v>110</v>
      </c>
      <c r="D26" s="228"/>
      <c r="E26" s="15"/>
    </row>
    <row r="27" spans="1:7" s="15" customFormat="1">
      <c r="A27" s="171"/>
      <c r="B27" s="29"/>
      <c r="C27" s="36"/>
      <c r="D27" s="228"/>
    </row>
    <row r="28" spans="1:7" s="15" customFormat="1">
      <c r="A28" s="230" t="s">
        <v>818</v>
      </c>
      <c r="B28" s="37">
        <f>aantalHuishoudens</f>
        <v>119546</v>
      </c>
      <c r="C28" s="36"/>
      <c r="D28" s="228"/>
    </row>
    <row r="29" spans="1:7" s="15" customFormat="1">
      <c r="A29" s="230" t="s">
        <v>819</v>
      </c>
      <c r="B29" s="37">
        <f>SUM(HH_hh_gas_aantal,HH_rest_gas_aantal)</f>
        <v>90591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90591</v>
      </c>
      <c r="C32" s="167">
        <f>IF(ISERROR(B32/SUM($B$32,$B$34,$B$35,$B$36,$B$38,$B$39)*100),0,B32/SUM($B$32,$B$34,$B$35,$B$36,$B$38,$B$39)*100)</f>
        <v>76.060417786136483</v>
      </c>
      <c r="D32" s="233"/>
      <c r="G32" s="15"/>
    </row>
    <row r="33" spans="1:7">
      <c r="A33" s="171" t="s">
        <v>71</v>
      </c>
      <c r="B33" s="34" t="s">
        <v>110</v>
      </c>
      <c r="C33" s="167"/>
      <c r="D33" s="233"/>
      <c r="G33" s="15"/>
    </row>
    <row r="34" spans="1:7">
      <c r="A34" s="171" t="s">
        <v>72</v>
      </c>
      <c r="B34" s="33">
        <f>IF((($B$28-$B$32-$B$39-$B$77-$B$38)*C20/100)&lt;0,0,($B$28-$B$32-$B$39-$B$77-$B$38)*C20/100)</f>
        <v>1167.3229476818376</v>
      </c>
      <c r="C34" s="167">
        <f>IF(ISERROR(B34/SUM($B$32,$B$34,$B$35,$B$36,$B$38,$B$39)*100),0,B34/SUM($B$32,$B$34,$B$35,$B$36,$B$38,$B$39)*100)</f>
        <v>0.98008710679896338</v>
      </c>
      <c r="D34" s="233"/>
      <c r="G34" s="15"/>
    </row>
    <row r="35" spans="1:7">
      <c r="A35" s="171" t="s">
        <v>73</v>
      </c>
      <c r="B35" s="33">
        <f>IF((($B$28-$B$32-$B$39-$B$77-$B$38)*C21/100)&lt;0,0,($B$28-$B$32-$B$39-$B$77-$B$38)*C21/100)</f>
        <v>26145.002020416847</v>
      </c>
      <c r="C35" s="167">
        <f>IF(ISERROR(B35/SUM($B$32,$B$34,$B$35,$B$36,$B$38,$B$39)*100),0,B35/SUM($B$32,$B$34,$B$35,$B$36,$B$38,$B$39)*100)</f>
        <v>21.951405511499903</v>
      </c>
      <c r="D35" s="233"/>
      <c r="G35" s="15"/>
    </row>
    <row r="36" spans="1:7">
      <c r="A36" s="171" t="s">
        <v>74</v>
      </c>
      <c r="B36" s="33">
        <f>IF((($B$28-$B$32-$B$39-$B$77-$B$38)*C22/100)&lt;0,0,($B$28-$B$32-$B$39-$B$77-$B$38)*C22/100)</f>
        <v>1200.6750319013188</v>
      </c>
      <c r="C36" s="167">
        <f>IF(ISERROR(B36/SUM($B$32,$B$34,$B$35,$B$36,$B$38,$B$39)*100),0,B36/SUM($B$32,$B$34,$B$35,$B$36,$B$38,$B$39)*100)</f>
        <v>1.0080895955646483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90591</v>
      </c>
      <c r="C44" s="34" t="s">
        <v>110</v>
      </c>
      <c r="D44" s="174"/>
    </row>
    <row r="45" spans="1:7">
      <c r="A45" s="171" t="s">
        <v>71</v>
      </c>
      <c r="B45" s="33" t="str">
        <f t="shared" si="0"/>
        <v>-</v>
      </c>
      <c r="C45" s="34" t="s">
        <v>110</v>
      </c>
      <c r="D45" s="174"/>
    </row>
    <row r="46" spans="1:7">
      <c r="A46" s="171" t="s">
        <v>72</v>
      </c>
      <c r="B46" s="33">
        <f t="shared" si="0"/>
        <v>1167.3229476818376</v>
      </c>
      <c r="C46" s="34" t="s">
        <v>110</v>
      </c>
      <c r="D46" s="174"/>
    </row>
    <row r="47" spans="1:7">
      <c r="A47" s="171" t="s">
        <v>73</v>
      </c>
      <c r="B47" s="33">
        <f t="shared" si="0"/>
        <v>26145.002020416847</v>
      </c>
      <c r="C47" s="34" t="s">
        <v>110</v>
      </c>
      <c r="D47" s="174"/>
    </row>
    <row r="48" spans="1:7">
      <c r="A48" s="171" t="s">
        <v>74</v>
      </c>
      <c r="B48" s="33">
        <f t="shared" si="0"/>
        <v>1200.6750319013188</v>
      </c>
      <c r="C48" s="33">
        <f>B48*10</f>
        <v>12006.750319013188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1675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713670.97253000014</v>
      </c>
      <c r="C5" s="17">
        <f>IF(ISERROR('Eigen informatie GS &amp; warmtenet'!B60),0,'Eigen informatie GS &amp; warmtenet'!B60)</f>
        <v>0</v>
      </c>
      <c r="D5" s="30">
        <f>SUM(D6:D12)</f>
        <v>830548.94932371995</v>
      </c>
      <c r="E5" s="17">
        <f>SUM(E6:E12)</f>
        <v>9638.1591253773677</v>
      </c>
      <c r="F5" s="17">
        <f>SUM(F6:F12)</f>
        <v>79512.336627302284</v>
      </c>
      <c r="G5" s="18"/>
      <c r="H5" s="17"/>
      <c r="I5" s="17"/>
      <c r="J5" s="17">
        <f>SUM(J6:J12)</f>
        <v>0.83821912146822097</v>
      </c>
      <c r="K5" s="17"/>
      <c r="L5" s="17"/>
      <c r="M5" s="17"/>
      <c r="N5" s="17">
        <f>SUM(N6:N12)</f>
        <v>33839.321829268913</v>
      </c>
      <c r="O5" s="17">
        <f>B38*B39*B40</f>
        <v>151.8150837410758</v>
      </c>
      <c r="P5" s="17">
        <f>B46*B47*B48/1000-B46*B47*B48/1000/B49</f>
        <v>1523.6350108883557</v>
      </c>
      <c r="R5" s="32"/>
    </row>
    <row r="6" spans="1:18">
      <c r="A6" s="32" t="s">
        <v>53</v>
      </c>
      <c r="B6" s="37">
        <f>B26</f>
        <v>184438.93980000002</v>
      </c>
      <c r="C6" s="33"/>
      <c r="D6" s="37">
        <f>IF(ISERROR(TER_kantoor_gas_kWh/1000),0,TER_kantoor_gas_kWh/1000)*0.902</f>
        <v>280201.4473302</v>
      </c>
      <c r="E6" s="33">
        <f>$C$26*'E Balans VL '!I12/100/3.6*1000000</f>
        <v>1484.1210127876418</v>
      </c>
      <c r="F6" s="33">
        <f>$C$26*('E Balans VL '!L12+'E Balans VL '!N12)/100/3.6*1000000</f>
        <v>22549.600626078784</v>
      </c>
      <c r="G6" s="34"/>
      <c r="H6" s="33"/>
      <c r="I6" s="33"/>
      <c r="J6" s="33">
        <f>$C$26*('E Balans VL '!D12+'E Balans VL '!E12)/100/3.6*1000000</f>
        <v>0</v>
      </c>
      <c r="K6" s="33"/>
      <c r="L6" s="33"/>
      <c r="M6" s="33"/>
      <c r="N6" s="33">
        <f>$C$26*'E Balans VL '!Y12/100/3.6*1000000</f>
        <v>99.126847507769256</v>
      </c>
      <c r="O6" s="33"/>
      <c r="P6" s="33"/>
      <c r="R6" s="32"/>
    </row>
    <row r="7" spans="1:18">
      <c r="A7" s="32" t="s">
        <v>52</v>
      </c>
      <c r="B7" s="37">
        <f t="shared" ref="B7:B12" si="0">B27</f>
        <v>92057.32534000001</v>
      </c>
      <c r="C7" s="33"/>
      <c r="D7" s="37">
        <f>IF(ISERROR(TER_horeca_gas_kWh/1000),0,TER_horeca_gas_kWh/1000)*0.902</f>
        <v>168486.85078499999</v>
      </c>
      <c r="E7" s="33">
        <f>$C$27*'E Balans VL '!I9/100/3.6*1000000</f>
        <v>988.46962088106693</v>
      </c>
      <c r="F7" s="33">
        <f>$C$27*('E Balans VL '!L9+'E Balans VL '!N9)/100/3.6*1000000</f>
        <v>11072.263968608546</v>
      </c>
      <c r="G7" s="34"/>
      <c r="H7" s="33"/>
      <c r="I7" s="33"/>
      <c r="J7" s="33">
        <f>$C$27*('E Balans VL '!D9+'E Balans VL '!E9)/100/3.6*1000000</f>
        <v>0</v>
      </c>
      <c r="K7" s="33"/>
      <c r="L7" s="33"/>
      <c r="M7" s="33"/>
      <c r="N7" s="33">
        <f>$C$27*'E Balans VL '!Y9/100/3.6*1000000</f>
        <v>13.801258853835696</v>
      </c>
      <c r="O7" s="33"/>
      <c r="P7" s="33"/>
      <c r="R7" s="32"/>
    </row>
    <row r="8" spans="1:18">
      <c r="A8" s="6" t="s">
        <v>51</v>
      </c>
      <c r="B8" s="37">
        <f t="shared" si="0"/>
        <v>160884.30309999999</v>
      </c>
      <c r="C8" s="33"/>
      <c r="D8" s="37">
        <f>IF(ISERROR(TER_handel_gas_kWh/1000),0,TER_handel_gas_kWh/1000)*0.902</f>
        <v>72468.578673919998</v>
      </c>
      <c r="E8" s="33">
        <f>$C$28*'E Balans VL '!I13/100/3.6*1000000</f>
        <v>4317.6421526881122</v>
      </c>
      <c r="F8" s="33">
        <f>$C$28*('E Balans VL '!L13+'E Balans VL '!N13)/100/3.6*1000000</f>
        <v>15353.321097817359</v>
      </c>
      <c r="G8" s="34"/>
      <c r="H8" s="33"/>
      <c r="I8" s="33"/>
      <c r="J8" s="33">
        <f>$C$28*('E Balans VL '!D13+'E Balans VL '!E13)/100/3.6*1000000</f>
        <v>0</v>
      </c>
      <c r="K8" s="33"/>
      <c r="L8" s="33"/>
      <c r="M8" s="33"/>
      <c r="N8" s="33">
        <f>$C$28*'E Balans VL '!Y13/100/3.6*1000000</f>
        <v>63.776367065384051</v>
      </c>
      <c r="O8" s="33"/>
      <c r="P8" s="33"/>
      <c r="R8" s="32"/>
    </row>
    <row r="9" spans="1:18">
      <c r="A9" s="32" t="s">
        <v>50</v>
      </c>
      <c r="B9" s="37">
        <f t="shared" si="0"/>
        <v>99801.704110000006</v>
      </c>
      <c r="C9" s="33"/>
      <c r="D9" s="37">
        <f>IF(ISERROR(TER_gezond_gas_kWh/1000),0,TER_gezond_gas_kWh/1000)*0.902</f>
        <v>92786.045004400003</v>
      </c>
      <c r="E9" s="33">
        <f>$C$29*'E Balans VL '!I10/100/3.6*1000000</f>
        <v>187.06089034813471</v>
      </c>
      <c r="F9" s="33">
        <f>$C$29*('E Balans VL '!L10+'E Balans VL '!N10)/100/3.6*1000000</f>
        <v>8204.6106982256842</v>
      </c>
      <c r="G9" s="34"/>
      <c r="H9" s="33"/>
      <c r="I9" s="33"/>
      <c r="J9" s="33">
        <f>$C$29*('E Balans VL '!D10+'E Balans VL '!E10)/100/3.6*1000000</f>
        <v>0</v>
      </c>
      <c r="K9" s="33"/>
      <c r="L9" s="33"/>
      <c r="M9" s="33"/>
      <c r="N9" s="33">
        <f>$C$29*'E Balans VL '!Y10/100/3.6*1000000</f>
        <v>776.53172074639474</v>
      </c>
      <c r="O9" s="33"/>
      <c r="P9" s="33"/>
      <c r="R9" s="32"/>
    </row>
    <row r="10" spans="1:18">
      <c r="A10" s="32" t="s">
        <v>49</v>
      </c>
      <c r="B10" s="37">
        <f t="shared" si="0"/>
        <v>41873.920030000001</v>
      </c>
      <c r="C10" s="33"/>
      <c r="D10" s="37">
        <f>IF(ISERROR(TER_ander_gas_kWh/1000),0,TER_ander_gas_kWh/1000)*0.902</f>
        <v>44882.551279060004</v>
      </c>
      <c r="E10" s="33">
        <f>$C$30*'E Balans VL '!I14/100/3.6*1000000</f>
        <v>64.549072028120662</v>
      </c>
      <c r="F10" s="33">
        <f>$C$30*('E Balans VL '!L14+'E Balans VL '!N14)/100/3.6*1000000</f>
        <v>6500.9376445886764</v>
      </c>
      <c r="G10" s="34"/>
      <c r="H10" s="33"/>
      <c r="I10" s="33"/>
      <c r="J10" s="33">
        <f>$C$30*('E Balans VL '!D14+'E Balans VL '!E14)/100/3.6*1000000</f>
        <v>0.71085395378378002</v>
      </c>
      <c r="K10" s="33"/>
      <c r="L10" s="33"/>
      <c r="M10" s="33"/>
      <c r="N10" s="33">
        <f>$C$30*'E Balans VL '!Y14/100/3.6*1000000</f>
        <v>27702.443442784963</v>
      </c>
      <c r="O10" s="33"/>
      <c r="P10" s="33"/>
      <c r="R10" s="32"/>
    </row>
    <row r="11" spans="1:18">
      <c r="A11" s="32" t="s">
        <v>54</v>
      </c>
      <c r="B11" s="37">
        <f t="shared" si="0"/>
        <v>68155.774709999998</v>
      </c>
      <c r="C11" s="33"/>
      <c r="D11" s="37">
        <f>IF(ISERROR(TER_onderwijs_gas_kWh/1000),0,TER_onderwijs_gas_kWh/1000)*0.902</f>
        <v>83209.36494354</v>
      </c>
      <c r="E11" s="33">
        <f>$C$31*'E Balans VL '!I11/100/3.6*1000000</f>
        <v>1738.4377628925281</v>
      </c>
      <c r="F11" s="33">
        <f>$C$31*('E Balans VL '!L11+'E Balans VL '!N11)/100/3.6*1000000</f>
        <v>8196.3734154584963</v>
      </c>
      <c r="G11" s="34"/>
      <c r="H11" s="33"/>
      <c r="I11" s="33"/>
      <c r="J11" s="33">
        <f>$C$31*('E Balans VL '!D11+'E Balans VL '!E11)/100/3.6*1000000</f>
        <v>0</v>
      </c>
      <c r="K11" s="33"/>
      <c r="L11" s="33"/>
      <c r="M11" s="33"/>
      <c r="N11" s="33">
        <f>$C$31*'E Balans VL '!Y11/100/3.6*1000000</f>
        <v>151.57677993980741</v>
      </c>
      <c r="O11" s="33"/>
      <c r="P11" s="33"/>
      <c r="R11" s="32"/>
    </row>
    <row r="12" spans="1:18">
      <c r="A12" s="32" t="s">
        <v>259</v>
      </c>
      <c r="B12" s="37">
        <f t="shared" si="0"/>
        <v>66459.005439999994</v>
      </c>
      <c r="C12" s="33"/>
      <c r="D12" s="37">
        <f>IF(ISERROR(TER_rest_gas_kWh/1000),0,TER_rest_gas_kWh/1000)*0.902</f>
        <v>88514.111307600004</v>
      </c>
      <c r="E12" s="33">
        <f>$C$32*'E Balans VL '!I8/100/3.6*1000000</f>
        <v>857.87861375176419</v>
      </c>
      <c r="F12" s="33">
        <f>$C$32*('E Balans VL '!L8+'E Balans VL '!N8)/100/3.6*1000000</f>
        <v>7635.2291765247346</v>
      </c>
      <c r="G12" s="34"/>
      <c r="H12" s="33"/>
      <c r="I12" s="33"/>
      <c r="J12" s="33">
        <f>$C$32*('E Balans VL '!D8+'E Balans VL '!E8)/100/3.6*1000000</f>
        <v>0.12736516768444095</v>
      </c>
      <c r="K12" s="33"/>
      <c r="L12" s="33"/>
      <c r="M12" s="33"/>
      <c r="N12" s="33">
        <f>$C$32*'E Balans VL '!Y8/100/3.6*1000000</f>
        <v>5032.0654123707545</v>
      </c>
      <c r="O12" s="33"/>
      <c r="P12" s="33"/>
      <c r="R12" s="32"/>
    </row>
    <row r="13" spans="1:18">
      <c r="A13" s="16" t="s">
        <v>478</v>
      </c>
      <c r="B13" s="247">
        <f ca="1">'lokale energieproductie'!N50+'lokale energieproductie'!N43</f>
        <v>7094.25</v>
      </c>
      <c r="C13" s="247">
        <f ca="1">'lokale energieproductie'!O50+'lokale energieproductie'!O43</f>
        <v>7483.419642857144</v>
      </c>
      <c r="D13" s="308">
        <f ca="1">('lokale energieproductie'!P43+'lokale energieproductie'!P50)*(-1)</f>
        <v>-14860.714285714288</v>
      </c>
      <c r="E13" s="248"/>
      <c r="F13" s="308">
        <f ca="1">('lokale energieproductie'!S43+'lokale energieproductie'!S50)*(-1)</f>
        <v>0</v>
      </c>
      <c r="G13" s="249"/>
      <c r="H13" s="248"/>
      <c r="I13" s="248"/>
      <c r="J13" s="248"/>
      <c r="K13" s="248"/>
      <c r="L13" s="308">
        <f ca="1">('lokale energieproductie'!U43+'lokale energieproductie'!T43+'lokale energieproductie'!U50+'lokale energieproductie'!T50)*(-1)</f>
        <v>-101.25</v>
      </c>
      <c r="M13" s="248"/>
      <c r="N13" s="308">
        <f ca="1">('lokale energieproductie'!Q43+'lokale energieproductie'!R43+'lokale energieproductie'!V43+'lokale energieproductie'!Q50+'lokale energieproductie'!R50+'lokale energieproductie'!V50)*(-1)</f>
        <v>-5310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720765.22253000014</v>
      </c>
      <c r="C16" s="21">
        <f t="shared" ca="1" si="1"/>
        <v>7483.419642857144</v>
      </c>
      <c r="D16" s="21">
        <f t="shared" ca="1" si="1"/>
        <v>815688.23503800563</v>
      </c>
      <c r="E16" s="21">
        <f t="shared" si="1"/>
        <v>9638.1591253773677</v>
      </c>
      <c r="F16" s="21">
        <f t="shared" ca="1" si="1"/>
        <v>79512.336627302284</v>
      </c>
      <c r="G16" s="21">
        <f t="shared" si="1"/>
        <v>0</v>
      </c>
      <c r="H16" s="21">
        <f t="shared" si="1"/>
        <v>0</v>
      </c>
      <c r="I16" s="21">
        <f t="shared" si="1"/>
        <v>0</v>
      </c>
      <c r="J16" s="21">
        <f t="shared" si="1"/>
        <v>0.83821912146822097</v>
      </c>
      <c r="K16" s="21">
        <f t="shared" si="1"/>
        <v>0</v>
      </c>
      <c r="L16" s="21">
        <f t="shared" ca="1" si="1"/>
        <v>0</v>
      </c>
      <c r="M16" s="21">
        <f t="shared" si="1"/>
        <v>0</v>
      </c>
      <c r="N16" s="21">
        <f t="shared" ca="1" si="1"/>
        <v>28529.321829268913</v>
      </c>
      <c r="O16" s="21">
        <f>O5</f>
        <v>151.8150837410758</v>
      </c>
      <c r="P16" s="21">
        <f>P5</f>
        <v>1523.6350108883557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0.19222568023517581</v>
      </c>
      <c r="C18" s="25">
        <f ca="1">'EF ele_warmte'!B22</f>
        <v>0.23650266848739562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138549.58519068715</v>
      </c>
      <c r="C20" s="23">
        <f t="shared" ref="C20:P20" ca="1" si="2">C16*C18</f>
        <v>1769.8487149467078</v>
      </c>
      <c r="D20" s="23">
        <f t="shared" ca="1" si="2"/>
        <v>164769.02347767714</v>
      </c>
      <c r="E20" s="23">
        <f t="shared" si="2"/>
        <v>2187.8621214606624</v>
      </c>
      <c r="F20" s="23">
        <f t="shared" ca="1" si="2"/>
        <v>21229.793879489713</v>
      </c>
      <c r="G20" s="23">
        <f t="shared" si="2"/>
        <v>0</v>
      </c>
      <c r="H20" s="23">
        <f t="shared" si="2"/>
        <v>0</v>
      </c>
      <c r="I20" s="23">
        <f t="shared" si="2"/>
        <v>0</v>
      </c>
      <c r="J20" s="23">
        <f t="shared" si="2"/>
        <v>0.29672956899975023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184438.93980000002</v>
      </c>
      <c r="C26" s="39">
        <f>IF(ISERROR(B26*3.6/1000000/'E Balans VL '!Z12*100),0,B26*3.6/1000000/'E Balans VL '!Z12*100)</f>
        <v>3.9127033656043753</v>
      </c>
      <c r="D26" s="237" t="s">
        <v>708</v>
      </c>
      <c r="F26" s="6"/>
    </row>
    <row r="27" spans="1:18">
      <c r="A27" s="231" t="s">
        <v>52</v>
      </c>
      <c r="B27" s="33">
        <f>IF(ISERROR(TER_horeca_ele_kWh/1000),0,TER_horeca_ele_kWh/1000)</f>
        <v>92057.32534000001</v>
      </c>
      <c r="C27" s="39">
        <f>IF(ISERROR(B27*3.6/1000000/'E Balans VL '!Z9*100),0,B27*3.6/1000000/'E Balans VL '!Z9*100)</f>
        <v>6.932732088522199</v>
      </c>
      <c r="D27" s="237" t="s">
        <v>708</v>
      </c>
      <c r="F27" s="6"/>
    </row>
    <row r="28" spans="1:18">
      <c r="A28" s="171" t="s">
        <v>51</v>
      </c>
      <c r="B28" s="33">
        <f>IF(ISERROR(TER_handel_ele_kWh/1000),0,TER_handel_ele_kWh/1000)</f>
        <v>160884.30309999999</v>
      </c>
      <c r="C28" s="39">
        <f>IF(ISERROR(B28*3.6/1000000/'E Balans VL '!Z13*100),0,B28*3.6/1000000/'E Balans VL '!Z13*100)</f>
        <v>4.6699012614301978</v>
      </c>
      <c r="D28" s="237" t="s">
        <v>708</v>
      </c>
      <c r="F28" s="6"/>
    </row>
    <row r="29" spans="1:18">
      <c r="A29" s="231" t="s">
        <v>50</v>
      </c>
      <c r="B29" s="33">
        <f>IF(ISERROR(TER_gezond_ele_kWh/1000),0,TER_gezond_ele_kWh/1000)</f>
        <v>99801.704110000006</v>
      </c>
      <c r="C29" s="39">
        <f>IF(ISERROR(B29*3.6/1000000/'E Balans VL '!Z10*100),0,B29*3.6/1000000/'E Balans VL '!Z10*100)</f>
        <v>10.065120877873165</v>
      </c>
      <c r="D29" s="237" t="s">
        <v>708</v>
      </c>
      <c r="F29" s="6"/>
    </row>
    <row r="30" spans="1:18">
      <c r="A30" s="231" t="s">
        <v>49</v>
      </c>
      <c r="B30" s="33">
        <f>IF(ISERROR(TER_ander_ele_kWh/1000),0,TER_ander_ele_kWh/1000)</f>
        <v>41873.920030000001</v>
      </c>
      <c r="C30" s="39">
        <f>IF(ISERROR(B30*3.6/1000000/'E Balans VL '!Z14*100),0,B30*3.6/1000000/'E Balans VL '!Z14*100)</f>
        <v>3.0385241631900541</v>
      </c>
      <c r="D30" s="237" t="s">
        <v>708</v>
      </c>
      <c r="F30" s="6"/>
    </row>
    <row r="31" spans="1:18">
      <c r="A31" s="231" t="s">
        <v>54</v>
      </c>
      <c r="B31" s="33">
        <f>IF(ISERROR(TER_onderwijs_ele_kWh/1000),0,TER_onderwijs_ele_kWh/1000)</f>
        <v>68155.774709999998</v>
      </c>
      <c r="C31" s="39">
        <f>IF(ISERROR(B31*3.6/1000000/'E Balans VL '!Z11*100),0,B31*3.6/1000000/'E Balans VL '!Z11*100)</f>
        <v>19.427171224730387</v>
      </c>
      <c r="D31" s="237" t="s">
        <v>708</v>
      </c>
    </row>
    <row r="32" spans="1:18">
      <c r="A32" s="231" t="s">
        <v>259</v>
      </c>
      <c r="B32" s="33">
        <f>IF(ISERROR(TER_rest_ele_kWh/1000),0,TER_rest_ele_kWh/1000)</f>
        <v>66459.005439999994</v>
      </c>
      <c r="C32" s="39">
        <f>IF(ISERROR(B32*3.6/1000000/'E Balans VL '!Z8*100),0,B32*3.6/1000000/'E Balans VL '!Z8*100)</f>
        <v>0.54441863549884828</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29</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350470.88118899998</v>
      </c>
      <c r="C5" s="17">
        <f>IF(ISERROR('Eigen informatie GS &amp; warmtenet'!B61),0,'Eigen informatie GS &amp; warmtenet'!B61)</f>
        <v>0</v>
      </c>
      <c r="D5" s="30">
        <f>SUM(D6:D15)</f>
        <v>270705.84228195198</v>
      </c>
      <c r="E5" s="17">
        <f>SUM(E6:E15)</f>
        <v>15949.393560889814</v>
      </c>
      <c r="F5" s="17">
        <f>SUM(F6:F15)</f>
        <v>70910.808138249951</v>
      </c>
      <c r="G5" s="18"/>
      <c r="H5" s="17"/>
      <c r="I5" s="17"/>
      <c r="J5" s="17">
        <f>SUM(J6:J15)</f>
        <v>2781.4205217909871</v>
      </c>
      <c r="K5" s="17"/>
      <c r="L5" s="17"/>
      <c r="M5" s="17"/>
      <c r="N5" s="17">
        <f>SUM(N6:N15)</f>
        <v>23426.462491579128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26193.330590000001</v>
      </c>
      <c r="C8" s="33"/>
      <c r="D8" s="37">
        <f>IF( ISERROR(IND_metaal_Gas_kWH/1000),0,IND_metaal_Gas_kWH/1000)*0.902</f>
        <v>12924.937047000001</v>
      </c>
      <c r="E8" s="33">
        <f>C30*'E Balans VL '!I18/100/3.6*1000000</f>
        <v>188.96649600926284</v>
      </c>
      <c r="F8" s="33">
        <f>C30*'E Balans VL '!L18/100/3.6*1000000+C30*'E Balans VL '!N18/100/3.6*1000000</f>
        <v>2477.4061026301542</v>
      </c>
      <c r="G8" s="34"/>
      <c r="H8" s="33"/>
      <c r="I8" s="33"/>
      <c r="J8" s="40">
        <f>C30*'E Balans VL '!D18/100/3.6*1000000+C30*'E Balans VL '!E18/100/3.6*1000000</f>
        <v>26.345404122055402</v>
      </c>
      <c r="K8" s="33"/>
      <c r="L8" s="33"/>
      <c r="M8" s="33"/>
      <c r="N8" s="33">
        <f>C30*'E Balans VL '!Y18/100/3.6*1000000</f>
        <v>331.15299936852784</v>
      </c>
      <c r="O8" s="33"/>
      <c r="P8" s="33"/>
      <c r="R8" s="32"/>
    </row>
    <row r="9" spans="1:18">
      <c r="A9" s="6" t="s">
        <v>32</v>
      </c>
      <c r="B9" s="37">
        <f t="shared" si="0"/>
        <v>24321.629149999997</v>
      </c>
      <c r="C9" s="33"/>
      <c r="D9" s="37">
        <f>IF( ISERROR(IND_andere_gas_kWh/1000),0,IND_andere_gas_kWh/1000)*0.902</f>
        <v>24331.631662799999</v>
      </c>
      <c r="E9" s="33">
        <f>C31*'E Balans VL '!I19/100/3.6*1000000</f>
        <v>6739.8486583911372</v>
      </c>
      <c r="F9" s="33">
        <f>C31*'E Balans VL '!L19/100/3.6*1000000+C31*'E Balans VL '!N19/100/3.6*1000000</f>
        <v>20157.818798965662</v>
      </c>
      <c r="G9" s="34"/>
      <c r="H9" s="33"/>
      <c r="I9" s="33"/>
      <c r="J9" s="40">
        <f>C31*'E Balans VL '!D19/100/3.6*1000000+C31*'E Balans VL '!E19/100/3.6*1000000</f>
        <v>0</v>
      </c>
      <c r="K9" s="33"/>
      <c r="L9" s="33"/>
      <c r="M9" s="33"/>
      <c r="N9" s="33">
        <f>C31*'E Balans VL '!Y19/100/3.6*1000000</f>
        <v>1765.4527905602065</v>
      </c>
      <c r="O9" s="33"/>
      <c r="P9" s="33"/>
      <c r="R9" s="32"/>
    </row>
    <row r="10" spans="1:18">
      <c r="A10" s="6" t="s">
        <v>40</v>
      </c>
      <c r="B10" s="37">
        <f t="shared" si="0"/>
        <v>54797.40812</v>
      </c>
      <c r="C10" s="33"/>
      <c r="D10" s="37">
        <f>IF( ISERROR(IND_voed_gas_kWh/1000),0,IND_voed_gas_kWh/1000)*0.902</f>
        <v>22960.175867859998</v>
      </c>
      <c r="E10" s="33">
        <f>C32*'E Balans VL '!I20/100/3.6*1000000</f>
        <v>97.009973444533742</v>
      </c>
      <c r="F10" s="33">
        <f>C32*'E Balans VL '!L20/100/3.6*1000000+C32*'E Balans VL '!N20/100/3.6*1000000</f>
        <v>2959.5457035516806</v>
      </c>
      <c r="G10" s="34"/>
      <c r="H10" s="33"/>
      <c r="I10" s="33"/>
      <c r="J10" s="40">
        <f>C32*'E Balans VL '!D20/100/3.6*1000000+C32*'E Balans VL '!E20/100/3.6*1000000</f>
        <v>0</v>
      </c>
      <c r="K10" s="33"/>
      <c r="L10" s="33"/>
      <c r="M10" s="33"/>
      <c r="N10" s="33">
        <f>C32*'E Balans VL '!Y20/100/3.6*1000000</f>
        <v>3184.1479047926077</v>
      </c>
      <c r="O10" s="33"/>
      <c r="P10" s="33"/>
      <c r="R10" s="32"/>
    </row>
    <row r="11" spans="1:18">
      <c r="A11" s="6" t="s">
        <v>39</v>
      </c>
      <c r="B11" s="37">
        <f t="shared" si="0"/>
        <v>310.429079</v>
      </c>
      <c r="C11" s="33"/>
      <c r="D11" s="37">
        <f>IF( ISERROR(IND_textiel_gas_kWh/1000),0,IND_textiel_gas_kWh/1000)*0.902</f>
        <v>297.50602318800003</v>
      </c>
      <c r="E11" s="33">
        <f>C33*'E Balans VL '!I21/100/3.6*1000000</f>
        <v>1.0942947244519721</v>
      </c>
      <c r="F11" s="33">
        <f>C33*'E Balans VL '!L21/100/3.6*1000000+C33*'E Balans VL '!N21/100/3.6*1000000</f>
        <v>9.1115576722937845</v>
      </c>
      <c r="G11" s="34"/>
      <c r="H11" s="33"/>
      <c r="I11" s="33"/>
      <c r="J11" s="40">
        <f>C33*'E Balans VL '!D21/100/3.6*1000000+C33*'E Balans VL '!E21/100/3.6*1000000</f>
        <v>0</v>
      </c>
      <c r="K11" s="33"/>
      <c r="L11" s="33"/>
      <c r="M11" s="33"/>
      <c r="N11" s="33">
        <f>C33*'E Balans VL '!Y21/100/3.6*1000000</f>
        <v>13.677460783973213</v>
      </c>
      <c r="O11" s="33"/>
      <c r="P11" s="33"/>
      <c r="R11" s="32"/>
    </row>
    <row r="12" spans="1:18">
      <c r="A12" s="6" t="s">
        <v>36</v>
      </c>
      <c r="B12" s="37">
        <f t="shared" si="0"/>
        <v>51171.165869999997</v>
      </c>
      <c r="C12" s="33"/>
      <c r="D12" s="37">
        <f>IF( ISERROR(IND_min_gas_kWh/1000),0,IND_min_gas_kWh/1000)*0.902</f>
        <v>163.20279903400001</v>
      </c>
      <c r="E12" s="33">
        <f>C34*'E Balans VL '!I22/100/3.6*1000000</f>
        <v>2253.3956156270669</v>
      </c>
      <c r="F12" s="33">
        <f>C34*'E Balans VL '!L22/100/3.6*1000000+C34*'E Balans VL '!N22/100/3.6*1000000</f>
        <v>20009.992431338094</v>
      </c>
      <c r="G12" s="34"/>
      <c r="H12" s="33"/>
      <c r="I12" s="33"/>
      <c r="J12" s="40">
        <f>C34*'E Balans VL '!D22/100/3.6*1000000+C34*'E Balans VL '!E22/100/3.6*1000000</f>
        <v>15.537384374685791</v>
      </c>
      <c r="K12" s="33"/>
      <c r="L12" s="33"/>
      <c r="M12" s="33"/>
      <c r="N12" s="33">
        <f>C34*'E Balans VL '!Y22/100/3.6*1000000</f>
        <v>12658.195689963059</v>
      </c>
      <c r="O12" s="33"/>
      <c r="P12" s="33"/>
      <c r="R12" s="32"/>
    </row>
    <row r="13" spans="1:18">
      <c r="A13" s="6" t="s">
        <v>38</v>
      </c>
      <c r="B13" s="37">
        <f t="shared" si="0"/>
        <v>14564.94541</v>
      </c>
      <c r="C13" s="33"/>
      <c r="D13" s="37">
        <f>IF( ISERROR(IND_papier_gas_kWh/1000),0,IND_papier_gas_kWh/1000)*0.902</f>
        <v>2235.5499169300001</v>
      </c>
      <c r="E13" s="33">
        <f>C35*'E Balans VL '!I23/100/3.6*1000000</f>
        <v>21.430036011629543</v>
      </c>
      <c r="F13" s="33">
        <f>C35*'E Balans VL '!L23/100/3.6*1000000+C35*'E Balans VL '!N23/100/3.6*1000000</f>
        <v>155.95133506194293</v>
      </c>
      <c r="G13" s="34"/>
      <c r="H13" s="33"/>
      <c r="I13" s="33"/>
      <c r="J13" s="40">
        <f>C35*'E Balans VL '!D23/100/3.6*1000000+C35*'E Balans VL '!E23/100/3.6*1000000</f>
        <v>1593.4867037938261</v>
      </c>
      <c r="K13" s="33"/>
      <c r="L13" s="33"/>
      <c r="M13" s="33"/>
      <c r="N13" s="33">
        <f>C35*'E Balans VL '!Y23/100/3.6*1000000</f>
        <v>0</v>
      </c>
      <c r="O13" s="33"/>
      <c r="P13" s="33"/>
      <c r="R13" s="32"/>
    </row>
    <row r="14" spans="1:18">
      <c r="A14" s="6" t="s">
        <v>33</v>
      </c>
      <c r="B14" s="37">
        <f t="shared" si="0"/>
        <v>40385.255770000003</v>
      </c>
      <c r="C14" s="33"/>
      <c r="D14" s="37">
        <f>IF( ISERROR(IND_chemie_gas_kWh/1000),0,IND_chemie_gas_kWh/1000)*0.902</f>
        <v>28190.05858614</v>
      </c>
      <c r="E14" s="33">
        <f>C36*'E Balans VL '!I24/100/3.6*1000000</f>
        <v>91.343314191855924</v>
      </c>
      <c r="F14" s="33">
        <f>C36*'E Balans VL '!L24/100/3.6*1000000+C36*'E Balans VL '!N24/100/3.6*1000000</f>
        <v>476.82755205435956</v>
      </c>
      <c r="G14" s="34"/>
      <c r="H14" s="33"/>
      <c r="I14" s="33"/>
      <c r="J14" s="40">
        <f>C36*'E Balans VL '!D24/100/3.6*1000000+C36*'E Balans VL '!E24/100/3.6*1000000</f>
        <v>0</v>
      </c>
      <c r="K14" s="33"/>
      <c r="L14" s="33"/>
      <c r="M14" s="33"/>
      <c r="N14" s="33">
        <f>C36*'E Balans VL '!Y24/100/3.6*1000000</f>
        <v>22.183016521437171</v>
      </c>
      <c r="O14" s="33"/>
      <c r="P14" s="33"/>
      <c r="R14" s="32"/>
    </row>
    <row r="15" spans="1:18">
      <c r="A15" s="6" t="s">
        <v>269</v>
      </c>
      <c r="B15" s="37">
        <f t="shared" si="0"/>
        <v>138726.71719999998</v>
      </c>
      <c r="C15" s="33"/>
      <c r="D15" s="37">
        <f>IF( ISERROR(IND_rest_gas_kWh/1000),0,IND_rest_gas_kWh/1000)*0.902</f>
        <v>179602.780379</v>
      </c>
      <c r="E15" s="33">
        <f>C37*'E Balans VL '!I15/100/3.6*1000000</f>
        <v>6556.3051724898751</v>
      </c>
      <c r="F15" s="33">
        <f>C37*'E Balans VL '!L15/100/3.6*1000000+C37*'E Balans VL '!N15/100/3.6*1000000</f>
        <v>24664.154656975767</v>
      </c>
      <c r="G15" s="34"/>
      <c r="H15" s="33"/>
      <c r="I15" s="33"/>
      <c r="J15" s="40">
        <f>C37*'E Balans VL '!D15/100/3.6*1000000+C37*'E Balans VL '!E15/100/3.6*1000000</f>
        <v>1146.0510295004199</v>
      </c>
      <c r="K15" s="33"/>
      <c r="L15" s="33"/>
      <c r="M15" s="33"/>
      <c r="N15" s="33">
        <f>C37*'E Balans VL '!Y15/100/3.6*1000000</f>
        <v>5451.6526295893154</v>
      </c>
      <c r="O15" s="33"/>
      <c r="P15" s="33"/>
      <c r="R15" s="32"/>
    </row>
    <row r="16" spans="1:18">
      <c r="A16" s="16" t="s">
        <v>478</v>
      </c>
      <c r="B16" s="247">
        <f>'lokale energieproductie'!N49+'lokale energieproductie'!N42</f>
        <v>2250</v>
      </c>
      <c r="C16" s="247">
        <f>'lokale energieproductie'!O49+'lokale energieproductie'!O42</f>
        <v>3214.2857142857142</v>
      </c>
      <c r="D16" s="308">
        <f>('lokale energieproductie'!P42+'lokale energieproductie'!P49)*(-1)</f>
        <v>-6428.5714285714294</v>
      </c>
      <c r="E16" s="248"/>
      <c r="F16" s="308">
        <f>('lokale energieproductie'!S42+'lokale energieproductie'!S49)*(-1)</f>
        <v>0</v>
      </c>
      <c r="G16" s="249"/>
      <c r="H16" s="248"/>
      <c r="I16" s="248"/>
      <c r="J16" s="248"/>
      <c r="K16" s="248"/>
      <c r="L16" s="308">
        <f>('lokale energieproductie'!T42+'lokale energieproductie'!U42+'lokale energieproductie'!T49+'lokale energieproductie'!U49)*(-1)</f>
        <v>0</v>
      </c>
      <c r="M16" s="248"/>
      <c r="N16" s="308">
        <f>('lokale energieproductie'!Q42+'lokale energieproductie'!R42+'lokale energieproductie'!V42+'lokale energieproductie'!Q49+'lokale energieproductie'!R49+'lokale energieproductie'!V49)*(-1)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352720.88118899998</v>
      </c>
      <c r="C18" s="21">
        <f>C5+C16</f>
        <v>3214.2857142857142</v>
      </c>
      <c r="D18" s="21">
        <f>MAX((D5+D16),0)</f>
        <v>264277.27085338056</v>
      </c>
      <c r="E18" s="21">
        <f>MAX((E5+E16),0)</f>
        <v>15949.393560889814</v>
      </c>
      <c r="F18" s="21">
        <f>MAX((F5+F16),0)</f>
        <v>70910.808138249951</v>
      </c>
      <c r="G18" s="21"/>
      <c r="H18" s="21"/>
      <c r="I18" s="21"/>
      <c r="J18" s="21">
        <f>MAX((J5+J16),0)</f>
        <v>2781.4205217909871</v>
      </c>
      <c r="K18" s="21"/>
      <c r="L18" s="21">
        <f>MAX((L5+L16),0)</f>
        <v>0</v>
      </c>
      <c r="M18" s="21"/>
      <c r="N18" s="21">
        <f>MAX((N5+N16),0)</f>
        <v>23426.462491579128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0.19222568023517581</v>
      </c>
      <c r="C20" s="25">
        <f ca="1">'EF ele_warmte'!B22</f>
        <v>0.23650266848739562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67802.011319706144</v>
      </c>
      <c r="C22" s="23">
        <f ca="1">C18*C20</f>
        <v>760.18714870948588</v>
      </c>
      <c r="D22" s="23">
        <f>D18*D20</f>
        <v>53384.008712382878</v>
      </c>
      <c r="E22" s="23">
        <f>E18*E20</f>
        <v>3620.512338321988</v>
      </c>
      <c r="F22" s="23">
        <f>F18*F20</f>
        <v>18933.185772912737</v>
      </c>
      <c r="G22" s="23"/>
      <c r="H22" s="23"/>
      <c r="I22" s="23"/>
      <c r="J22" s="23">
        <f>J18*J20</f>
        <v>984.62286471400932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26193.330590000001</v>
      </c>
      <c r="C30" s="39">
        <f>IF(ISERROR(B30*3.6/1000000/'E Balans VL '!Z18*100),0,B30*3.6/1000000/'E Balans VL '!Z18*100)</f>
        <v>1.5121001042584019</v>
      </c>
      <c r="D30" s="237" t="s">
        <v>708</v>
      </c>
    </row>
    <row r="31" spans="1:18">
      <c r="A31" s="6" t="s">
        <v>32</v>
      </c>
      <c r="B31" s="37">
        <f>IF( ISERROR(IND_ander_ele_kWh/1000),0,IND_ander_ele_kWh/1000)</f>
        <v>24321.629149999997</v>
      </c>
      <c r="C31" s="39">
        <f>IF(ISERROR(B31*3.6/1000000/'E Balans VL '!Z19*100),0,B31*3.6/1000000/'E Balans VL '!Z19*100)</f>
        <v>1.2232991107366977</v>
      </c>
      <c r="D31" s="237" t="s">
        <v>708</v>
      </c>
    </row>
    <row r="32" spans="1:18">
      <c r="A32" s="171" t="s">
        <v>40</v>
      </c>
      <c r="B32" s="37">
        <f>IF( ISERROR(IND_voed_ele_kWh/1000),0,IND_voed_ele_kWh/1000)</f>
        <v>54797.40812</v>
      </c>
      <c r="C32" s="39">
        <f>IF(ISERROR(B32*3.6/1000000/'E Balans VL '!Z20*100),0,B32*3.6/1000000/'E Balans VL '!Z20*100)</f>
        <v>1.8250790909998518</v>
      </c>
      <c r="D32" s="237" t="s">
        <v>708</v>
      </c>
    </row>
    <row r="33" spans="1:5">
      <c r="A33" s="171" t="s">
        <v>39</v>
      </c>
      <c r="B33" s="37">
        <f>IF( ISERROR(IND_textiel_ele_kWh/1000),0,IND_textiel_ele_kWh/1000)</f>
        <v>310.429079</v>
      </c>
      <c r="C33" s="39">
        <f>IF(ISERROR(B33*3.6/1000000/'E Balans VL '!Z21*100),0,B33*3.6/1000000/'E Balans VL '!Z21*100)</f>
        <v>4.8399844380946334E-2</v>
      </c>
      <c r="D33" s="237" t="s">
        <v>708</v>
      </c>
    </row>
    <row r="34" spans="1:5">
      <c r="A34" s="171" t="s">
        <v>36</v>
      </c>
      <c r="B34" s="37">
        <f>IF( ISERROR(IND_min_ele_kWh/1000),0,IND_min_ele_kWh/1000)</f>
        <v>51171.165869999997</v>
      </c>
      <c r="C34" s="39">
        <f>IF(ISERROR(B34*3.6/1000000/'E Balans VL '!Z22*100),0,B34*3.6/1000000/'E Balans VL '!Z22*100)</f>
        <v>9.5451508103866711</v>
      </c>
      <c r="D34" s="237" t="s">
        <v>708</v>
      </c>
    </row>
    <row r="35" spans="1:5">
      <c r="A35" s="171" t="s">
        <v>38</v>
      </c>
      <c r="B35" s="37">
        <f>IF( ISERROR(IND_papier_ele_kWh/1000),0,IND_papier_ele_kWh/1000)</f>
        <v>14564.94541</v>
      </c>
      <c r="C35" s="39">
        <f>IF(ISERROR(B35*3.6/1000000/'E Balans VL '!Z22*100),0,B35*3.6/1000000/'E Balans VL '!Z22*100)</f>
        <v>2.7168542697793949</v>
      </c>
      <c r="D35" s="237" t="s">
        <v>708</v>
      </c>
    </row>
    <row r="36" spans="1:5">
      <c r="A36" s="171" t="s">
        <v>33</v>
      </c>
      <c r="B36" s="37">
        <f>IF( ISERROR(IND_chemie_ele_kWh/1000),0,IND_chemie_ele_kWh/1000)</f>
        <v>40385.255770000003</v>
      </c>
      <c r="C36" s="39">
        <f>IF(ISERROR(B36*3.6/1000000/'E Balans VL '!Z24*100),0,B36*3.6/1000000/'E Balans VL '!Z24*100)</f>
        <v>1.0652108773799358</v>
      </c>
      <c r="D36" s="237" t="s">
        <v>708</v>
      </c>
    </row>
    <row r="37" spans="1:5">
      <c r="A37" s="171" t="s">
        <v>269</v>
      </c>
      <c r="B37" s="37">
        <f>IF( ISERROR(IND_rest_ele_kWh/1000),0,IND_rest_ele_kWh/1000)</f>
        <v>138726.71719999998</v>
      </c>
      <c r="C37" s="39">
        <f>IF(ISERROR(B37*3.6/1000000/'E Balans VL '!Z15*100),0,B37*3.6/1000000/'E Balans VL '!Z15*100)</f>
        <v>1.0824477605681728</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3187.3418360000001</v>
      </c>
      <c r="C5" s="17">
        <f>'Eigen informatie GS &amp; warmtenet'!B62</f>
        <v>0</v>
      </c>
      <c r="D5" s="30">
        <f>IF(ISERROR(SUM(LB_lb_gas_kWh,LB_rest_gas_kWh)/1000),0,SUM(LB_lb_gas_kWh,LB_rest_gas_kWh)/1000)*0.902</f>
        <v>5332.3719018239999</v>
      </c>
      <c r="E5" s="17">
        <f>B17*'E Balans VL '!I25/3.6*1000000/100</f>
        <v>99.475887645889003</v>
      </c>
      <c r="F5" s="17">
        <f>B17*('E Balans VL '!L25/3.6*1000000+'E Balans VL '!N25/3.6*1000000)/100</f>
        <v>11264.419132627794</v>
      </c>
      <c r="G5" s="18"/>
      <c r="H5" s="17"/>
      <c r="I5" s="17"/>
      <c r="J5" s="17">
        <f>('E Balans VL '!D25+'E Balans VL '!E25)/3.6*1000000*landbouw!B17/100</f>
        <v>878.13477983991424</v>
      </c>
      <c r="K5" s="17"/>
      <c r="L5" s="17">
        <f>L6*(-1)</f>
        <v>0</v>
      </c>
      <c r="M5" s="17"/>
      <c r="N5" s="17">
        <f>N6*(-1)</f>
        <v>0</v>
      </c>
      <c r="O5" s="17"/>
      <c r="P5" s="17"/>
      <c r="R5" s="32"/>
    </row>
    <row r="6" spans="1:18">
      <c r="A6" s="16" t="s">
        <v>478</v>
      </c>
      <c r="B6" s="17" t="s">
        <v>210</v>
      </c>
      <c r="C6" s="17">
        <f>'lokale energieproductie'!O51+'lokale energieproductie'!O44</f>
        <v>0</v>
      </c>
      <c r="D6" s="308">
        <f>('lokale energieproductie'!P44+'lokale energieproductie'!P51)*(-1)</f>
        <v>0</v>
      </c>
      <c r="E6" s="248"/>
      <c r="F6" s="308">
        <f>('lokale energieproductie'!S44+'lokale energieproductie'!S51)*(-1)</f>
        <v>0</v>
      </c>
      <c r="G6" s="249"/>
      <c r="H6" s="248"/>
      <c r="I6" s="248"/>
      <c r="J6" s="248"/>
      <c r="K6" s="248"/>
      <c r="L6" s="308">
        <f>('lokale energieproductie'!T44+'lokale energieproductie'!U44+'lokale energieproductie'!T51+'lokale energieproductie'!U51)*(-1)</f>
        <v>0</v>
      </c>
      <c r="M6" s="248"/>
      <c r="N6" s="308">
        <f>('lokale energieproductie'!V44+'lokale energieproductie'!R44+'lokale energieproductie'!Q44+'lokale energieproductie'!Q51+'lokale energieproductie'!R51+'lokale energieproductie'!V51)*(-1)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3187.3418360000001</v>
      </c>
      <c r="C8" s="21">
        <f>C5+C6</f>
        <v>0</v>
      </c>
      <c r="D8" s="21">
        <f>MAX((D5+D6),0)</f>
        <v>5332.3719018239999</v>
      </c>
      <c r="E8" s="21">
        <f>MAX((E5+E6),0)</f>
        <v>99.475887645889003</v>
      </c>
      <c r="F8" s="21">
        <f>MAX((F5+F6),0)</f>
        <v>11264.419132627794</v>
      </c>
      <c r="G8" s="21"/>
      <c r="H8" s="21"/>
      <c r="I8" s="21"/>
      <c r="J8" s="21">
        <f>MAX((J5+J6),0)</f>
        <v>878.13477983991424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0.19222568023517581</v>
      </c>
      <c r="C10" s="31">
        <f ca="1">'EF ele_warmte'!B22</f>
        <v>0.23650266848739562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612.68895256713415</v>
      </c>
      <c r="C12" s="23">
        <f ca="1">C8*C10</f>
        <v>0</v>
      </c>
      <c r="D12" s="23">
        <f>D8*D10</f>
        <v>1077.139124168448</v>
      </c>
      <c r="E12" s="23">
        <f>E8*E10</f>
        <v>22.581026495616804</v>
      </c>
      <c r="F12" s="23">
        <f>F8*F10</f>
        <v>3007.5999084116211</v>
      </c>
      <c r="G12" s="23"/>
      <c r="H12" s="23"/>
      <c r="I12" s="23"/>
      <c r="J12" s="23">
        <f>J8*J10</f>
        <v>310.85971206332965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0.47382121295199031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450.9940121182575</v>
      </c>
      <c r="C26" s="247">
        <f>B26*'GWP N2O_CH4'!B5</f>
        <v>9470.8742544834076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88.858754929877222</v>
      </c>
      <c r="C27" s="247">
        <f>B27*'GWP N2O_CH4'!B5</f>
        <v>1866.0338535274216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5.2252222867797986</v>
      </c>
      <c r="C28" s="247">
        <f>B28*'GWP N2O_CH4'!B4</f>
        <v>1619.8189089017376</v>
      </c>
      <c r="D28" s="50"/>
    </row>
    <row r="29" spans="1:4">
      <c r="A29" s="41" t="s">
        <v>276</v>
      </c>
      <c r="B29" s="247">
        <f>B34*'ha_N2O bodem landbouw'!B4</f>
        <v>21.082678573031313</v>
      </c>
      <c r="C29" s="247">
        <f>B29*'GWP N2O_CH4'!B4</f>
        <v>6535.6303576397067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4.6230518259729606E-3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3.2782371289027602E-3</v>
      </c>
      <c r="C5" s="437" t="s">
        <v>210</v>
      </c>
      <c r="D5" s="422">
        <f>SUM(D6:D11)</f>
        <v>1.1876109324624635E-2</v>
      </c>
      <c r="E5" s="422">
        <f>SUM(E6:E11)</f>
        <v>1.1201323676191588E-2</v>
      </c>
      <c r="F5" s="435" t="s">
        <v>210</v>
      </c>
      <c r="G5" s="422">
        <f>SUM(G6:G11)</f>
        <v>5.9235873049437506</v>
      </c>
      <c r="H5" s="422">
        <f>SUM(H6:H11)</f>
        <v>1.1304317841158358</v>
      </c>
      <c r="I5" s="437" t="s">
        <v>210</v>
      </c>
      <c r="J5" s="437" t="s">
        <v>210</v>
      </c>
      <c r="K5" s="437" t="s">
        <v>210</v>
      </c>
      <c r="L5" s="437" t="s">
        <v>210</v>
      </c>
      <c r="M5" s="422">
        <f>SUM(M6:M11)</f>
        <v>0.41629208429067532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9.5831012510534707E-4</v>
      </c>
      <c r="C6" s="423"/>
      <c r="D6" s="890">
        <f>vkm_GW_PW*SUMIFS(TableVerdeelsleutelVkm[CNG],TableVerdeelsleutelVkm[Voertuigtype],"Lichte voertuigen")*SUMIFS(TableECFTransport[EnergieConsumptieFactor (PJ per km)],TableECFTransport[Index],CONCATENATE($A6,"_CNG_CNG"))</f>
        <v>3.0871025412961568E-3</v>
      </c>
      <c r="E6" s="890">
        <f>vkm_GW_PW*SUMIFS(TableVerdeelsleutelVkm[LPG],TableVerdeelsleutelVkm[Voertuigtype],"Lichte voertuigen")*SUMIFS(TableECFTransport[EnergieConsumptieFactor (PJ per km)],TableECFTransport[Index],CONCATENATE($A6,"_LPG_LPG"))</f>
        <v>2.640017877935906E-3</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0.85285629532535878</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0.28919833916685461</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6.8308209677996223E-2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0.78633380907625761</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1.1243867430860441E-5</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4.5326172921038736E-2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5.8230461211223423E-4</v>
      </c>
      <c r="C8" s="423"/>
      <c r="D8" s="425">
        <f>vkm_NGW_PW*SUMIFS(TableVerdeelsleutelVkm[CNG],TableVerdeelsleutelVkm[Voertuigtype],"Lichte voertuigen")*SUMIFS(TableECFTransport[EnergieConsumptieFactor (PJ per km)],TableECFTransport[Index],CONCATENATE($A8,"_CNG_CNG"))</f>
        <v>3.178198689551999E-3</v>
      </c>
      <c r="E8" s="425">
        <f>vkm_NGW_PW*SUMIFS(TableVerdeelsleutelVkm[LPG],TableVerdeelsleutelVkm[Voertuigtype],"Lichte voertuigen")*SUMIFS(TableECFTransport[EnergieConsumptieFactor (PJ per km)],TableECFTransport[Index],CONCATENATE($A8,"_LPG_LPG"))</f>
        <v>2.5824735515145541E-3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0.77957158023729711</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0.29275609257417823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6.4319536815899692E-2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0.32004554078166769</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5.8023798784197918E-6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1.8448276277316596E-2</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1.7376223916851789E-3</v>
      </c>
      <c r="C10" s="423"/>
      <c r="D10" s="425">
        <f>vkm_SW_PW*SUMIFS(TableVerdeelsleutelVkm[CNG],TableVerdeelsleutelVkm[Voertuigtype],"Lichte voertuigen")*SUMIFS(TableECFTransport[EnergieConsumptieFactor (PJ per km)],TableECFTransport[Index],CONCATENATE($A10,"_CNG_CNG"))</f>
        <v>5.6108080937764789E-3</v>
      </c>
      <c r="E10" s="425">
        <f>vkm_SW_PW*SUMIFS(TableVerdeelsleutelVkm[LPG],TableVerdeelsleutelVkm[Voertuigtype],"Lichte voertuigen")*SUMIFS(TableECFTransport[EnergieConsumptieFactor (PJ per km)],TableECFTransport[Index],CONCATENATE($A10,"_LPG_LPG"))</f>
        <v>5.9788322467411283E-3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1.7209169641002267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0.54843794031536375</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0.13550920117148774</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1.4638631154229433</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2.2365812129853798E-5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8.4380687426936316E-2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910.6214246952112</v>
      </c>
      <c r="C14" s="21"/>
      <c r="D14" s="21">
        <f t="shared" ref="D14:M14" si="0">((D5)*10^9/3600)+D12</f>
        <v>3298.9192568401763</v>
      </c>
      <c r="E14" s="21">
        <f t="shared" si="0"/>
        <v>3111.4787989421079</v>
      </c>
      <c r="F14" s="21"/>
      <c r="G14" s="21">
        <f t="shared" si="0"/>
        <v>1645440.9180399308</v>
      </c>
      <c r="H14" s="21">
        <f t="shared" si="0"/>
        <v>314008.82892106549</v>
      </c>
      <c r="I14" s="21"/>
      <c r="J14" s="21"/>
      <c r="K14" s="21"/>
      <c r="L14" s="21"/>
      <c r="M14" s="21">
        <f t="shared" si="0"/>
        <v>115636.69008074315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0.19222568023517581</v>
      </c>
      <c r="C16" s="56">
        <f ca="1">'EF ele_warmte'!B22</f>
        <v>0.23650266848739562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175.04482279876188</v>
      </c>
      <c r="C18" s="23"/>
      <c r="D18" s="23">
        <f t="shared" ref="D18:M18" si="1">D14*D16</f>
        <v>666.38168988171572</v>
      </c>
      <c r="E18" s="23">
        <f t="shared" si="1"/>
        <v>706.30568735985855</v>
      </c>
      <c r="F18" s="23"/>
      <c r="G18" s="23">
        <f t="shared" si="1"/>
        <v>439332.72511666152</v>
      </c>
      <c r="H18" s="23">
        <f t="shared" si="1"/>
        <v>78188.198401345304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3.315347523E-2</v>
      </c>
      <c r="C50" s="319">
        <f t="shared" ref="C50:P50" si="2">SUM(C51:C52)</f>
        <v>0</v>
      </c>
      <c r="D50" s="319">
        <f t="shared" si="2"/>
        <v>0</v>
      </c>
      <c r="E50" s="319">
        <f t="shared" si="2"/>
        <v>0</v>
      </c>
      <c r="F50" s="319">
        <f t="shared" si="2"/>
        <v>0</v>
      </c>
      <c r="G50" s="319">
        <f t="shared" si="2"/>
        <v>0.12609055874773878</v>
      </c>
      <c r="H50" s="319">
        <f t="shared" si="2"/>
        <v>0</v>
      </c>
      <c r="I50" s="319">
        <f t="shared" si="2"/>
        <v>0</v>
      </c>
      <c r="J50" s="319">
        <f t="shared" si="2"/>
        <v>0</v>
      </c>
      <c r="K50" s="319">
        <f t="shared" si="2"/>
        <v>0</v>
      </c>
      <c r="L50" s="319">
        <f t="shared" si="2"/>
        <v>0</v>
      </c>
      <c r="M50" s="319">
        <f t="shared" si="2"/>
        <v>7.0070246202511349E-3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0.12609055874773878</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7.0070246202511349E-3</v>
      </c>
      <c r="N51" s="321"/>
      <c r="O51" s="321"/>
      <c r="P51" s="324"/>
    </row>
    <row r="52" spans="1:18">
      <c r="A52" s="4" t="s">
        <v>329</v>
      </c>
      <c r="B52" s="891">
        <f>vkm_tram*SUMIFS(TableECFTransport[EnergieConsumptieFactor (PJ per km)],TableECFTransport[Index],"Tram_gemiddeld_Electric_Electric")</f>
        <v>3.315347523E-2</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9209.298675</v>
      </c>
      <c r="C54" s="21">
        <f t="shared" ref="C54:P54" si="3">(C50)*10^9/3600</f>
        <v>0</v>
      </c>
      <c r="D54" s="21">
        <f t="shared" si="3"/>
        <v>0</v>
      </c>
      <c r="E54" s="21">
        <f t="shared" si="3"/>
        <v>0</v>
      </c>
      <c r="F54" s="21">
        <f t="shared" si="3"/>
        <v>0</v>
      </c>
      <c r="G54" s="21">
        <f t="shared" si="3"/>
        <v>35025.155207705218</v>
      </c>
      <c r="H54" s="21">
        <f t="shared" si="3"/>
        <v>0</v>
      </c>
      <c r="I54" s="21">
        <f t="shared" si="3"/>
        <v>0</v>
      </c>
      <c r="J54" s="21">
        <f t="shared" si="3"/>
        <v>0</v>
      </c>
      <c r="K54" s="21">
        <f t="shared" si="3"/>
        <v>0</v>
      </c>
      <c r="L54" s="21">
        <f t="shared" si="3"/>
        <v>0</v>
      </c>
      <c r="M54" s="21">
        <f t="shared" si="3"/>
        <v>1946.3957278475375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0.19222568023517581</v>
      </c>
      <c r="C56" s="56">
        <f ca="1">'EF ele_warmte'!B22</f>
        <v>0.23650266848739562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1770.2637022907782</v>
      </c>
      <c r="C58" s="23">
        <f t="shared" ref="C58:P58" ca="1" si="4">C54*C56</f>
        <v>0</v>
      </c>
      <c r="D58" s="23">
        <f t="shared" si="4"/>
        <v>0</v>
      </c>
      <c r="E58" s="23">
        <f t="shared" si="4"/>
        <v>0</v>
      </c>
      <c r="F58" s="23">
        <f t="shared" si="4"/>
        <v>0</v>
      </c>
      <c r="G58" s="23">
        <f t="shared" si="4"/>
        <v>9351.7164404572941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734173.69241000013</v>
      </c>
      <c r="D10" s="686">
        <f ca="1">tertiair!C16</f>
        <v>7483.419642857144</v>
      </c>
      <c r="E10" s="686">
        <f ca="1">tertiair!D16</f>
        <v>815688.23503800563</v>
      </c>
      <c r="F10" s="686">
        <f>tertiair!E16</f>
        <v>9638.1591253773677</v>
      </c>
      <c r="G10" s="686">
        <f ca="1">tertiair!F16</f>
        <v>79512.336627302284</v>
      </c>
      <c r="H10" s="686">
        <f>tertiair!G16</f>
        <v>0</v>
      </c>
      <c r="I10" s="686">
        <f>tertiair!H16</f>
        <v>0</v>
      </c>
      <c r="J10" s="686">
        <f>tertiair!I16</f>
        <v>0</v>
      </c>
      <c r="K10" s="686">
        <f>tertiair!J16</f>
        <v>0.83821912146822097</v>
      </c>
      <c r="L10" s="686">
        <f>tertiair!K16</f>
        <v>0</v>
      </c>
      <c r="M10" s="686">
        <f ca="1">tertiair!L16</f>
        <v>0</v>
      </c>
      <c r="N10" s="686">
        <f>tertiair!M16</f>
        <v>0</v>
      </c>
      <c r="O10" s="686">
        <f ca="1">tertiair!N16</f>
        <v>28529.321829268913</v>
      </c>
      <c r="P10" s="686">
        <f>tertiair!O16</f>
        <v>151.8150837410758</v>
      </c>
      <c r="Q10" s="687">
        <f>tertiair!P16</f>
        <v>1523.6350108883557</v>
      </c>
      <c r="R10" s="689">
        <f ca="1">SUM(C10:Q10)</f>
        <v>1676701.4529865624</v>
      </c>
      <c r="S10" s="67"/>
    </row>
    <row r="11" spans="1:19" s="448" customFormat="1">
      <c r="A11" s="808" t="s">
        <v>224</v>
      </c>
      <c r="B11" s="813"/>
      <c r="C11" s="686">
        <f>huishoudens!B8</f>
        <v>363576.81607429369</v>
      </c>
      <c r="D11" s="686">
        <f>huishoudens!C8</f>
        <v>0</v>
      </c>
      <c r="E11" s="686">
        <f>huishoudens!D8</f>
        <v>1072402.6342730578</v>
      </c>
      <c r="F11" s="686">
        <f>huishoudens!E8</f>
        <v>63424.807264974399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81396.607819948433</v>
      </c>
      <c r="P11" s="686">
        <f>huishoudens!O8</f>
        <v>3323.1300174732783</v>
      </c>
      <c r="Q11" s="687">
        <f>huishoudens!P8</f>
        <v>4656.0100139967799</v>
      </c>
      <c r="R11" s="689">
        <f>SUM(C11:Q11)</f>
        <v>1588780.0054637443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352720.88118899998</v>
      </c>
      <c r="D13" s="686">
        <f>industrie!C18</f>
        <v>3214.2857142857142</v>
      </c>
      <c r="E13" s="686">
        <f>industrie!D18</f>
        <v>264277.27085338056</v>
      </c>
      <c r="F13" s="686">
        <f>industrie!E18</f>
        <v>15949.393560889814</v>
      </c>
      <c r="G13" s="686">
        <f>industrie!F18</f>
        <v>70910.808138249951</v>
      </c>
      <c r="H13" s="686">
        <f>industrie!G18</f>
        <v>0</v>
      </c>
      <c r="I13" s="686">
        <f>industrie!H18</f>
        <v>0</v>
      </c>
      <c r="J13" s="686">
        <f>industrie!I18</f>
        <v>0</v>
      </c>
      <c r="K13" s="686">
        <f>industrie!J18</f>
        <v>2781.4205217909871</v>
      </c>
      <c r="L13" s="686">
        <f>industrie!K18</f>
        <v>0</v>
      </c>
      <c r="M13" s="686">
        <f>industrie!L18</f>
        <v>0</v>
      </c>
      <c r="N13" s="686">
        <f>industrie!M18</f>
        <v>0</v>
      </c>
      <c r="O13" s="686">
        <f>industrie!N18</f>
        <v>23426.462491579128</v>
      </c>
      <c r="P13" s="686">
        <f>industrie!O18</f>
        <v>0</v>
      </c>
      <c r="Q13" s="687">
        <f>industrie!P18</f>
        <v>0</v>
      </c>
      <c r="R13" s="689">
        <f>SUM(C13:Q13)</f>
        <v>733280.52246917598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1450471.3896732936</v>
      </c>
      <c r="D16" s="722">
        <f t="shared" ref="D16:R16" ca="1" si="0">SUM(D9:D15)</f>
        <v>10697.705357142859</v>
      </c>
      <c r="E16" s="722">
        <f t="shared" ca="1" si="0"/>
        <v>2152368.1401644442</v>
      </c>
      <c r="F16" s="722">
        <f t="shared" si="0"/>
        <v>89012.359951241582</v>
      </c>
      <c r="G16" s="722">
        <f t="shared" ca="1" si="0"/>
        <v>150423.14476555225</v>
      </c>
      <c r="H16" s="722">
        <f t="shared" si="0"/>
        <v>0</v>
      </c>
      <c r="I16" s="722">
        <f t="shared" si="0"/>
        <v>0</v>
      </c>
      <c r="J16" s="722">
        <f t="shared" si="0"/>
        <v>0</v>
      </c>
      <c r="K16" s="722">
        <f t="shared" si="0"/>
        <v>2782.2587409124553</v>
      </c>
      <c r="L16" s="722">
        <f t="shared" si="0"/>
        <v>0</v>
      </c>
      <c r="M16" s="722">
        <f t="shared" ca="1" si="0"/>
        <v>0</v>
      </c>
      <c r="N16" s="722">
        <f t="shared" si="0"/>
        <v>0</v>
      </c>
      <c r="O16" s="722">
        <f t="shared" ca="1" si="0"/>
        <v>133352.39214079647</v>
      </c>
      <c r="P16" s="722">
        <f t="shared" si="0"/>
        <v>3474.9451012143541</v>
      </c>
      <c r="Q16" s="722">
        <f t="shared" si="0"/>
        <v>6179.6450248851361</v>
      </c>
      <c r="R16" s="722">
        <f t="shared" ca="1" si="0"/>
        <v>3998761.9809194827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9209.298675</v>
      </c>
      <c r="D19" s="686">
        <f>transport!C54</f>
        <v>0</v>
      </c>
      <c r="E19" s="686">
        <f>transport!D54</f>
        <v>0</v>
      </c>
      <c r="F19" s="686">
        <f>transport!E54</f>
        <v>0</v>
      </c>
      <c r="G19" s="686">
        <f>transport!F54</f>
        <v>0</v>
      </c>
      <c r="H19" s="686">
        <f>transport!G54</f>
        <v>35025.155207705218</v>
      </c>
      <c r="I19" s="686">
        <f>transport!H54</f>
        <v>0</v>
      </c>
      <c r="J19" s="686">
        <f>transport!I54</f>
        <v>0</v>
      </c>
      <c r="K19" s="686">
        <f>transport!J54</f>
        <v>0</v>
      </c>
      <c r="L19" s="686">
        <f>transport!K54</f>
        <v>0</v>
      </c>
      <c r="M19" s="686">
        <f>transport!L54</f>
        <v>0</v>
      </c>
      <c r="N19" s="686">
        <f>transport!M54</f>
        <v>1946.3957278475375</v>
      </c>
      <c r="O19" s="686">
        <f>transport!N54</f>
        <v>0</v>
      </c>
      <c r="P19" s="686">
        <f>transport!O54</f>
        <v>0</v>
      </c>
      <c r="Q19" s="687">
        <f>transport!P54</f>
        <v>0</v>
      </c>
      <c r="R19" s="689">
        <f>SUM(C19:Q19)</f>
        <v>46180.849610552752</v>
      </c>
      <c r="S19" s="67"/>
    </row>
    <row r="20" spans="1:19" s="448" customFormat="1">
      <c r="A20" s="808" t="s">
        <v>306</v>
      </c>
      <c r="B20" s="813"/>
      <c r="C20" s="686">
        <f>transport!B14</f>
        <v>910.6214246952112</v>
      </c>
      <c r="D20" s="686">
        <f>transport!C14</f>
        <v>0</v>
      </c>
      <c r="E20" s="686">
        <f>transport!D14</f>
        <v>3298.9192568401763</v>
      </c>
      <c r="F20" s="686">
        <f>transport!E14</f>
        <v>3111.4787989421079</v>
      </c>
      <c r="G20" s="686">
        <f>transport!F14</f>
        <v>0</v>
      </c>
      <c r="H20" s="686">
        <f>transport!G14</f>
        <v>1645440.9180399308</v>
      </c>
      <c r="I20" s="686">
        <f>transport!H14</f>
        <v>314008.82892106549</v>
      </c>
      <c r="J20" s="686">
        <f>transport!I14</f>
        <v>0</v>
      </c>
      <c r="K20" s="686">
        <f>transport!J14</f>
        <v>0</v>
      </c>
      <c r="L20" s="686">
        <f>transport!K14</f>
        <v>0</v>
      </c>
      <c r="M20" s="686">
        <f>transport!L14</f>
        <v>0</v>
      </c>
      <c r="N20" s="686">
        <f>transport!M14</f>
        <v>115636.69008074315</v>
      </c>
      <c r="O20" s="686">
        <f>transport!N14</f>
        <v>0</v>
      </c>
      <c r="P20" s="686">
        <f>transport!O14</f>
        <v>0</v>
      </c>
      <c r="Q20" s="687">
        <f>transport!P14</f>
        <v>0</v>
      </c>
      <c r="R20" s="689">
        <f>SUM(C20:Q20)</f>
        <v>2082407.4565222168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10119.920099695211</v>
      </c>
      <c r="D22" s="811">
        <f t="shared" ref="D22:R22" si="1">SUM(D18:D21)</f>
        <v>0</v>
      </c>
      <c r="E22" s="811">
        <f t="shared" si="1"/>
        <v>3298.9192568401763</v>
      </c>
      <c r="F22" s="811">
        <f t="shared" si="1"/>
        <v>3111.4787989421079</v>
      </c>
      <c r="G22" s="811">
        <f t="shared" si="1"/>
        <v>0</v>
      </c>
      <c r="H22" s="811">
        <f t="shared" si="1"/>
        <v>1680466.073247636</v>
      </c>
      <c r="I22" s="811">
        <f t="shared" si="1"/>
        <v>314008.82892106549</v>
      </c>
      <c r="J22" s="811">
        <f t="shared" si="1"/>
        <v>0</v>
      </c>
      <c r="K22" s="811">
        <f t="shared" si="1"/>
        <v>0</v>
      </c>
      <c r="L22" s="811">
        <f t="shared" si="1"/>
        <v>0</v>
      </c>
      <c r="M22" s="811">
        <f t="shared" si="1"/>
        <v>0</v>
      </c>
      <c r="N22" s="811">
        <f t="shared" si="1"/>
        <v>117583.08580859069</v>
      </c>
      <c r="O22" s="811">
        <f t="shared" si="1"/>
        <v>0</v>
      </c>
      <c r="P22" s="811">
        <f t="shared" si="1"/>
        <v>0</v>
      </c>
      <c r="Q22" s="811">
        <f t="shared" si="1"/>
        <v>0</v>
      </c>
      <c r="R22" s="811">
        <f t="shared" si="1"/>
        <v>2128588.3061327697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3187.3418360000001</v>
      </c>
      <c r="D24" s="686">
        <f>+landbouw!C8</f>
        <v>0</v>
      </c>
      <c r="E24" s="686">
        <f>+landbouw!D8</f>
        <v>5332.3719018239999</v>
      </c>
      <c r="F24" s="686">
        <f>+landbouw!E8</f>
        <v>99.475887645889003</v>
      </c>
      <c r="G24" s="686">
        <f>+landbouw!F8</f>
        <v>11264.419132627794</v>
      </c>
      <c r="H24" s="686">
        <f>+landbouw!G8</f>
        <v>0</v>
      </c>
      <c r="I24" s="686">
        <f>+landbouw!H8</f>
        <v>0</v>
      </c>
      <c r="J24" s="686">
        <f>+landbouw!I8</f>
        <v>0</v>
      </c>
      <c r="K24" s="686">
        <f>+landbouw!J8</f>
        <v>878.13477983991424</v>
      </c>
      <c r="L24" s="686">
        <f>+landbouw!K8</f>
        <v>0</v>
      </c>
      <c r="M24" s="686">
        <f>+landbouw!L8</f>
        <v>0</v>
      </c>
      <c r="N24" s="686">
        <f>+landbouw!M8</f>
        <v>0</v>
      </c>
      <c r="O24" s="686">
        <f>+landbouw!N8</f>
        <v>0</v>
      </c>
      <c r="P24" s="686">
        <f>+landbouw!O8</f>
        <v>0</v>
      </c>
      <c r="Q24" s="687">
        <f>+landbouw!P8</f>
        <v>0</v>
      </c>
      <c r="R24" s="689">
        <f>SUM(C24:Q24)</f>
        <v>20761.743537937597</v>
      </c>
      <c r="S24" s="67"/>
    </row>
    <row r="25" spans="1:19" s="448" customFormat="1" ht="15" thickBot="1">
      <c r="A25" s="830" t="s">
        <v>724</v>
      </c>
      <c r="B25" s="949"/>
      <c r="C25" s="950">
        <f>IF(Onbekend_ele_kWh="---",0,Onbekend_ele_kWh)/1000+IF(REST_rest_ele_kWh="---",0,REST_rest_ele_kWh)/1000</f>
        <v>23194.462359999998</v>
      </c>
      <c r="D25" s="950"/>
      <c r="E25" s="950">
        <f>IF(onbekend_gas_kWh="---",0,onbekend_gas_kWh)/1000+IF(REST_rest_gas_kWh="---",0,REST_rest_gas_kWh)/1000</f>
        <v>95128.243780000004</v>
      </c>
      <c r="F25" s="950"/>
      <c r="G25" s="950"/>
      <c r="H25" s="950"/>
      <c r="I25" s="950"/>
      <c r="J25" s="950"/>
      <c r="K25" s="950"/>
      <c r="L25" s="950"/>
      <c r="M25" s="950"/>
      <c r="N25" s="950"/>
      <c r="O25" s="950"/>
      <c r="P25" s="950"/>
      <c r="Q25" s="951"/>
      <c r="R25" s="689">
        <f>SUM(C25:Q25)</f>
        <v>118322.70613999999</v>
      </c>
      <c r="S25" s="67"/>
    </row>
    <row r="26" spans="1:19" s="448" customFormat="1" ht="15.75" thickBot="1">
      <c r="A26" s="694" t="s">
        <v>725</v>
      </c>
      <c r="B26" s="816"/>
      <c r="C26" s="811">
        <f>SUM(C24:C25)</f>
        <v>26381.804195999997</v>
      </c>
      <c r="D26" s="811">
        <f t="shared" ref="D26:R26" si="2">SUM(D24:D25)</f>
        <v>0</v>
      </c>
      <c r="E26" s="811">
        <f t="shared" si="2"/>
        <v>100460.615681824</v>
      </c>
      <c r="F26" s="811">
        <f t="shared" si="2"/>
        <v>99.475887645889003</v>
      </c>
      <c r="G26" s="811">
        <f t="shared" si="2"/>
        <v>11264.419132627794</v>
      </c>
      <c r="H26" s="811">
        <f t="shared" si="2"/>
        <v>0</v>
      </c>
      <c r="I26" s="811">
        <f t="shared" si="2"/>
        <v>0</v>
      </c>
      <c r="J26" s="811">
        <f t="shared" si="2"/>
        <v>0</v>
      </c>
      <c r="K26" s="811">
        <f t="shared" si="2"/>
        <v>878.13477983991424</v>
      </c>
      <c r="L26" s="811">
        <f t="shared" si="2"/>
        <v>0</v>
      </c>
      <c r="M26" s="811">
        <f t="shared" si="2"/>
        <v>0</v>
      </c>
      <c r="N26" s="811">
        <f t="shared" si="2"/>
        <v>0</v>
      </c>
      <c r="O26" s="811">
        <f t="shared" si="2"/>
        <v>0</v>
      </c>
      <c r="P26" s="811">
        <f t="shared" si="2"/>
        <v>0</v>
      </c>
      <c r="Q26" s="811">
        <f t="shared" si="2"/>
        <v>0</v>
      </c>
      <c r="R26" s="811">
        <f t="shared" si="2"/>
        <v>139084.44967793761</v>
      </c>
      <c r="S26" s="67"/>
    </row>
    <row r="27" spans="1:19" s="448" customFormat="1" ht="17.25" thickTop="1" thickBot="1">
      <c r="A27" s="695" t="s">
        <v>115</v>
      </c>
      <c r="B27" s="803"/>
      <c r="C27" s="696">
        <f ca="1">C22+C16+C26</f>
        <v>1486973.1139689889</v>
      </c>
      <c r="D27" s="696">
        <f t="shared" ref="D27:R27" ca="1" si="3">D22+D16+D26</f>
        <v>10697.705357142859</v>
      </c>
      <c r="E27" s="696">
        <f t="shared" ca="1" si="3"/>
        <v>2256127.6751031084</v>
      </c>
      <c r="F27" s="696">
        <f t="shared" si="3"/>
        <v>92223.314637829579</v>
      </c>
      <c r="G27" s="696">
        <f t="shared" ca="1" si="3"/>
        <v>161687.56389818003</v>
      </c>
      <c r="H27" s="696">
        <f t="shared" si="3"/>
        <v>1680466.073247636</v>
      </c>
      <c r="I27" s="696">
        <f t="shared" si="3"/>
        <v>314008.82892106549</v>
      </c>
      <c r="J27" s="696">
        <f t="shared" si="3"/>
        <v>0</v>
      </c>
      <c r="K27" s="696">
        <f t="shared" si="3"/>
        <v>3660.3935207523696</v>
      </c>
      <c r="L27" s="696">
        <f t="shared" si="3"/>
        <v>0</v>
      </c>
      <c r="M27" s="696">
        <f t="shared" ca="1" si="3"/>
        <v>0</v>
      </c>
      <c r="N27" s="696">
        <f t="shared" si="3"/>
        <v>117583.08580859069</v>
      </c>
      <c r="O27" s="696">
        <f t="shared" ca="1" si="3"/>
        <v>133352.39214079647</v>
      </c>
      <c r="P27" s="696">
        <f t="shared" si="3"/>
        <v>3474.9451012143541</v>
      </c>
      <c r="Q27" s="696">
        <f t="shared" si="3"/>
        <v>6179.6450248851361</v>
      </c>
      <c r="R27" s="696">
        <f t="shared" ca="1" si="3"/>
        <v>6266434.73673019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141127.03743428303</v>
      </c>
      <c r="D40" s="686">
        <f ca="1">tertiair!C20</f>
        <v>1769.8487149467078</v>
      </c>
      <c r="E40" s="686">
        <f ca="1">tertiair!D20</f>
        <v>164769.02347767714</v>
      </c>
      <c r="F40" s="686">
        <f>tertiair!E20</f>
        <v>2187.8621214606624</v>
      </c>
      <c r="G40" s="686">
        <f ca="1">tertiair!F20</f>
        <v>21229.793879489713</v>
      </c>
      <c r="H40" s="686">
        <f>tertiair!G20</f>
        <v>0</v>
      </c>
      <c r="I40" s="686">
        <f>tertiair!H20</f>
        <v>0</v>
      </c>
      <c r="J40" s="686">
        <f>tertiair!I20</f>
        <v>0</v>
      </c>
      <c r="K40" s="686">
        <f>tertiair!J20</f>
        <v>0.29672956899975023</v>
      </c>
      <c r="L40" s="686">
        <f>tertiair!K20</f>
        <v>0</v>
      </c>
      <c r="M40" s="686">
        <f ca="1">tertiair!L20</f>
        <v>0</v>
      </c>
      <c r="N40" s="686">
        <f>tertiair!M20</f>
        <v>0</v>
      </c>
      <c r="O40" s="686">
        <f ca="1">tertiair!N20</f>
        <v>0</v>
      </c>
      <c r="P40" s="686">
        <f>tertiair!O20</f>
        <v>0</v>
      </c>
      <c r="Q40" s="769">
        <f>tertiair!P20</f>
        <v>0</v>
      </c>
      <c r="R40" s="849">
        <f t="shared" ca="1" si="4"/>
        <v>331083.8623574262</v>
      </c>
    </row>
    <row r="41" spans="1:18">
      <c r="A41" s="821" t="s">
        <v>224</v>
      </c>
      <c r="B41" s="828"/>
      <c r="C41" s="686">
        <f ca="1">huishoudens!B12</f>
        <v>69888.800787620508</v>
      </c>
      <c r="D41" s="686">
        <f ca="1">huishoudens!C12</f>
        <v>0</v>
      </c>
      <c r="E41" s="686">
        <f>huishoudens!D12</f>
        <v>216625.33212315768</v>
      </c>
      <c r="F41" s="686">
        <f>huishoudens!E12</f>
        <v>14397.431249149189</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300911.56415992737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67802.011319706144</v>
      </c>
      <c r="D43" s="686">
        <f ca="1">industrie!C22</f>
        <v>760.18714870948588</v>
      </c>
      <c r="E43" s="686">
        <f>industrie!D22</f>
        <v>53384.008712382878</v>
      </c>
      <c r="F43" s="686">
        <f>industrie!E22</f>
        <v>3620.512338321988</v>
      </c>
      <c r="G43" s="686">
        <f>industrie!F22</f>
        <v>18933.185772912737</v>
      </c>
      <c r="H43" s="686">
        <f>industrie!G22</f>
        <v>0</v>
      </c>
      <c r="I43" s="686">
        <f>industrie!H22</f>
        <v>0</v>
      </c>
      <c r="J43" s="686">
        <f>industrie!I22</f>
        <v>0</v>
      </c>
      <c r="K43" s="686">
        <f>industrie!J22</f>
        <v>984.62286471400932</v>
      </c>
      <c r="L43" s="686">
        <f>industrie!K22</f>
        <v>0</v>
      </c>
      <c r="M43" s="686">
        <f>industrie!L22</f>
        <v>0</v>
      </c>
      <c r="N43" s="686">
        <f>industrie!M22</f>
        <v>0</v>
      </c>
      <c r="O43" s="686">
        <f>industrie!N22</f>
        <v>0</v>
      </c>
      <c r="P43" s="686">
        <f>industrie!O22</f>
        <v>0</v>
      </c>
      <c r="Q43" s="769">
        <f>industrie!P22</f>
        <v>0</v>
      </c>
      <c r="R43" s="848">
        <f t="shared" ca="1" si="4"/>
        <v>145484.52815674726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278817.8495416097</v>
      </c>
      <c r="D46" s="722">
        <f t="shared" ref="D46:Q46" ca="1" si="5">SUM(D39:D45)</f>
        <v>2530.0358636561937</v>
      </c>
      <c r="E46" s="722">
        <f t="shared" ca="1" si="5"/>
        <v>434778.36431321769</v>
      </c>
      <c r="F46" s="722">
        <f t="shared" si="5"/>
        <v>20205.805708931839</v>
      </c>
      <c r="G46" s="722">
        <f t="shared" ca="1" si="5"/>
        <v>40162.97965240245</v>
      </c>
      <c r="H46" s="722">
        <f t="shared" si="5"/>
        <v>0</v>
      </c>
      <c r="I46" s="722">
        <f t="shared" si="5"/>
        <v>0</v>
      </c>
      <c r="J46" s="722">
        <f t="shared" si="5"/>
        <v>0</v>
      </c>
      <c r="K46" s="722">
        <f t="shared" si="5"/>
        <v>984.91959428300902</v>
      </c>
      <c r="L46" s="722">
        <f t="shared" si="5"/>
        <v>0</v>
      </c>
      <c r="M46" s="722">
        <f t="shared" ca="1" si="5"/>
        <v>0</v>
      </c>
      <c r="N46" s="722">
        <f t="shared" si="5"/>
        <v>0</v>
      </c>
      <c r="O46" s="722">
        <f t="shared" ca="1" si="5"/>
        <v>0</v>
      </c>
      <c r="P46" s="722">
        <f t="shared" si="5"/>
        <v>0</v>
      </c>
      <c r="Q46" s="722">
        <f t="shared" si="5"/>
        <v>0</v>
      </c>
      <c r="R46" s="722">
        <f ca="1">SUM(R39:R45)</f>
        <v>777479.95467410085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1770.2637022907782</v>
      </c>
      <c r="D49" s="686">
        <f ca="1">transport!C58</f>
        <v>0</v>
      </c>
      <c r="E49" s="686">
        <f>transport!D58</f>
        <v>0</v>
      </c>
      <c r="F49" s="686">
        <f>transport!E58</f>
        <v>0</v>
      </c>
      <c r="G49" s="686">
        <f>transport!F58</f>
        <v>0</v>
      </c>
      <c r="H49" s="686">
        <f>transport!G58</f>
        <v>9351.7164404572941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11121.980142748072</v>
      </c>
    </row>
    <row r="50" spans="1:18">
      <c r="A50" s="824" t="s">
        <v>306</v>
      </c>
      <c r="B50" s="834"/>
      <c r="C50" s="692">
        <f ca="1">transport!B18</f>
        <v>175.04482279876188</v>
      </c>
      <c r="D50" s="692">
        <f>transport!C18</f>
        <v>0</v>
      </c>
      <c r="E50" s="692">
        <f>transport!D18</f>
        <v>666.38168988171572</v>
      </c>
      <c r="F50" s="692">
        <f>transport!E18</f>
        <v>706.30568735985855</v>
      </c>
      <c r="G50" s="692">
        <f>transport!F18</f>
        <v>0</v>
      </c>
      <c r="H50" s="692">
        <f>transport!G18</f>
        <v>439332.72511666152</v>
      </c>
      <c r="I50" s="692">
        <f>transport!H18</f>
        <v>78188.198401345304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519068.65571804711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1945.3085250895401</v>
      </c>
      <c r="D52" s="722">
        <f t="shared" ref="D52:Q52" ca="1" si="6">SUM(D48:D51)</f>
        <v>0</v>
      </c>
      <c r="E52" s="722">
        <f t="shared" si="6"/>
        <v>666.38168988171572</v>
      </c>
      <c r="F52" s="722">
        <f t="shared" si="6"/>
        <v>706.30568735985855</v>
      </c>
      <c r="G52" s="722">
        <f t="shared" si="6"/>
        <v>0</v>
      </c>
      <c r="H52" s="722">
        <f t="shared" si="6"/>
        <v>448684.44155711879</v>
      </c>
      <c r="I52" s="722">
        <f t="shared" si="6"/>
        <v>78188.198401345304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530190.63586079516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612.68895256713415</v>
      </c>
      <c r="D54" s="692">
        <f ca="1">+landbouw!C12</f>
        <v>0</v>
      </c>
      <c r="E54" s="692">
        <f>+landbouw!D12</f>
        <v>1077.139124168448</v>
      </c>
      <c r="F54" s="692">
        <f>+landbouw!E12</f>
        <v>22.581026495616804</v>
      </c>
      <c r="G54" s="692">
        <f>+landbouw!F12</f>
        <v>3007.5999084116211</v>
      </c>
      <c r="H54" s="692">
        <f>+landbouw!G12</f>
        <v>0</v>
      </c>
      <c r="I54" s="692">
        <f>+landbouw!H12</f>
        <v>0</v>
      </c>
      <c r="J54" s="692">
        <f>+landbouw!I12</f>
        <v>0</v>
      </c>
      <c r="K54" s="692">
        <f>+landbouw!J12</f>
        <v>310.85971206332965</v>
      </c>
      <c r="L54" s="692">
        <f>+landbouw!K12</f>
        <v>0</v>
      </c>
      <c r="M54" s="692">
        <f>+landbouw!L12</f>
        <v>0</v>
      </c>
      <c r="N54" s="692">
        <f>+landbouw!M12</f>
        <v>0</v>
      </c>
      <c r="O54" s="692">
        <f>+landbouw!N12</f>
        <v>0</v>
      </c>
      <c r="P54" s="692">
        <f>+landbouw!O12</f>
        <v>0</v>
      </c>
      <c r="Q54" s="693">
        <f>+landbouw!P12</f>
        <v>0</v>
      </c>
      <c r="R54" s="721">
        <f ca="1">SUM(C54:Q54)</f>
        <v>5030.8687237061495</v>
      </c>
    </row>
    <row r="55" spans="1:18" ht="15" thickBot="1">
      <c r="A55" s="824" t="s">
        <v>724</v>
      </c>
      <c r="B55" s="834"/>
      <c r="C55" s="692">
        <f ca="1">C25*'EF ele_warmte'!B12</f>
        <v>4458.5713048401803</v>
      </c>
      <c r="D55" s="692"/>
      <c r="E55" s="692">
        <f>E25*EF_CO2_aardgas</f>
        <v>19215.905243560002</v>
      </c>
      <c r="F55" s="692"/>
      <c r="G55" s="692"/>
      <c r="H55" s="692"/>
      <c r="I55" s="692"/>
      <c r="J55" s="692"/>
      <c r="K55" s="692"/>
      <c r="L55" s="692"/>
      <c r="M55" s="692"/>
      <c r="N55" s="692"/>
      <c r="O55" s="692"/>
      <c r="P55" s="692"/>
      <c r="Q55" s="693"/>
      <c r="R55" s="721">
        <f ca="1">SUM(C55:Q55)</f>
        <v>23674.476548400184</v>
      </c>
    </row>
    <row r="56" spans="1:18" ht="15.75" thickBot="1">
      <c r="A56" s="822" t="s">
        <v>725</v>
      </c>
      <c r="B56" s="835"/>
      <c r="C56" s="722">
        <f ca="1">SUM(C54:C55)</f>
        <v>5071.2602574073144</v>
      </c>
      <c r="D56" s="722">
        <f t="shared" ref="D56:Q56" ca="1" si="7">SUM(D54:D55)</f>
        <v>0</v>
      </c>
      <c r="E56" s="722">
        <f t="shared" si="7"/>
        <v>20293.044367728449</v>
      </c>
      <c r="F56" s="722">
        <f t="shared" si="7"/>
        <v>22.581026495616804</v>
      </c>
      <c r="G56" s="722">
        <f t="shared" si="7"/>
        <v>3007.5999084116211</v>
      </c>
      <c r="H56" s="722">
        <f t="shared" si="7"/>
        <v>0</v>
      </c>
      <c r="I56" s="722">
        <f t="shared" si="7"/>
        <v>0</v>
      </c>
      <c r="J56" s="722">
        <f t="shared" si="7"/>
        <v>0</v>
      </c>
      <c r="K56" s="722">
        <f t="shared" si="7"/>
        <v>310.85971206332965</v>
      </c>
      <c r="L56" s="722">
        <f t="shared" si="7"/>
        <v>0</v>
      </c>
      <c r="M56" s="722">
        <f t="shared" si="7"/>
        <v>0</v>
      </c>
      <c r="N56" s="722">
        <f t="shared" si="7"/>
        <v>0</v>
      </c>
      <c r="O56" s="722">
        <f t="shared" si="7"/>
        <v>0</v>
      </c>
      <c r="P56" s="722">
        <f t="shared" si="7"/>
        <v>0</v>
      </c>
      <c r="Q56" s="723">
        <f t="shared" si="7"/>
        <v>0</v>
      </c>
      <c r="R56" s="724">
        <f ca="1">SUM(R54:R55)</f>
        <v>28705.345272106333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285834.41832410655</v>
      </c>
      <c r="D61" s="730">
        <f t="shared" ref="D61:Q61" ca="1" si="8">D46+D52+D56</f>
        <v>2530.0358636561937</v>
      </c>
      <c r="E61" s="730">
        <f t="shared" ca="1" si="8"/>
        <v>455737.79037082789</v>
      </c>
      <c r="F61" s="730">
        <f t="shared" si="8"/>
        <v>20934.692422787313</v>
      </c>
      <c r="G61" s="730">
        <f t="shared" ca="1" si="8"/>
        <v>43170.579560814069</v>
      </c>
      <c r="H61" s="730">
        <f t="shared" si="8"/>
        <v>448684.44155711879</v>
      </c>
      <c r="I61" s="730">
        <f t="shared" si="8"/>
        <v>78188.198401345304</v>
      </c>
      <c r="J61" s="730">
        <f t="shared" si="8"/>
        <v>0</v>
      </c>
      <c r="K61" s="730">
        <f t="shared" si="8"/>
        <v>1295.7793063463387</v>
      </c>
      <c r="L61" s="730">
        <f t="shared" si="8"/>
        <v>0</v>
      </c>
      <c r="M61" s="730">
        <f t="shared" ca="1" si="8"/>
        <v>0</v>
      </c>
      <c r="N61" s="730">
        <f t="shared" si="8"/>
        <v>0</v>
      </c>
      <c r="O61" s="730">
        <f t="shared" ca="1" si="8"/>
        <v>0</v>
      </c>
      <c r="P61" s="730">
        <f t="shared" si="8"/>
        <v>0</v>
      </c>
      <c r="Q61" s="730">
        <f t="shared" si="8"/>
        <v>0</v>
      </c>
      <c r="R61" s="730">
        <f ca="1">R46+R52+R56</f>
        <v>1336375.9358070025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0.19222568023517583</v>
      </c>
      <c r="D63" s="776">
        <f t="shared" ca="1" si="9"/>
        <v>0.23650266848739562</v>
      </c>
      <c r="E63" s="975">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133638.9837798173</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58632.33053542953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35.43306243582358</v>
      </c>
      <c r="C76" s="743">
        <f>'lokale energieproductie'!B8*IFERROR(SUM(D76:H76)/SUM(D76:O76),0)</f>
        <v>7450.3169375641764</v>
      </c>
      <c r="D76" s="958">
        <f>'lokale energieproductie'!C8</f>
        <v>8764.3556961857503</v>
      </c>
      <c r="E76" s="959">
        <f>'lokale energieproductie'!D8</f>
        <v>0</v>
      </c>
      <c r="F76" s="959">
        <f>'lokale energieproductie'!E8</f>
        <v>0</v>
      </c>
      <c r="G76" s="959">
        <f>'lokale energieproductie'!F8</f>
        <v>0</v>
      </c>
      <c r="H76" s="959">
        <f>'lokale energieproductie'!G8</f>
        <v>0</v>
      </c>
      <c r="I76" s="959">
        <f>'lokale energieproductie'!I8</f>
        <v>41.682517025141081</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1770.3998506295218</v>
      </c>
      <c r="R76" s="851">
        <v>0</v>
      </c>
    </row>
    <row r="77" spans="1:18" ht="15.75" thickBot="1">
      <c r="A77" s="746" t="s">
        <v>784</v>
      </c>
      <c r="B77" s="743">
        <f>'lokale energieproductie'!B9*IFERROR(SUM(I77:O77)/SUM(D77:O77),0)</f>
        <v>1858.5</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5310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194165.24737768265</v>
      </c>
      <c r="C78" s="748">
        <f>SUM(C72:C77)</f>
        <v>7450.3169375641764</v>
      </c>
      <c r="D78" s="749">
        <f t="shared" ref="D78:H78" si="10">SUM(D76:D77)</f>
        <v>8764.3556961857503</v>
      </c>
      <c r="E78" s="749">
        <f t="shared" si="10"/>
        <v>0</v>
      </c>
      <c r="F78" s="749">
        <f t="shared" si="10"/>
        <v>0</v>
      </c>
      <c r="G78" s="749">
        <f t="shared" si="10"/>
        <v>0</v>
      </c>
      <c r="H78" s="749">
        <f t="shared" si="10"/>
        <v>0</v>
      </c>
      <c r="I78" s="749">
        <f>SUM(I76:I77)</f>
        <v>41.682517025141081</v>
      </c>
      <c r="J78" s="749">
        <f>SUM(J76:J77)</f>
        <v>5310</v>
      </c>
      <c r="K78" s="749">
        <f t="shared" ref="K78:L78" si="11">SUM(K76:K77)</f>
        <v>0</v>
      </c>
      <c r="L78" s="749">
        <f t="shared" si="11"/>
        <v>0</v>
      </c>
      <c r="M78" s="749">
        <f>SUM(M76:M77)</f>
        <v>0</v>
      </c>
      <c r="N78" s="749">
        <f>SUM(N76:N77)</f>
        <v>0</v>
      </c>
      <c r="O78" s="859">
        <f>SUM(O76:O77)</f>
        <v>0</v>
      </c>
      <c r="P78" s="750">
        <v>0</v>
      </c>
      <c r="Q78" s="750">
        <f>SUM(Q76:Q77)</f>
        <v>1770.3998506295218</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50.636537666858679</v>
      </c>
      <c r="C87" s="761">
        <f>'lokale energieproductie'!B17*IFERROR(SUM(D87:H87)/SUM(D87:O87),0)</f>
        <v>10647.068819476</v>
      </c>
      <c r="D87" s="772">
        <f>'lokale energieproductie'!C17</f>
        <v>12524.930018099967</v>
      </c>
      <c r="E87" s="772">
        <f>'lokale energieproductie'!D17</f>
        <v>0</v>
      </c>
      <c r="F87" s="772">
        <f>'lokale energieproductie'!E17</f>
        <v>0</v>
      </c>
      <c r="G87" s="772">
        <f>'lokale energieproductie'!F17</f>
        <v>0</v>
      </c>
      <c r="H87" s="772">
        <f>'lokale energieproductie'!G17</f>
        <v>0</v>
      </c>
      <c r="I87" s="772">
        <f>'lokale energieproductie'!I17</f>
        <v>59.567482974858919</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2530.0358636561937</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50.636537666858679</v>
      </c>
      <c r="C90" s="748">
        <f>SUM(C87:C89)</f>
        <v>10647.068819476</v>
      </c>
      <c r="D90" s="748">
        <f t="shared" ref="D90:H90" si="12">SUM(D87:D89)</f>
        <v>12524.930018099967</v>
      </c>
      <c r="E90" s="748">
        <f t="shared" si="12"/>
        <v>0</v>
      </c>
      <c r="F90" s="748">
        <f t="shared" si="12"/>
        <v>0</v>
      </c>
      <c r="G90" s="748">
        <f t="shared" si="12"/>
        <v>0</v>
      </c>
      <c r="H90" s="748">
        <f t="shared" si="12"/>
        <v>0</v>
      </c>
      <c r="I90" s="748">
        <f>SUM(I87:I89)</f>
        <v>59.567482974858919</v>
      </c>
      <c r="J90" s="748">
        <f>SUM(J87:J89)</f>
        <v>0</v>
      </c>
      <c r="K90" s="748">
        <f t="shared" ref="K90:L90" si="13">SUM(K87:K89)</f>
        <v>0</v>
      </c>
      <c r="L90" s="748">
        <f t="shared" si="13"/>
        <v>0</v>
      </c>
      <c r="M90" s="748">
        <f>SUM(M87:M89)</f>
        <v>0</v>
      </c>
      <c r="N90" s="748">
        <f>SUM(N87:N89)</f>
        <v>0</v>
      </c>
      <c r="O90" s="748">
        <f>SUM(O87:O89)</f>
        <v>0</v>
      </c>
      <c r="P90" s="748">
        <v>0</v>
      </c>
      <c r="Q90" s="748">
        <f>SUM(Q87:Q89)</f>
        <v>2530.0358636561937</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3"/>
  <sheetViews>
    <sheetView showGridLines="0" topLeftCell="A299" zoomScale="65" zoomScaleNormal="65" workbookViewId="0">
      <selection activeCell="M40" sqref="M4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133638.9837798173</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58632.33053542953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N41</f>
        <v>7485.75</v>
      </c>
      <c r="C8" s="548">
        <f>B60</f>
        <v>8764.3556961857503</v>
      </c>
      <c r="D8" s="549"/>
      <c r="E8" s="549">
        <f>E60</f>
        <v>0</v>
      </c>
      <c r="F8" s="550"/>
      <c r="G8" s="551"/>
      <c r="H8" s="549">
        <f>I60</f>
        <v>0</v>
      </c>
      <c r="I8" s="549">
        <f>G60+F60</f>
        <v>41.682517025141081</v>
      </c>
      <c r="J8" s="549">
        <f>H60+D60+C60</f>
        <v>0</v>
      </c>
      <c r="K8" s="549"/>
      <c r="L8" s="549"/>
      <c r="M8" s="549"/>
      <c r="N8" s="552"/>
      <c r="O8" s="553">
        <f>C8*$C$12+D8*$D$12+E8*$E$12+F8*$F$12+G8*$G$12+H8*$H$12+I8*$I$12+J8*$J$12</f>
        <v>1770.3998506295218</v>
      </c>
      <c r="P8" s="1244"/>
      <c r="Q8" s="1245"/>
      <c r="S8" s="543"/>
      <c r="T8" s="1232"/>
      <c r="U8" s="1232"/>
    </row>
    <row r="9" spans="1:21" s="534" customFormat="1" ht="17.45" customHeight="1" thickBot="1">
      <c r="A9" s="554" t="s">
        <v>247</v>
      </c>
      <c r="B9" s="555">
        <f>N48+'Eigen informatie GS &amp; warmtenet'!B12</f>
        <v>1858.5</v>
      </c>
      <c r="C9" s="556">
        <f>P48+IF(ISERROR(('Eigen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(T48+U48)+IF(ISERROR('Eigen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V48+Q48+R48+IF(ISERROR('Eigen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201615.56431524683</v>
      </c>
      <c r="C10" s="563">
        <f t="shared" ref="C10:L10" si="0">SUM(C8:C9)</f>
        <v>8764.3556961857503</v>
      </c>
      <c r="D10" s="563">
        <f t="shared" si="0"/>
        <v>0</v>
      </c>
      <c r="E10" s="563">
        <f t="shared" si="0"/>
        <v>0</v>
      </c>
      <c r="F10" s="563">
        <f t="shared" si="0"/>
        <v>0</v>
      </c>
      <c r="G10" s="563">
        <f t="shared" si="0"/>
        <v>0</v>
      </c>
      <c r="H10" s="563">
        <f t="shared" si="0"/>
        <v>0</v>
      </c>
      <c r="I10" s="563">
        <f t="shared" si="0"/>
        <v>41.682517025141081</v>
      </c>
      <c r="J10" s="563">
        <f t="shared" si="0"/>
        <v>5310</v>
      </c>
      <c r="K10" s="563">
        <f t="shared" si="0"/>
        <v>0</v>
      </c>
      <c r="L10" s="563">
        <f t="shared" si="0"/>
        <v>0</v>
      </c>
      <c r="M10" s="971"/>
      <c r="N10" s="971"/>
      <c r="O10" s="564">
        <f>SUM(O4:O9)</f>
        <v>1770.3998506295218</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O41</f>
        <v>10697.705357142859</v>
      </c>
      <c r="C17" s="579">
        <f>B61</f>
        <v>12524.930018099967</v>
      </c>
      <c r="D17" s="580"/>
      <c r="E17" s="580">
        <f>E61</f>
        <v>0</v>
      </c>
      <c r="F17" s="581"/>
      <c r="G17" s="582"/>
      <c r="H17" s="579">
        <f>I61</f>
        <v>0</v>
      </c>
      <c r="I17" s="580">
        <f>G61+F61</f>
        <v>59.567482974858919</v>
      </c>
      <c r="J17" s="580">
        <f>H61+D61+C61</f>
        <v>0</v>
      </c>
      <c r="K17" s="580"/>
      <c r="L17" s="580"/>
      <c r="M17" s="580"/>
      <c r="N17" s="972"/>
      <c r="O17" s="583">
        <f>C17*$C$22+E17*$E$22+H17*$H$22+I17*$I$22+J17*$J$22+D17*$D$22+F17*$F$22+G17*$G$22+K17*$K$22+L17*$L$22</f>
        <v>2530.0358636561937</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10697.705357142859</v>
      </c>
      <c r="C20" s="562">
        <f>SUM(C17:C19)</f>
        <v>12524.930018099967</v>
      </c>
      <c r="D20" s="562">
        <f t="shared" ref="D20:L20" si="1">SUM(D17:D19)</f>
        <v>0</v>
      </c>
      <c r="E20" s="562">
        <f t="shared" si="1"/>
        <v>0</v>
      </c>
      <c r="F20" s="562">
        <f t="shared" si="1"/>
        <v>0</v>
      </c>
      <c r="G20" s="562">
        <f t="shared" si="1"/>
        <v>0</v>
      </c>
      <c r="H20" s="562">
        <f t="shared" si="1"/>
        <v>0</v>
      </c>
      <c r="I20" s="562">
        <f t="shared" si="1"/>
        <v>59.567482974858919</v>
      </c>
      <c r="J20" s="562">
        <f t="shared" si="1"/>
        <v>0</v>
      </c>
      <c r="K20" s="562">
        <f t="shared" si="1"/>
        <v>0</v>
      </c>
      <c r="L20" s="562">
        <f t="shared" si="1"/>
        <v>0</v>
      </c>
      <c r="M20" s="562"/>
      <c r="N20" s="562"/>
      <c r="O20" s="588">
        <f>SUM(O17:O19)</f>
        <v>2530.0358636561937</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44021</v>
      </c>
      <c r="C28" s="791">
        <v>9042</v>
      </c>
      <c r="D28" s="640" t="s">
        <v>888</v>
      </c>
      <c r="E28" s="639" t="s">
        <v>889</v>
      </c>
      <c r="F28" s="639" t="s">
        <v>890</v>
      </c>
      <c r="G28" s="639" t="s">
        <v>891</v>
      </c>
      <c r="H28" s="639" t="s">
        <v>892</v>
      </c>
      <c r="I28" s="639" t="s">
        <v>893</v>
      </c>
      <c r="J28" s="790">
        <v>39812</v>
      </c>
      <c r="K28" s="790">
        <v>39812</v>
      </c>
      <c r="L28" s="639" t="s">
        <v>894</v>
      </c>
      <c r="M28" s="639">
        <v>2200</v>
      </c>
      <c r="N28" s="639">
        <v>0</v>
      </c>
      <c r="O28" s="639">
        <v>0</v>
      </c>
      <c r="P28" s="639">
        <v>0</v>
      </c>
      <c r="Q28" s="639">
        <v>0</v>
      </c>
      <c r="R28" s="639">
        <v>0</v>
      </c>
      <c r="S28" s="639">
        <v>0</v>
      </c>
      <c r="T28" s="639">
        <v>0</v>
      </c>
      <c r="U28" s="639">
        <v>0</v>
      </c>
      <c r="V28" s="639">
        <v>0</v>
      </c>
      <c r="W28" s="639">
        <v>0</v>
      </c>
      <c r="X28" s="639">
        <v>300</v>
      </c>
      <c r="Y28" s="639" t="s">
        <v>33</v>
      </c>
      <c r="Z28" s="641" t="s">
        <v>384</v>
      </c>
    </row>
    <row r="29" spans="1:26" s="593" customFormat="1" ht="63.75">
      <c r="A29" s="592"/>
      <c r="B29" s="791">
        <v>44021</v>
      </c>
      <c r="C29" s="791">
        <v>9031</v>
      </c>
      <c r="D29" s="640" t="s">
        <v>895</v>
      </c>
      <c r="E29" s="639" t="s">
        <v>896</v>
      </c>
      <c r="F29" s="639" t="s">
        <v>897</v>
      </c>
      <c r="G29" s="639" t="s">
        <v>891</v>
      </c>
      <c r="H29" s="639" t="s">
        <v>892</v>
      </c>
      <c r="I29" s="639" t="s">
        <v>896</v>
      </c>
      <c r="J29" s="790">
        <v>40096</v>
      </c>
      <c r="K29" s="790">
        <v>40179</v>
      </c>
      <c r="L29" s="639" t="s">
        <v>894</v>
      </c>
      <c r="M29" s="639">
        <v>9</v>
      </c>
      <c r="N29" s="639">
        <v>40.5</v>
      </c>
      <c r="O29" s="639">
        <v>45.5625</v>
      </c>
      <c r="P29" s="639">
        <v>0</v>
      </c>
      <c r="Q29" s="639">
        <v>0</v>
      </c>
      <c r="R29" s="639">
        <v>0</v>
      </c>
      <c r="S29" s="639">
        <v>0</v>
      </c>
      <c r="T29" s="639">
        <v>0</v>
      </c>
      <c r="U29" s="639">
        <v>101.25</v>
      </c>
      <c r="V29" s="639">
        <v>0</v>
      </c>
      <c r="W29" s="639">
        <v>0</v>
      </c>
      <c r="X29" s="639">
        <v>1600</v>
      </c>
      <c r="Y29" s="639" t="s">
        <v>49</v>
      </c>
      <c r="Z29" s="641" t="s">
        <v>155</v>
      </c>
    </row>
    <row r="30" spans="1:26" s="593" customFormat="1" ht="25.5">
      <c r="A30" s="592"/>
      <c r="B30" s="791">
        <v>44021</v>
      </c>
      <c r="C30" s="791">
        <v>9040</v>
      </c>
      <c r="D30" s="640" t="s">
        <v>898</v>
      </c>
      <c r="E30" s="639" t="s">
        <v>899</v>
      </c>
      <c r="F30" s="639" t="s">
        <v>900</v>
      </c>
      <c r="G30" s="639" t="s">
        <v>891</v>
      </c>
      <c r="H30" s="639" t="s">
        <v>901</v>
      </c>
      <c r="I30" s="639" t="s">
        <v>899</v>
      </c>
      <c r="J30" s="790">
        <v>41003</v>
      </c>
      <c r="K30" s="790">
        <v>41003</v>
      </c>
      <c r="L30" s="639" t="s">
        <v>894</v>
      </c>
      <c r="M30" s="639">
        <v>70</v>
      </c>
      <c r="N30" s="639">
        <v>315.00000000000006</v>
      </c>
      <c r="O30" s="639">
        <v>450.00000000000011</v>
      </c>
      <c r="P30" s="639">
        <v>900.00000000000023</v>
      </c>
      <c r="Q30" s="639">
        <v>0</v>
      </c>
      <c r="R30" s="639">
        <v>0</v>
      </c>
      <c r="S30" s="639">
        <v>0</v>
      </c>
      <c r="T30" s="639">
        <v>0</v>
      </c>
      <c r="U30" s="639">
        <v>0</v>
      </c>
      <c r="V30" s="639">
        <v>0</v>
      </c>
      <c r="W30" s="639">
        <v>0</v>
      </c>
      <c r="X30" s="639">
        <v>1300</v>
      </c>
      <c r="Y30" s="639" t="s">
        <v>53</v>
      </c>
      <c r="Z30" s="641" t="s">
        <v>155</v>
      </c>
    </row>
    <row r="31" spans="1:26" s="593" customFormat="1" ht="25.5">
      <c r="A31" s="592"/>
      <c r="B31" s="791">
        <v>44021</v>
      </c>
      <c r="C31" s="791">
        <v>9000</v>
      </c>
      <c r="D31" s="640" t="s">
        <v>902</v>
      </c>
      <c r="E31" s="639" t="s">
        <v>903</v>
      </c>
      <c r="F31" s="639" t="s">
        <v>904</v>
      </c>
      <c r="G31" s="639" t="s">
        <v>891</v>
      </c>
      <c r="H31" s="639" t="s">
        <v>901</v>
      </c>
      <c r="I31" s="639" t="s">
        <v>903</v>
      </c>
      <c r="J31" s="790">
        <v>40928</v>
      </c>
      <c r="K31" s="790">
        <v>41030</v>
      </c>
      <c r="L31" s="639" t="s">
        <v>894</v>
      </c>
      <c r="M31" s="639">
        <v>5</v>
      </c>
      <c r="N31" s="639">
        <v>22.5</v>
      </c>
      <c r="O31" s="639">
        <v>32.142857142857146</v>
      </c>
      <c r="P31" s="639">
        <v>64.285714285714292</v>
      </c>
      <c r="Q31" s="639">
        <v>0</v>
      </c>
      <c r="R31" s="639">
        <v>0</v>
      </c>
      <c r="S31" s="639">
        <v>0</v>
      </c>
      <c r="T31" s="639">
        <v>0</v>
      </c>
      <c r="U31" s="639">
        <v>0</v>
      </c>
      <c r="V31" s="639">
        <v>0</v>
      </c>
      <c r="W31" s="639">
        <v>0</v>
      </c>
      <c r="X31" s="639">
        <v>1300</v>
      </c>
      <c r="Y31" s="639" t="s">
        <v>53</v>
      </c>
      <c r="Z31" s="641" t="s">
        <v>155</v>
      </c>
    </row>
    <row r="32" spans="1:26" s="593" customFormat="1" ht="51">
      <c r="A32" s="592"/>
      <c r="B32" s="791">
        <v>44021</v>
      </c>
      <c r="C32" s="791">
        <v>9000</v>
      </c>
      <c r="D32" s="640" t="s">
        <v>905</v>
      </c>
      <c r="E32" s="639" t="s">
        <v>906</v>
      </c>
      <c r="F32" s="639" t="s">
        <v>907</v>
      </c>
      <c r="G32" s="639" t="s">
        <v>891</v>
      </c>
      <c r="H32" s="639" t="s">
        <v>901</v>
      </c>
      <c r="I32" s="639" t="s">
        <v>906</v>
      </c>
      <c r="J32" s="790">
        <v>41618</v>
      </c>
      <c r="K32" s="790">
        <v>41660</v>
      </c>
      <c r="L32" s="639" t="s">
        <v>894</v>
      </c>
      <c r="M32" s="639">
        <v>509</v>
      </c>
      <c r="N32" s="639">
        <v>2290.5</v>
      </c>
      <c r="O32" s="639">
        <v>3272.1428571428573</v>
      </c>
      <c r="P32" s="639">
        <v>6544.2857142857147</v>
      </c>
      <c r="Q32" s="639">
        <v>0</v>
      </c>
      <c r="R32" s="639">
        <v>0</v>
      </c>
      <c r="S32" s="639">
        <v>0</v>
      </c>
      <c r="T32" s="639">
        <v>0</v>
      </c>
      <c r="U32" s="639">
        <v>0</v>
      </c>
      <c r="V32" s="639">
        <v>0</v>
      </c>
      <c r="W32" s="639">
        <v>0</v>
      </c>
      <c r="X32" s="639">
        <v>1501</v>
      </c>
      <c r="Y32" s="639" t="s">
        <v>50</v>
      </c>
      <c r="Z32" s="641" t="s">
        <v>155</v>
      </c>
    </row>
    <row r="33" spans="1:26" s="593" customFormat="1" ht="25.5">
      <c r="A33" s="592"/>
      <c r="B33" s="791">
        <v>44021</v>
      </c>
      <c r="C33" s="791">
        <v>9031</v>
      </c>
      <c r="D33" s="640" t="s">
        <v>908</v>
      </c>
      <c r="E33" s="639" t="s">
        <v>909</v>
      </c>
      <c r="F33" s="639" t="s">
        <v>910</v>
      </c>
      <c r="G33" s="639" t="s">
        <v>911</v>
      </c>
      <c r="H33" s="639" t="s">
        <v>911</v>
      </c>
      <c r="I33" s="639" t="s">
        <v>909</v>
      </c>
      <c r="J33" s="790">
        <v>41549</v>
      </c>
      <c r="K33" s="790">
        <v>41688</v>
      </c>
      <c r="L33" s="639" t="s">
        <v>894</v>
      </c>
      <c r="M33" s="639">
        <v>1</v>
      </c>
      <c r="N33" s="639">
        <v>4.5</v>
      </c>
      <c r="O33" s="639">
        <v>22.5</v>
      </c>
      <c r="P33" s="639">
        <v>30</v>
      </c>
      <c r="Q33" s="639">
        <v>0</v>
      </c>
      <c r="R33" s="639">
        <v>0</v>
      </c>
      <c r="S33" s="639">
        <v>0</v>
      </c>
      <c r="T33" s="639">
        <v>0</v>
      </c>
      <c r="U33" s="639">
        <v>0</v>
      </c>
      <c r="V33" s="639">
        <v>0</v>
      </c>
      <c r="W33" s="639">
        <v>0</v>
      </c>
      <c r="X33" s="639">
        <v>1300</v>
      </c>
      <c r="Y33" s="639" t="s">
        <v>53</v>
      </c>
      <c r="Z33" s="641" t="s">
        <v>155</v>
      </c>
    </row>
    <row r="34" spans="1:26" s="593" customFormat="1" ht="38.25">
      <c r="A34" s="592"/>
      <c r="B34" s="791">
        <v>44021</v>
      </c>
      <c r="C34" s="791">
        <v>9050</v>
      </c>
      <c r="D34" s="640" t="s">
        <v>912</v>
      </c>
      <c r="E34" s="639" t="s">
        <v>913</v>
      </c>
      <c r="F34" s="639" t="s">
        <v>914</v>
      </c>
      <c r="G34" s="639" t="s">
        <v>891</v>
      </c>
      <c r="H34" s="639" t="s">
        <v>901</v>
      </c>
      <c r="I34" s="639" t="s">
        <v>913</v>
      </c>
      <c r="J34" s="790">
        <v>41767</v>
      </c>
      <c r="K34" s="790">
        <v>41767</v>
      </c>
      <c r="L34" s="639" t="s">
        <v>894</v>
      </c>
      <c r="M34" s="639">
        <v>5.5</v>
      </c>
      <c r="N34" s="639">
        <v>24.75</v>
      </c>
      <c r="O34" s="639">
        <v>35.357142857142861</v>
      </c>
      <c r="P34" s="639">
        <v>70.714285714285722</v>
      </c>
      <c r="Q34" s="639">
        <v>0</v>
      </c>
      <c r="R34" s="639">
        <v>0</v>
      </c>
      <c r="S34" s="639">
        <v>0</v>
      </c>
      <c r="T34" s="639">
        <v>0</v>
      </c>
      <c r="U34" s="639">
        <v>0</v>
      </c>
      <c r="V34" s="639">
        <v>0</v>
      </c>
      <c r="W34" s="639">
        <v>0</v>
      </c>
      <c r="X34" s="639">
        <v>1300</v>
      </c>
      <c r="Y34" s="639" t="s">
        <v>53</v>
      </c>
      <c r="Z34" s="641" t="s">
        <v>155</v>
      </c>
    </row>
    <row r="35" spans="1:26" s="593" customFormat="1" ht="25.5">
      <c r="A35" s="592"/>
      <c r="B35" s="791">
        <v>44021</v>
      </c>
      <c r="C35" s="791">
        <v>9000</v>
      </c>
      <c r="D35" s="640"/>
      <c r="E35" s="639"/>
      <c r="F35" s="639" t="s">
        <v>915</v>
      </c>
      <c r="G35" s="639" t="s">
        <v>891</v>
      </c>
      <c r="H35" s="639" t="s">
        <v>901</v>
      </c>
      <c r="I35" s="639" t="s">
        <v>916</v>
      </c>
      <c r="J35" s="790">
        <v>41597</v>
      </c>
      <c r="K35" s="790">
        <v>41604</v>
      </c>
      <c r="L35" s="639" t="s">
        <v>894</v>
      </c>
      <c r="M35" s="639">
        <v>70</v>
      </c>
      <c r="N35" s="639">
        <v>315.00000000000006</v>
      </c>
      <c r="O35" s="639">
        <v>450.00000000000011</v>
      </c>
      <c r="P35" s="639">
        <v>900.00000000000023</v>
      </c>
      <c r="Q35" s="639">
        <v>0</v>
      </c>
      <c r="R35" s="639">
        <v>0</v>
      </c>
      <c r="S35" s="639">
        <v>0</v>
      </c>
      <c r="T35" s="639">
        <v>0</v>
      </c>
      <c r="U35" s="639">
        <v>0</v>
      </c>
      <c r="V35" s="639">
        <v>0</v>
      </c>
      <c r="W35" s="639">
        <v>0</v>
      </c>
      <c r="X35" s="639">
        <v>1300</v>
      </c>
      <c r="Y35" s="639" t="s">
        <v>53</v>
      </c>
      <c r="Z35" s="641" t="s">
        <v>155</v>
      </c>
    </row>
    <row r="36" spans="1:26" s="593" customFormat="1" ht="25.5">
      <c r="A36" s="592"/>
      <c r="B36" s="791">
        <v>44021</v>
      </c>
      <c r="C36" s="791">
        <v>9000</v>
      </c>
      <c r="D36" s="640" t="s">
        <v>917</v>
      </c>
      <c r="E36" s="639" t="s">
        <v>918</v>
      </c>
      <c r="F36" s="639" t="s">
        <v>919</v>
      </c>
      <c r="G36" s="639" t="s">
        <v>891</v>
      </c>
      <c r="H36" s="639" t="s">
        <v>901</v>
      </c>
      <c r="I36" s="639" t="s">
        <v>920</v>
      </c>
      <c r="J36" s="790">
        <v>41970</v>
      </c>
      <c r="K36" s="790">
        <v>42224</v>
      </c>
      <c r="L36" s="639" t="s">
        <v>894</v>
      </c>
      <c r="M36" s="639">
        <v>238</v>
      </c>
      <c r="N36" s="639">
        <v>1071</v>
      </c>
      <c r="O36" s="639">
        <v>1530</v>
      </c>
      <c r="P36" s="639">
        <v>3060</v>
      </c>
      <c r="Q36" s="639">
        <v>0</v>
      </c>
      <c r="R36" s="639">
        <v>0</v>
      </c>
      <c r="S36" s="639">
        <v>0</v>
      </c>
      <c r="T36" s="639">
        <v>0</v>
      </c>
      <c r="U36" s="639">
        <v>0</v>
      </c>
      <c r="V36" s="639">
        <v>0</v>
      </c>
      <c r="W36" s="639">
        <v>0</v>
      </c>
      <c r="X36" s="639">
        <v>1400</v>
      </c>
      <c r="Y36" s="639" t="s">
        <v>158</v>
      </c>
      <c r="Z36" s="641" t="s">
        <v>155</v>
      </c>
    </row>
    <row r="37" spans="1:26" s="593" customFormat="1" ht="25.5">
      <c r="A37" s="592"/>
      <c r="B37" s="791">
        <v>44021</v>
      </c>
      <c r="C37" s="791">
        <v>9000</v>
      </c>
      <c r="D37" s="640" t="s">
        <v>917</v>
      </c>
      <c r="E37" s="639" t="s">
        <v>918</v>
      </c>
      <c r="F37" s="639" t="s">
        <v>921</v>
      </c>
      <c r="G37" s="639" t="s">
        <v>891</v>
      </c>
      <c r="H37" s="639" t="s">
        <v>901</v>
      </c>
      <c r="I37" s="639" t="s">
        <v>922</v>
      </c>
      <c r="J37" s="790">
        <v>41795</v>
      </c>
      <c r="K37" s="790">
        <v>42221</v>
      </c>
      <c r="L37" s="639" t="s">
        <v>894</v>
      </c>
      <c r="M37" s="639">
        <v>238</v>
      </c>
      <c r="N37" s="639">
        <v>1071</v>
      </c>
      <c r="O37" s="639">
        <v>1530</v>
      </c>
      <c r="P37" s="639">
        <v>3060</v>
      </c>
      <c r="Q37" s="639">
        <v>0</v>
      </c>
      <c r="R37" s="639">
        <v>0</v>
      </c>
      <c r="S37" s="639">
        <v>0</v>
      </c>
      <c r="T37" s="639">
        <v>0</v>
      </c>
      <c r="U37" s="639">
        <v>0</v>
      </c>
      <c r="V37" s="639">
        <v>0</v>
      </c>
      <c r="W37" s="639">
        <v>0</v>
      </c>
      <c r="X37" s="639">
        <v>1400</v>
      </c>
      <c r="Y37" s="639" t="s">
        <v>158</v>
      </c>
      <c r="Z37" s="641" t="s">
        <v>155</v>
      </c>
    </row>
    <row r="38" spans="1:26" s="593" customFormat="1" ht="25.5">
      <c r="A38" s="592"/>
      <c r="B38" s="791">
        <v>44021</v>
      </c>
      <c r="C38" s="791">
        <v>9000</v>
      </c>
      <c r="D38" s="640" t="s">
        <v>923</v>
      </c>
      <c r="E38" s="639" t="s">
        <v>924</v>
      </c>
      <c r="F38" s="639" t="s">
        <v>925</v>
      </c>
      <c r="G38" s="639" t="s">
        <v>891</v>
      </c>
      <c r="H38" s="639" t="s">
        <v>901</v>
      </c>
      <c r="I38" s="639" t="s">
        <v>924</v>
      </c>
      <c r="J38" s="790">
        <v>42110</v>
      </c>
      <c r="K38" s="790">
        <v>42110</v>
      </c>
      <c r="L38" s="639" t="s">
        <v>894</v>
      </c>
      <c r="M38" s="639">
        <v>9</v>
      </c>
      <c r="N38" s="639">
        <v>40.5</v>
      </c>
      <c r="O38" s="639">
        <v>57.857142857142861</v>
      </c>
      <c r="P38" s="639">
        <v>115.71428571428572</v>
      </c>
      <c r="Q38" s="639">
        <v>0</v>
      </c>
      <c r="R38" s="639">
        <v>0</v>
      </c>
      <c r="S38" s="639">
        <v>0</v>
      </c>
      <c r="T38" s="639">
        <v>0</v>
      </c>
      <c r="U38" s="639">
        <v>0</v>
      </c>
      <c r="V38" s="639">
        <v>0</v>
      </c>
      <c r="W38" s="639">
        <v>0</v>
      </c>
      <c r="X38" s="639">
        <v>1200</v>
      </c>
      <c r="Y38" s="639" t="s">
        <v>926</v>
      </c>
      <c r="Z38" s="641" t="s">
        <v>155</v>
      </c>
    </row>
    <row r="39" spans="1:26" s="593" customFormat="1" ht="25.5">
      <c r="A39" s="592"/>
      <c r="B39" s="791">
        <v>44021</v>
      </c>
      <c r="C39" s="791">
        <v>9000</v>
      </c>
      <c r="D39" s="640" t="s">
        <v>927</v>
      </c>
      <c r="E39" s="639" t="s">
        <v>928</v>
      </c>
      <c r="F39" s="639" t="s">
        <v>929</v>
      </c>
      <c r="G39" s="639" t="s">
        <v>891</v>
      </c>
      <c r="H39" s="639" t="s">
        <v>901</v>
      </c>
      <c r="I39" s="639" t="s">
        <v>930</v>
      </c>
      <c r="J39" s="790">
        <v>42040</v>
      </c>
      <c r="K39" s="790">
        <v>42040</v>
      </c>
      <c r="L39" s="639" t="s">
        <v>894</v>
      </c>
      <c r="M39" s="639">
        <v>9</v>
      </c>
      <c r="N39" s="639">
        <v>40.5</v>
      </c>
      <c r="O39" s="639">
        <v>57.857142857142861</v>
      </c>
      <c r="P39" s="639">
        <v>115.71428571428572</v>
      </c>
      <c r="Q39" s="639">
        <v>0</v>
      </c>
      <c r="R39" s="639">
        <v>0</v>
      </c>
      <c r="S39" s="639">
        <v>0</v>
      </c>
      <c r="T39" s="639">
        <v>0</v>
      </c>
      <c r="U39" s="639">
        <v>0</v>
      </c>
      <c r="V39" s="639">
        <v>0</v>
      </c>
      <c r="W39" s="639">
        <v>0</v>
      </c>
      <c r="X39" s="639">
        <v>1100</v>
      </c>
      <c r="Y39" s="639" t="s">
        <v>51</v>
      </c>
      <c r="Z39" s="641" t="s">
        <v>155</v>
      </c>
    </row>
    <row r="40" spans="1:26" s="593" customFormat="1" ht="25.5">
      <c r="A40" s="592"/>
      <c r="B40" s="791">
        <v>44021</v>
      </c>
      <c r="C40" s="791">
        <v>9000</v>
      </c>
      <c r="D40" s="640" t="s">
        <v>931</v>
      </c>
      <c r="E40" s="639"/>
      <c r="F40" s="639" t="s">
        <v>932</v>
      </c>
      <c r="G40" s="639" t="s">
        <v>933</v>
      </c>
      <c r="H40" s="639" t="s">
        <v>901</v>
      </c>
      <c r="I40" s="639" t="s">
        <v>934</v>
      </c>
      <c r="J40" s="790">
        <v>42527</v>
      </c>
      <c r="K40" s="790">
        <v>42527</v>
      </c>
      <c r="L40" s="639" t="s">
        <v>935</v>
      </c>
      <c r="M40" s="639">
        <v>500</v>
      </c>
      <c r="N40" s="639">
        <v>2250</v>
      </c>
      <c r="O40" s="639">
        <v>3214.2857142857142</v>
      </c>
      <c r="P40" s="639">
        <v>6428.5714285714294</v>
      </c>
      <c r="Q40" s="639">
        <v>0</v>
      </c>
      <c r="R40" s="639">
        <v>0</v>
      </c>
      <c r="S40" s="639">
        <v>0</v>
      </c>
      <c r="T40" s="639">
        <v>0</v>
      </c>
      <c r="U40" s="639">
        <v>0</v>
      </c>
      <c r="V40" s="639">
        <v>0</v>
      </c>
      <c r="W40" s="639">
        <v>0</v>
      </c>
      <c r="X40" s="639">
        <v>300</v>
      </c>
      <c r="Y40" s="639" t="s">
        <v>33</v>
      </c>
      <c r="Z40" s="641" t="s">
        <v>384</v>
      </c>
    </row>
    <row r="41" spans="1:26" s="573" customFormat="1">
      <c r="A41" s="595" t="s">
        <v>279</v>
      </c>
      <c r="B41" s="596"/>
      <c r="C41" s="596"/>
      <c r="D41" s="596"/>
      <c r="E41" s="596"/>
      <c r="F41" s="596"/>
      <c r="G41" s="596"/>
      <c r="H41" s="596"/>
      <c r="I41" s="596"/>
      <c r="J41" s="596"/>
      <c r="K41" s="596"/>
      <c r="L41" s="597"/>
      <c r="M41" s="597">
        <f>SUM(M28:M40)</f>
        <v>3863.5</v>
      </c>
      <c r="N41" s="597">
        <f>SUM(N28:N40)</f>
        <v>7485.75</v>
      </c>
      <c r="O41" s="597">
        <f>SUM(O28:O40)</f>
        <v>10697.705357142859</v>
      </c>
      <c r="P41" s="597">
        <f>SUM(P28:P40)</f>
        <v>21289.285714285717</v>
      </c>
      <c r="Q41" s="597">
        <f>SUM(Q28:Q40)</f>
        <v>0</v>
      </c>
      <c r="R41" s="597">
        <f>SUM(R28:R40)</f>
        <v>0</v>
      </c>
      <c r="S41" s="597">
        <f>SUM(S28:S40)</f>
        <v>0</v>
      </c>
      <c r="T41" s="597">
        <f>SUM(T28:T40)</f>
        <v>0</v>
      </c>
      <c r="U41" s="597">
        <f>SUM(U28:U40)</f>
        <v>101.25</v>
      </c>
      <c r="V41" s="597">
        <f>SUM(V28:V40)</f>
        <v>0</v>
      </c>
      <c r="W41" s="597">
        <f>SUM(W28:W40)</f>
        <v>0</v>
      </c>
      <c r="X41" s="598"/>
      <c r="Y41" s="598"/>
      <c r="Z41" s="599"/>
    </row>
    <row r="42" spans="1:26" s="573" customFormat="1">
      <c r="A42" s="595" t="s">
        <v>286</v>
      </c>
      <c r="B42" s="596"/>
      <c r="C42" s="596"/>
      <c r="D42" s="596"/>
      <c r="E42" s="596"/>
      <c r="F42" s="596"/>
      <c r="G42" s="596"/>
      <c r="H42" s="596"/>
      <c r="I42" s="596"/>
      <c r="J42" s="596"/>
      <c r="K42" s="596"/>
      <c r="L42" s="597"/>
      <c r="M42" s="597">
        <f>SUMIF($Z$28:$Z$40,"industrie",M28:M40)</f>
        <v>2700</v>
      </c>
      <c r="N42" s="597">
        <f>SUMIF($Z$28:$Z$40,"industrie",N28:N40)</f>
        <v>2250</v>
      </c>
      <c r="O42" s="597">
        <f>SUMIF($Z$28:$Z$40,"industrie",O28:O40)</f>
        <v>3214.2857142857142</v>
      </c>
      <c r="P42" s="597">
        <f>SUMIF($Z$28:$Z$40,"industrie",P28:P40)</f>
        <v>6428.5714285714294</v>
      </c>
      <c r="Q42" s="597">
        <f>SUMIF($Z$28:$Z$40,"industrie",Q28:Q40)</f>
        <v>0</v>
      </c>
      <c r="R42" s="597">
        <f>SUMIF($Z$28:$Z$40,"industrie",R28:R40)</f>
        <v>0</v>
      </c>
      <c r="S42" s="597">
        <f>SUMIF($Z$28:$Z$40,"industrie",S28:S40)</f>
        <v>0</v>
      </c>
      <c r="T42" s="597">
        <f>SUMIF($Z$28:$Z$40,"industrie",T28:T40)</f>
        <v>0</v>
      </c>
      <c r="U42" s="597">
        <f>SUMIF($Z$28:$Z$40,"industrie",U28:U40)</f>
        <v>0</v>
      </c>
      <c r="V42" s="597">
        <f>SUMIF($Z$28:$Z$40,"industrie",V28:V40)</f>
        <v>0</v>
      </c>
      <c r="W42" s="597">
        <f>SUMIF($Z$28:$Z$40,"industrie",W28:W40)</f>
        <v>0</v>
      </c>
      <c r="X42" s="598"/>
      <c r="Y42" s="598"/>
      <c r="Z42" s="599"/>
    </row>
    <row r="43" spans="1:26" s="573" customFormat="1">
      <c r="A43" s="595" t="s">
        <v>287</v>
      </c>
      <c r="B43" s="596"/>
      <c r="C43" s="596"/>
      <c r="D43" s="596"/>
      <c r="E43" s="596"/>
      <c r="F43" s="596"/>
      <c r="G43" s="596"/>
      <c r="H43" s="596"/>
      <c r="I43" s="596"/>
      <c r="J43" s="596"/>
      <c r="K43" s="596"/>
      <c r="L43" s="597"/>
      <c r="M43" s="597">
        <f ca="1">SUMIF($Z$28:AC40,"tertiair",M28:M40)</f>
        <v>1163.5</v>
      </c>
      <c r="N43" s="597">
        <f ca="1">SUMIF($Z$28:AD40,"tertiair",N28:N40)</f>
        <v>5235.75</v>
      </c>
      <c r="O43" s="597">
        <f ca="1">SUMIF($Z$28:AE40,"tertiair",O28:O40)</f>
        <v>7483.419642857144</v>
      </c>
      <c r="P43" s="597">
        <f ca="1">SUMIF($Z$28:AF40,"tertiair",P28:P40)</f>
        <v>14860.714285714288</v>
      </c>
      <c r="Q43" s="597">
        <f ca="1">SUMIF($Z$28:AG40,"tertiair",Q28:Q40)</f>
        <v>0</v>
      </c>
      <c r="R43" s="597">
        <f ca="1">SUMIF($Z$28:AH40,"tertiair",R28:R40)</f>
        <v>0</v>
      </c>
      <c r="S43" s="597">
        <f ca="1">SUMIF($Z$28:AI40,"tertiair",S28:S40)</f>
        <v>0</v>
      </c>
      <c r="T43" s="597">
        <f ca="1">SUMIF($Z$28:AJ40,"tertiair",T28:T40)</f>
        <v>0</v>
      </c>
      <c r="U43" s="597">
        <f ca="1">SUMIF($Z$28:AK40,"tertiair",U28:U40)</f>
        <v>101.25</v>
      </c>
      <c r="V43" s="597">
        <f ca="1">SUMIF($Z$28:AL40,"tertiair",V28:V40)</f>
        <v>0</v>
      </c>
      <c r="W43" s="597">
        <f ca="1">SUMIF($Z$28:AM40,"tertiair",W28:W40)</f>
        <v>0</v>
      </c>
      <c r="X43" s="598"/>
      <c r="Y43" s="598"/>
      <c r="Z43" s="599"/>
    </row>
    <row r="44" spans="1:26" s="573" customFormat="1" ht="15.75" thickBot="1">
      <c r="A44" s="600" t="s">
        <v>288</v>
      </c>
      <c r="B44" s="601"/>
      <c r="C44" s="601"/>
      <c r="D44" s="601"/>
      <c r="E44" s="601"/>
      <c r="F44" s="601"/>
      <c r="G44" s="601"/>
      <c r="H44" s="601"/>
      <c r="I44" s="601"/>
      <c r="J44" s="601"/>
      <c r="K44" s="601"/>
      <c r="L44" s="602"/>
      <c r="M44" s="602">
        <f>SUMIF($Z$28:$Z$40,"landbouw",M28:M40)</f>
        <v>0</v>
      </c>
      <c r="N44" s="602">
        <f>SUMIF($Z$28:$Z$40,"landbouw",N28:N40)</f>
        <v>0</v>
      </c>
      <c r="O44" s="602">
        <f>SUMIF($Z$28:$Z$40,"landbouw",O28:O40)</f>
        <v>0</v>
      </c>
      <c r="P44" s="602">
        <f>SUMIF($Z$28:$Z$40,"landbouw",P28:P40)</f>
        <v>0</v>
      </c>
      <c r="Q44" s="602">
        <f>SUMIF($Z$28:$Z$40,"landbouw",Q28:Q40)</f>
        <v>0</v>
      </c>
      <c r="R44" s="602">
        <f>SUMIF($Z$28:$Z$40,"landbouw",R28:R40)</f>
        <v>0</v>
      </c>
      <c r="S44" s="602">
        <f>SUMIF($Z$28:$Z$40,"landbouw",S28:S40)</f>
        <v>0</v>
      </c>
      <c r="T44" s="602">
        <f>SUMIF($Z$28:$Z$40,"landbouw",T28:T40)</f>
        <v>0</v>
      </c>
      <c r="U44" s="602">
        <f>SUMIF($Z$28:$Z$40,"landbouw",U28:U40)</f>
        <v>0</v>
      </c>
      <c r="V44" s="602">
        <f>SUMIF($Z$28:$Z$40,"landbouw",V28:V40)</f>
        <v>0</v>
      </c>
      <c r="W44" s="602">
        <f>SUMIF($Z$28:$Z$40,"landbouw",W28:W40)</f>
        <v>0</v>
      </c>
      <c r="X44" s="603"/>
      <c r="Y44" s="603"/>
      <c r="Z44" s="604"/>
    </row>
    <row r="45" spans="1:26" s="534" customFormat="1" ht="15.75" thickBot="1">
      <c r="A45" s="605"/>
      <c r="B45" s="606"/>
      <c r="C45" s="606"/>
      <c r="D45" s="606"/>
      <c r="E45" s="606"/>
      <c r="F45" s="606"/>
      <c r="G45" s="606"/>
      <c r="H45" s="606"/>
      <c r="I45" s="606"/>
      <c r="J45" s="606"/>
      <c r="K45" s="606"/>
      <c r="L45" s="589"/>
      <c r="M45" s="589"/>
      <c r="N45" s="589"/>
      <c r="O45" s="590"/>
      <c r="P45" s="590"/>
    </row>
    <row r="46" spans="1:26" s="534" customFormat="1" ht="45">
      <c r="A46" s="607" t="s">
        <v>280</v>
      </c>
      <c r="B46" s="636" t="s">
        <v>89</v>
      </c>
      <c r="C46" s="636" t="s">
        <v>90</v>
      </c>
      <c r="D46" s="636" t="s">
        <v>91</v>
      </c>
      <c r="E46" s="636" t="s">
        <v>92</v>
      </c>
      <c r="F46" s="636" t="s">
        <v>93</v>
      </c>
      <c r="G46" s="636" t="s">
        <v>94</v>
      </c>
      <c r="H46" s="636" t="s">
        <v>95</v>
      </c>
      <c r="I46" s="636" t="s">
        <v>96</v>
      </c>
      <c r="J46" s="636" t="s">
        <v>97</v>
      </c>
      <c r="K46" s="636" t="s">
        <v>98</v>
      </c>
      <c r="L46" s="636" t="s">
        <v>99</v>
      </c>
      <c r="M46" s="637" t="s">
        <v>297</v>
      </c>
      <c r="N46" s="637" t="s">
        <v>100</v>
      </c>
      <c r="O46" s="637" t="s">
        <v>101</v>
      </c>
      <c r="P46" s="637" t="s">
        <v>524</v>
      </c>
      <c r="Q46" s="637" t="s">
        <v>102</v>
      </c>
      <c r="R46" s="637" t="s">
        <v>103</v>
      </c>
      <c r="S46" s="637" t="s">
        <v>104</v>
      </c>
      <c r="T46" s="637" t="s">
        <v>105</v>
      </c>
      <c r="U46" s="637" t="s">
        <v>106</v>
      </c>
      <c r="V46" s="637" t="s">
        <v>107</v>
      </c>
      <c r="W46" s="636" t="s">
        <v>108</v>
      </c>
      <c r="X46" s="636" t="s">
        <v>298</v>
      </c>
      <c r="Y46" s="636" t="s">
        <v>109</v>
      </c>
      <c r="Z46" s="638" t="s">
        <v>299</v>
      </c>
    </row>
    <row r="47" spans="1:26" s="608" customFormat="1" ht="63.75">
      <c r="A47" s="594"/>
      <c r="B47" s="791">
        <v>44021</v>
      </c>
      <c r="C47" s="791">
        <v>9000</v>
      </c>
      <c r="D47" s="642" t="s">
        <v>936</v>
      </c>
      <c r="E47" s="642" t="s">
        <v>937</v>
      </c>
      <c r="F47" s="642" t="s">
        <v>938</v>
      </c>
      <c r="G47" s="642" t="s">
        <v>939</v>
      </c>
      <c r="H47" s="642" t="s">
        <v>940</v>
      </c>
      <c r="I47" s="642" t="s">
        <v>941</v>
      </c>
      <c r="J47" s="790">
        <v>38292</v>
      </c>
      <c r="K47" s="790">
        <v>38687</v>
      </c>
      <c r="L47" s="642" t="s">
        <v>942</v>
      </c>
      <c r="M47" s="642">
        <v>413</v>
      </c>
      <c r="N47" s="642">
        <v>1858.5</v>
      </c>
      <c r="O47" s="642">
        <v>0</v>
      </c>
      <c r="P47" s="642">
        <v>0</v>
      </c>
      <c r="Q47" s="642">
        <v>5310</v>
      </c>
      <c r="R47" s="642">
        <v>0</v>
      </c>
      <c r="S47" s="642">
        <v>0</v>
      </c>
      <c r="T47" s="642">
        <v>0</v>
      </c>
      <c r="U47" s="642">
        <v>0</v>
      </c>
      <c r="V47" s="642">
        <v>0</v>
      </c>
      <c r="W47" s="642">
        <v>0</v>
      </c>
      <c r="X47" s="642">
        <v>1600</v>
      </c>
      <c r="Y47" s="642" t="s">
        <v>49</v>
      </c>
      <c r="Z47" s="643" t="s">
        <v>155</v>
      </c>
    </row>
    <row r="48" spans="1:26" s="573" customFormat="1">
      <c r="A48" s="595" t="s">
        <v>279</v>
      </c>
      <c r="B48" s="596"/>
      <c r="C48" s="596"/>
      <c r="D48" s="596"/>
      <c r="E48" s="596"/>
      <c r="F48" s="596"/>
      <c r="G48" s="596"/>
      <c r="H48" s="596"/>
      <c r="I48" s="596"/>
      <c r="J48" s="596"/>
      <c r="K48" s="596"/>
      <c r="L48" s="597"/>
      <c r="M48" s="597">
        <f>SUM(M47:M47)</f>
        <v>413</v>
      </c>
      <c r="N48" s="597">
        <f>SUM(N47:N47)</f>
        <v>1858.5</v>
      </c>
      <c r="O48" s="597">
        <f>SUM(O47:O47)</f>
        <v>0</v>
      </c>
      <c r="P48" s="597">
        <f>SUM(P47:P47)</f>
        <v>0</v>
      </c>
      <c r="Q48" s="597">
        <f>SUM(Q47:Q47)</f>
        <v>5310</v>
      </c>
      <c r="R48" s="597">
        <f>SUM(R47:R47)</f>
        <v>0</v>
      </c>
      <c r="S48" s="597">
        <f>SUM(S47:S47)</f>
        <v>0</v>
      </c>
      <c r="T48" s="597">
        <f>SUM(T47:T47)</f>
        <v>0</v>
      </c>
      <c r="U48" s="597">
        <f>SUM(U47:U47)</f>
        <v>0</v>
      </c>
      <c r="V48" s="597">
        <f>SUM(V47:V47)</f>
        <v>0</v>
      </c>
      <c r="W48" s="597">
        <f>SUM(W47:W47)</f>
        <v>0</v>
      </c>
      <c r="X48" s="598"/>
      <c r="Y48" s="598"/>
      <c r="Z48" s="599"/>
    </row>
    <row r="49" spans="1:27" s="573" customFormat="1">
      <c r="A49" s="595" t="s">
        <v>286</v>
      </c>
      <c r="B49" s="596"/>
      <c r="C49" s="596"/>
      <c r="D49" s="596"/>
      <c r="E49" s="596"/>
      <c r="F49" s="596"/>
      <c r="G49" s="596"/>
      <c r="H49" s="596"/>
      <c r="I49" s="596"/>
      <c r="J49" s="596"/>
      <c r="K49" s="596"/>
      <c r="L49" s="597"/>
      <c r="M49" s="597">
        <f>SUMIF($Z$47:$Z$47,"industrie",M47:M47)</f>
        <v>0</v>
      </c>
      <c r="N49" s="597">
        <f>SUMIF($Z$47:$Z$47,"industrie",N47:N47)</f>
        <v>0</v>
      </c>
      <c r="O49" s="597">
        <f>SUMIF($Z$47:$Z$47,"industrie",O47:O47)</f>
        <v>0</v>
      </c>
      <c r="P49" s="597">
        <f>SUMIF($Z$47:$Z$47,"industrie",P47:P47)</f>
        <v>0</v>
      </c>
      <c r="Q49" s="597">
        <f>SUMIF($Z$47:$Z$47,"industrie",Q47:Q47)</f>
        <v>0</v>
      </c>
      <c r="R49" s="597">
        <f>SUMIF($Z$47:$Z$47,"industrie",R47:R47)</f>
        <v>0</v>
      </c>
      <c r="S49" s="597">
        <f>SUMIF($Z$47:$Z$47,"industrie",S47:S47)</f>
        <v>0</v>
      </c>
      <c r="T49" s="597">
        <f>SUMIF($Z$47:$Z$47,"industrie",T47:T47)</f>
        <v>0</v>
      </c>
      <c r="U49" s="597">
        <f>SUMIF($Z$47:$Z$47,"industrie",U47:U47)</f>
        <v>0</v>
      </c>
      <c r="V49" s="597">
        <f>SUMIF($Z$47:$Z$47,"industrie",V47:V47)</f>
        <v>0</v>
      </c>
      <c r="W49" s="597">
        <f>SUMIF($Z$47:$Z$47,"industrie",W47:W47)</f>
        <v>0</v>
      </c>
      <c r="X49" s="598"/>
      <c r="Y49" s="598"/>
      <c r="Z49" s="599"/>
    </row>
    <row r="50" spans="1:27" s="573" customFormat="1">
      <c r="A50" s="595" t="s">
        <v>287</v>
      </c>
      <c r="B50" s="596"/>
      <c r="C50" s="596"/>
      <c r="D50" s="596"/>
      <c r="E50" s="596"/>
      <c r="F50" s="596"/>
      <c r="G50" s="596"/>
      <c r="H50" s="596"/>
      <c r="I50" s="596"/>
      <c r="J50" s="596"/>
      <c r="K50" s="596"/>
      <c r="L50" s="597"/>
      <c r="M50" s="597">
        <f>SUMIF($Z$47:$Z$48,"tertiair",M47:M48)</f>
        <v>413</v>
      </c>
      <c r="N50" s="597">
        <f>SUMIF($Z$47:$Z$48,"tertiair",N47:N48)</f>
        <v>1858.5</v>
      </c>
      <c r="O50" s="597">
        <f>SUMIF($Z$47:$Z$48,"tertiair",O47:O48)</f>
        <v>0</v>
      </c>
      <c r="P50" s="597">
        <f>SUMIF($Z$47:$Z$48,"tertiair",P47:P48)</f>
        <v>0</v>
      </c>
      <c r="Q50" s="597">
        <f>SUMIF($Z$47:$Z$48,"tertiair",Q47:Q48)</f>
        <v>5310</v>
      </c>
      <c r="R50" s="597">
        <f>SUMIF($Z$47:$Z$48,"tertiair",R47:R48)</f>
        <v>0</v>
      </c>
      <c r="S50" s="597">
        <f>SUMIF($Z$47:$Z$48,"tertiair",S47:S48)</f>
        <v>0</v>
      </c>
      <c r="T50" s="597">
        <f>SUMIF($Z$47:$Z$48,"tertiair",T47:T48)</f>
        <v>0</v>
      </c>
      <c r="U50" s="597">
        <f>SUMIF($Z$47:$Z$48,"tertiair",U47:U48)</f>
        <v>0</v>
      </c>
      <c r="V50" s="597">
        <f>SUMIF($Z$47:$Z$48,"tertiair",V47:V48)</f>
        <v>0</v>
      </c>
      <c r="W50" s="597">
        <f>SUMIF($Z$47:$Z$48,"tertiair",W47:W48)</f>
        <v>0</v>
      </c>
      <c r="X50" s="598"/>
      <c r="Y50" s="598"/>
      <c r="Z50" s="599"/>
    </row>
    <row r="51" spans="1:27" s="573" customFormat="1" ht="15.75" thickBot="1">
      <c r="A51" s="600" t="s">
        <v>288</v>
      </c>
      <c r="B51" s="601"/>
      <c r="C51" s="601"/>
      <c r="D51" s="601"/>
      <c r="E51" s="601"/>
      <c r="F51" s="601"/>
      <c r="G51" s="601"/>
      <c r="H51" s="601"/>
      <c r="I51" s="601"/>
      <c r="J51" s="601"/>
      <c r="K51" s="601"/>
      <c r="L51" s="602"/>
      <c r="M51" s="602">
        <f>SUMIF($Z$47:$Z$49,"landbouw",M47:M49)</f>
        <v>0</v>
      </c>
      <c r="N51" s="602">
        <f>SUMIF($Z$47:$Z$49,"landbouw",N47:N49)</f>
        <v>0</v>
      </c>
      <c r="O51" s="602">
        <f>SUMIF($Z$47:$Z$49,"landbouw",O47:O49)</f>
        <v>0</v>
      </c>
      <c r="P51" s="602">
        <f>SUMIF($Z$47:$Z$49,"landbouw",P47:P49)</f>
        <v>0</v>
      </c>
      <c r="Q51" s="602">
        <f>SUMIF($Z$47:$Z$49,"landbouw",Q47:Q49)</f>
        <v>0</v>
      </c>
      <c r="R51" s="602">
        <f>SUMIF($Z$47:$Z$49,"landbouw",R47:R49)</f>
        <v>0</v>
      </c>
      <c r="S51" s="602">
        <f>SUMIF($Z$47:$Z$49,"landbouw",S47:S49)</f>
        <v>0</v>
      </c>
      <c r="T51" s="602">
        <f>SUMIF($Z$47:$Z$49,"landbouw",T47:T49)</f>
        <v>0</v>
      </c>
      <c r="U51" s="602">
        <f>SUMIF($Z$47:$Z$49,"landbouw",U47:U49)</f>
        <v>0</v>
      </c>
      <c r="V51" s="602">
        <f>SUMIF($Z$47:$Z$49,"landbouw",V47:V49)</f>
        <v>0</v>
      </c>
      <c r="W51" s="602">
        <f>SUMIF($Z$47:$Z$49,"landbouw",W47:W49)</f>
        <v>0</v>
      </c>
      <c r="X51" s="603"/>
      <c r="Y51" s="603"/>
      <c r="Z51" s="604"/>
    </row>
    <row r="52" spans="1:27" s="609" customFormat="1">
      <c r="A52" s="605"/>
      <c r="B52" s="589"/>
      <c r="C52" s="589"/>
      <c r="D52" s="589"/>
      <c r="E52" s="589"/>
      <c r="F52" s="589"/>
      <c r="G52" s="589"/>
      <c r="H52" s="589"/>
      <c r="I52" s="589"/>
      <c r="J52" s="589"/>
      <c r="K52" s="589"/>
      <c r="L52" s="589"/>
      <c r="M52" s="589"/>
      <c r="N52" s="589"/>
      <c r="O52" s="589"/>
      <c r="P52" s="589"/>
      <c r="Q52" s="589"/>
      <c r="R52" s="589"/>
      <c r="S52" s="589"/>
      <c r="T52" s="589"/>
      <c r="U52" s="589"/>
      <c r="V52" s="589"/>
      <c r="W52" s="589"/>
      <c r="X52" s="589"/>
      <c r="Y52" s="589"/>
    </row>
    <row r="53" spans="1:27" s="609" customFormat="1" ht="15.75" thickBot="1">
      <c r="A53" s="605"/>
      <c r="B53" s="589"/>
      <c r="C53" s="589"/>
      <c r="D53" s="589"/>
      <c r="E53" s="589"/>
      <c r="F53" s="589"/>
      <c r="G53" s="589"/>
      <c r="H53" s="589"/>
      <c r="I53" s="589"/>
      <c r="J53" s="589"/>
      <c r="K53" s="589"/>
      <c r="L53" s="589"/>
      <c r="M53" s="589"/>
      <c r="N53" s="589"/>
      <c r="O53" s="589"/>
      <c r="P53" s="589"/>
      <c r="Q53" s="589"/>
      <c r="R53" s="589"/>
      <c r="S53" s="589"/>
      <c r="T53" s="589"/>
      <c r="U53" s="589"/>
      <c r="V53" s="589"/>
      <c r="W53" s="589"/>
      <c r="X53" s="589"/>
      <c r="Y53" s="589"/>
      <c r="Z53" s="589"/>
      <c r="AA53" s="589"/>
    </row>
    <row r="54" spans="1:27">
      <c r="A54" s="610" t="s">
        <v>281</v>
      </c>
      <c r="B54" s="611"/>
      <c r="C54" s="611"/>
      <c r="D54" s="611"/>
      <c r="E54" s="611"/>
      <c r="F54" s="611"/>
      <c r="G54" s="611"/>
      <c r="H54" s="611"/>
      <c r="I54" s="612"/>
      <c r="J54" s="613"/>
      <c r="K54" s="613"/>
      <c r="L54" s="614"/>
      <c r="M54" s="614"/>
      <c r="N54" s="614"/>
      <c r="O54" s="614"/>
      <c r="P54" s="614"/>
    </row>
    <row r="55" spans="1:27">
      <c r="A55" s="616"/>
      <c r="B55" s="606"/>
      <c r="C55" s="606"/>
      <c r="D55" s="606"/>
      <c r="E55" s="606"/>
      <c r="F55" s="606"/>
      <c r="G55" s="606"/>
      <c r="H55" s="606"/>
      <c r="I55" s="617"/>
      <c r="J55" s="606"/>
      <c r="K55" s="606"/>
      <c r="L55" s="614"/>
      <c r="M55" s="614"/>
      <c r="N55" s="614"/>
      <c r="O55" s="614"/>
      <c r="P55" s="614"/>
    </row>
    <row r="56" spans="1:27">
      <c r="A56" s="618"/>
      <c r="B56" s="619" t="s">
        <v>282</v>
      </c>
      <c r="C56" s="619" t="s">
        <v>283</v>
      </c>
      <c r="D56" s="619"/>
      <c r="E56" s="619"/>
      <c r="F56" s="619"/>
      <c r="G56" s="619"/>
      <c r="H56" s="619"/>
      <c r="I56" s="620"/>
      <c r="J56" s="619"/>
      <c r="K56" s="619"/>
      <c r="L56" s="619"/>
      <c r="M56" s="619"/>
      <c r="N56" s="619"/>
      <c r="O56" s="619"/>
      <c r="P56" s="614"/>
    </row>
    <row r="57" spans="1:27">
      <c r="A57" s="616" t="s">
        <v>279</v>
      </c>
      <c r="B57" s="621">
        <f>IF(ISERROR(O41/(O41+N41)),0,O41/(O41+N41))</f>
        <v>0.58832081950477944</v>
      </c>
      <c r="C57" s="622">
        <f>IF(ISERROR(N41/(O41+N41)),0,N41/(N41+O41))</f>
        <v>0.41167918049522056</v>
      </c>
      <c r="D57" s="589"/>
      <c r="E57" s="589"/>
      <c r="F57" s="589"/>
      <c r="G57" s="589"/>
      <c r="H57" s="589"/>
      <c r="I57" s="623"/>
      <c r="J57" s="589"/>
      <c r="K57" s="589"/>
      <c r="L57" s="624"/>
      <c r="M57" s="624"/>
      <c r="N57" s="624"/>
      <c r="O57" s="624"/>
      <c r="P57" s="614"/>
    </row>
    <row r="58" spans="1:27">
      <c r="A58" s="616"/>
      <c r="B58" s="625"/>
      <c r="C58" s="625"/>
      <c r="D58" s="625"/>
      <c r="E58" s="625"/>
      <c r="F58" s="625"/>
      <c r="G58" s="625"/>
      <c r="H58" s="625"/>
      <c r="I58" s="626"/>
      <c r="J58" s="625"/>
      <c r="K58" s="625"/>
      <c r="L58" s="627"/>
      <c r="M58" s="627"/>
      <c r="N58" s="627"/>
      <c r="O58" s="627"/>
      <c r="P58" s="614"/>
    </row>
    <row r="59" spans="1:27" ht="30">
      <c r="A59" s="628"/>
      <c r="B59" s="629" t="s">
        <v>524</v>
      </c>
      <c r="C59" s="629" t="s">
        <v>102</v>
      </c>
      <c r="D59" s="629" t="s">
        <v>103</v>
      </c>
      <c r="E59" s="629" t="s">
        <v>104</v>
      </c>
      <c r="F59" s="629" t="s">
        <v>105</v>
      </c>
      <c r="G59" s="629" t="s">
        <v>106</v>
      </c>
      <c r="H59" s="629" t="s">
        <v>107</v>
      </c>
      <c r="I59" s="630" t="s">
        <v>108</v>
      </c>
      <c r="J59" s="619"/>
      <c r="K59" s="619"/>
      <c r="L59" s="627"/>
      <c r="M59" s="627"/>
      <c r="N59" s="627"/>
      <c r="O59" s="614"/>
      <c r="P59" s="614"/>
    </row>
    <row r="60" spans="1:27">
      <c r="A60" s="618" t="s">
        <v>284</v>
      </c>
      <c r="B60" s="631">
        <f t="shared" ref="B60:I60" si="2">$C$57*P41</f>
        <v>8764.3556961857503</v>
      </c>
      <c r="C60" s="631">
        <f t="shared" si="2"/>
        <v>0</v>
      </c>
      <c r="D60" s="631">
        <f t="shared" si="2"/>
        <v>0</v>
      </c>
      <c r="E60" s="631">
        <f t="shared" si="2"/>
        <v>0</v>
      </c>
      <c r="F60" s="631">
        <f t="shared" si="2"/>
        <v>0</v>
      </c>
      <c r="G60" s="631">
        <f t="shared" si="2"/>
        <v>41.682517025141081</v>
      </c>
      <c r="H60" s="631">
        <f t="shared" si="2"/>
        <v>0</v>
      </c>
      <c r="I60" s="632">
        <f t="shared" si="2"/>
        <v>0</v>
      </c>
      <c r="J60" s="589"/>
      <c r="K60" s="589"/>
      <c r="L60" s="627"/>
      <c r="M60" s="627"/>
      <c r="N60" s="627"/>
      <c r="O60" s="614"/>
      <c r="P60" s="614"/>
    </row>
    <row r="61" spans="1:27" ht="15.75" thickBot="1">
      <c r="A61" s="633" t="s">
        <v>285</v>
      </c>
      <c r="B61" s="634">
        <f t="shared" ref="B61:I61" si="3">$B$57*P41</f>
        <v>12524.930018099967</v>
      </c>
      <c r="C61" s="634">
        <f t="shared" si="3"/>
        <v>0</v>
      </c>
      <c r="D61" s="634">
        <f t="shared" si="3"/>
        <v>0</v>
      </c>
      <c r="E61" s="634">
        <f t="shared" si="3"/>
        <v>0</v>
      </c>
      <c r="F61" s="634">
        <f t="shared" si="3"/>
        <v>0</v>
      </c>
      <c r="G61" s="634">
        <f t="shared" si="3"/>
        <v>59.567482974858919</v>
      </c>
      <c r="H61" s="634">
        <f t="shared" si="3"/>
        <v>0</v>
      </c>
      <c r="I61" s="635">
        <f t="shared" si="3"/>
        <v>0</v>
      </c>
      <c r="J61" s="589"/>
      <c r="K61" s="589"/>
      <c r="L61" s="627"/>
      <c r="M61" s="627"/>
      <c r="N61" s="627"/>
      <c r="O61" s="614"/>
      <c r="P61" s="614"/>
    </row>
    <row r="62" spans="1:27">
      <c r="J62" s="569"/>
      <c r="K62" s="569"/>
      <c r="L62" s="569"/>
      <c r="M62" s="569"/>
      <c r="N62" s="569"/>
    </row>
    <row r="63" spans="1:27">
      <c r="J63" s="569"/>
      <c r="K63" s="569"/>
      <c r="L63" s="569"/>
      <c r="M63" s="569"/>
      <c r="N6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363576.81607429369</v>
      </c>
      <c r="C4" s="452">
        <f>huishoudens!C8</f>
        <v>0</v>
      </c>
      <c r="D4" s="452">
        <f>huishoudens!D8</f>
        <v>1072402.6342730578</v>
      </c>
      <c r="E4" s="452">
        <f>huishoudens!E8</f>
        <v>63424.807264974399</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81396.607819948433</v>
      </c>
      <c r="O4" s="452">
        <f>huishoudens!O8</f>
        <v>3323.1300174732783</v>
      </c>
      <c r="P4" s="453">
        <f>huishoudens!P8</f>
        <v>4656.0100139967799</v>
      </c>
      <c r="Q4" s="454">
        <f>SUM(B4:P4)</f>
        <v>1588780.0054637443</v>
      </c>
    </row>
    <row r="5" spans="1:17">
      <c r="A5" s="451" t="s">
        <v>155</v>
      </c>
      <c r="B5" s="452">
        <f ca="1">tertiair!B16</f>
        <v>720765.22253000014</v>
      </c>
      <c r="C5" s="452">
        <f ca="1">tertiair!C16</f>
        <v>7483.419642857144</v>
      </c>
      <c r="D5" s="452">
        <f ca="1">tertiair!D16</f>
        <v>815688.23503800563</v>
      </c>
      <c r="E5" s="452">
        <f>tertiair!E16</f>
        <v>9638.1591253773677</v>
      </c>
      <c r="F5" s="452">
        <f ca="1">tertiair!F16</f>
        <v>79512.336627302284</v>
      </c>
      <c r="G5" s="452">
        <f>tertiair!G16</f>
        <v>0</v>
      </c>
      <c r="H5" s="452">
        <f>tertiair!H16</f>
        <v>0</v>
      </c>
      <c r="I5" s="452">
        <f>tertiair!I16</f>
        <v>0</v>
      </c>
      <c r="J5" s="452">
        <f>tertiair!J16</f>
        <v>0.83821912146822097</v>
      </c>
      <c r="K5" s="452">
        <f>tertiair!K16</f>
        <v>0</v>
      </c>
      <c r="L5" s="452">
        <f ca="1">tertiair!L16</f>
        <v>0</v>
      </c>
      <c r="M5" s="452">
        <f>tertiair!M16</f>
        <v>0</v>
      </c>
      <c r="N5" s="452">
        <f ca="1">tertiair!N16</f>
        <v>28529.321829268913</v>
      </c>
      <c r="O5" s="452">
        <f>tertiair!O16</f>
        <v>151.8150837410758</v>
      </c>
      <c r="P5" s="453">
        <f>tertiair!P16</f>
        <v>1523.6350108883557</v>
      </c>
      <c r="Q5" s="451">
        <f t="shared" ref="Q5:Q14" ca="1" si="0">SUM(B5:P5)</f>
        <v>1663292.9831065624</v>
      </c>
    </row>
    <row r="6" spans="1:17">
      <c r="A6" s="451" t="s">
        <v>193</v>
      </c>
      <c r="B6" s="452">
        <f>'openbare verlichting'!B8</f>
        <v>13408.469880000001</v>
      </c>
      <c r="C6" s="452"/>
      <c r="D6" s="452"/>
      <c r="E6" s="452"/>
      <c r="F6" s="452"/>
      <c r="G6" s="452"/>
      <c r="H6" s="452"/>
      <c r="I6" s="452"/>
      <c r="J6" s="452"/>
      <c r="K6" s="452"/>
      <c r="L6" s="452"/>
      <c r="M6" s="452"/>
      <c r="N6" s="452"/>
      <c r="O6" s="452"/>
      <c r="P6" s="453"/>
      <c r="Q6" s="451">
        <f t="shared" si="0"/>
        <v>13408.469880000001</v>
      </c>
    </row>
    <row r="7" spans="1:17">
      <c r="A7" s="451" t="s">
        <v>111</v>
      </c>
      <c r="B7" s="452">
        <f>landbouw!B8</f>
        <v>3187.3418360000001</v>
      </c>
      <c r="C7" s="452">
        <f>landbouw!C8</f>
        <v>0</v>
      </c>
      <c r="D7" s="452">
        <f>landbouw!D8</f>
        <v>5332.3719018239999</v>
      </c>
      <c r="E7" s="452">
        <f>landbouw!E8</f>
        <v>99.475887645889003</v>
      </c>
      <c r="F7" s="452">
        <f>landbouw!F8</f>
        <v>11264.419132627794</v>
      </c>
      <c r="G7" s="452">
        <f>landbouw!G8</f>
        <v>0</v>
      </c>
      <c r="H7" s="452">
        <f>landbouw!H8</f>
        <v>0</v>
      </c>
      <c r="I7" s="452">
        <f>landbouw!I8</f>
        <v>0</v>
      </c>
      <c r="J7" s="452">
        <f>landbouw!J8</f>
        <v>878.13477983991424</v>
      </c>
      <c r="K7" s="452">
        <f>landbouw!K8</f>
        <v>0</v>
      </c>
      <c r="L7" s="452">
        <f>landbouw!L8</f>
        <v>0</v>
      </c>
      <c r="M7" s="452">
        <f>landbouw!M8</f>
        <v>0</v>
      </c>
      <c r="N7" s="452">
        <f>landbouw!N8</f>
        <v>0</v>
      </c>
      <c r="O7" s="452">
        <f>landbouw!O8</f>
        <v>0</v>
      </c>
      <c r="P7" s="453">
        <f>landbouw!P8</f>
        <v>0</v>
      </c>
      <c r="Q7" s="451">
        <f t="shared" si="0"/>
        <v>20761.743537937597</v>
      </c>
    </row>
    <row r="8" spans="1:17">
      <c r="A8" s="451" t="s">
        <v>625</v>
      </c>
      <c r="B8" s="452">
        <f>industrie!B18</f>
        <v>352720.88118899998</v>
      </c>
      <c r="C8" s="452">
        <f>industrie!C18</f>
        <v>3214.2857142857142</v>
      </c>
      <c r="D8" s="452">
        <f>industrie!D18</f>
        <v>264277.27085338056</v>
      </c>
      <c r="E8" s="452">
        <f>industrie!E18</f>
        <v>15949.393560889814</v>
      </c>
      <c r="F8" s="452">
        <f>industrie!F18</f>
        <v>70910.808138249951</v>
      </c>
      <c r="G8" s="452">
        <f>industrie!G18</f>
        <v>0</v>
      </c>
      <c r="H8" s="452">
        <f>industrie!H18</f>
        <v>0</v>
      </c>
      <c r="I8" s="452">
        <f>industrie!I18</f>
        <v>0</v>
      </c>
      <c r="J8" s="452">
        <f>industrie!J18</f>
        <v>2781.4205217909871</v>
      </c>
      <c r="K8" s="452">
        <f>industrie!K18</f>
        <v>0</v>
      </c>
      <c r="L8" s="452">
        <f>industrie!L18</f>
        <v>0</v>
      </c>
      <c r="M8" s="452">
        <f>industrie!M18</f>
        <v>0</v>
      </c>
      <c r="N8" s="452">
        <f>industrie!N18</f>
        <v>23426.462491579128</v>
      </c>
      <c r="O8" s="452">
        <f>industrie!O18</f>
        <v>0</v>
      </c>
      <c r="P8" s="453">
        <f>industrie!P18</f>
        <v>0</v>
      </c>
      <c r="Q8" s="451">
        <f t="shared" si="0"/>
        <v>733280.52246917598</v>
      </c>
    </row>
    <row r="9" spans="1:17" s="457" customFormat="1">
      <c r="A9" s="455" t="s">
        <v>551</v>
      </c>
      <c r="B9" s="456">
        <f>transport!B14</f>
        <v>910.6214246952112</v>
      </c>
      <c r="C9" s="456">
        <f>transport!C14</f>
        <v>0</v>
      </c>
      <c r="D9" s="456">
        <f>transport!D14</f>
        <v>3298.9192568401763</v>
      </c>
      <c r="E9" s="456">
        <f>transport!E14</f>
        <v>3111.4787989421079</v>
      </c>
      <c r="F9" s="456">
        <f>transport!F14</f>
        <v>0</v>
      </c>
      <c r="G9" s="456">
        <f>transport!G14</f>
        <v>1645440.9180399308</v>
      </c>
      <c r="H9" s="456">
        <f>transport!H14</f>
        <v>314008.82892106549</v>
      </c>
      <c r="I9" s="456">
        <f>transport!I14</f>
        <v>0</v>
      </c>
      <c r="J9" s="456">
        <f>transport!J14</f>
        <v>0</v>
      </c>
      <c r="K9" s="456">
        <f>transport!K14</f>
        <v>0</v>
      </c>
      <c r="L9" s="456">
        <f>transport!L14</f>
        <v>0</v>
      </c>
      <c r="M9" s="456">
        <f>transport!M14</f>
        <v>115636.69008074315</v>
      </c>
      <c r="N9" s="456">
        <f>transport!N14</f>
        <v>0</v>
      </c>
      <c r="O9" s="456">
        <f>transport!O14</f>
        <v>0</v>
      </c>
      <c r="P9" s="456">
        <f>transport!P14</f>
        <v>0</v>
      </c>
      <c r="Q9" s="455">
        <f>SUM(B9:P9)</f>
        <v>2082407.4565222168</v>
      </c>
    </row>
    <row r="10" spans="1:17">
      <c r="A10" s="451" t="s">
        <v>541</v>
      </c>
      <c r="B10" s="452">
        <f>transport!B54</f>
        <v>9209.298675</v>
      </c>
      <c r="C10" s="452">
        <f>transport!C54</f>
        <v>0</v>
      </c>
      <c r="D10" s="452">
        <f>transport!D54</f>
        <v>0</v>
      </c>
      <c r="E10" s="452">
        <f>transport!E54</f>
        <v>0</v>
      </c>
      <c r="F10" s="452">
        <f>transport!F54</f>
        <v>0</v>
      </c>
      <c r="G10" s="452">
        <f>transport!G54</f>
        <v>35025.155207705218</v>
      </c>
      <c r="H10" s="452">
        <f>transport!H54</f>
        <v>0</v>
      </c>
      <c r="I10" s="452">
        <f>transport!I54</f>
        <v>0</v>
      </c>
      <c r="J10" s="452">
        <f>transport!J54</f>
        <v>0</v>
      </c>
      <c r="K10" s="452">
        <f>transport!K54</f>
        <v>0</v>
      </c>
      <c r="L10" s="452">
        <f>transport!L54</f>
        <v>0</v>
      </c>
      <c r="M10" s="452">
        <f>transport!M54</f>
        <v>1946.3957278475375</v>
      </c>
      <c r="N10" s="452">
        <f>transport!N54</f>
        <v>0</v>
      </c>
      <c r="O10" s="452">
        <f>transport!O54</f>
        <v>0</v>
      </c>
      <c r="P10" s="453">
        <f>transport!P54</f>
        <v>0</v>
      </c>
      <c r="Q10" s="451">
        <f t="shared" si="0"/>
        <v>46180.849610552752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23194.462359999998</v>
      </c>
      <c r="C14" s="459"/>
      <c r="D14" s="459">
        <f>'SEAP template'!E25</f>
        <v>95128.243780000004</v>
      </c>
      <c r="E14" s="459"/>
      <c r="F14" s="459"/>
      <c r="G14" s="459"/>
      <c r="H14" s="459"/>
      <c r="I14" s="459"/>
      <c r="J14" s="459"/>
      <c r="K14" s="459"/>
      <c r="L14" s="459"/>
      <c r="M14" s="459"/>
      <c r="N14" s="459"/>
      <c r="O14" s="459"/>
      <c r="P14" s="460"/>
      <c r="Q14" s="451">
        <f t="shared" si="0"/>
        <v>118322.70613999999</v>
      </c>
    </row>
    <row r="15" spans="1:17" s="463" customFormat="1">
      <c r="A15" s="461" t="s">
        <v>545</v>
      </c>
      <c r="B15" s="462">
        <f ca="1">SUM(B4:B14)</f>
        <v>1486973.1139689891</v>
      </c>
      <c r="C15" s="462">
        <f t="shared" ref="C15:Q15" ca="1" si="1">SUM(C4:C14)</f>
        <v>10697.705357142859</v>
      </c>
      <c r="D15" s="462">
        <f t="shared" ca="1" si="1"/>
        <v>2256127.6751031084</v>
      </c>
      <c r="E15" s="462">
        <f t="shared" si="1"/>
        <v>92223.314637829579</v>
      </c>
      <c r="F15" s="462">
        <f t="shared" ca="1" si="1"/>
        <v>161687.56389818003</v>
      </c>
      <c r="G15" s="462">
        <f t="shared" si="1"/>
        <v>1680466.073247636</v>
      </c>
      <c r="H15" s="462">
        <f t="shared" si="1"/>
        <v>314008.82892106549</v>
      </c>
      <c r="I15" s="462">
        <f t="shared" si="1"/>
        <v>0</v>
      </c>
      <c r="J15" s="462">
        <f t="shared" si="1"/>
        <v>3660.3935207523696</v>
      </c>
      <c r="K15" s="462">
        <f t="shared" si="1"/>
        <v>0</v>
      </c>
      <c r="L15" s="462">
        <f t="shared" ca="1" si="1"/>
        <v>0</v>
      </c>
      <c r="M15" s="462">
        <f t="shared" si="1"/>
        <v>117583.08580859069</v>
      </c>
      <c r="N15" s="462">
        <f t="shared" ca="1" si="1"/>
        <v>133352.39214079647</v>
      </c>
      <c r="O15" s="462">
        <f t="shared" si="1"/>
        <v>3474.9451012143541</v>
      </c>
      <c r="P15" s="462">
        <f t="shared" si="1"/>
        <v>6179.6450248851361</v>
      </c>
      <c r="Q15" s="462">
        <f t="shared" ca="1" si="1"/>
        <v>6266434.7367301909</v>
      </c>
    </row>
    <row r="17" spans="1:17">
      <c r="A17" s="464" t="s">
        <v>546</v>
      </c>
      <c r="B17" s="781">
        <f ca="1">huishoudens!B10</f>
        <v>0.19222568023517581</v>
      </c>
      <c r="C17" s="781">
        <f ca="1">huishoudens!C10</f>
        <v>0.23650266848739562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69888.800787620508</v>
      </c>
      <c r="C22" s="452">
        <f t="shared" ref="C22:C32" ca="1" si="3">C4*$C$17</f>
        <v>0</v>
      </c>
      <c r="D22" s="452">
        <f t="shared" ref="D22:D32" si="4">D4*$D$17</f>
        <v>216625.33212315768</v>
      </c>
      <c r="E22" s="452">
        <f t="shared" ref="E22:E32" si="5">E4*$E$17</f>
        <v>14397.431249149189</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300911.56415992737</v>
      </c>
    </row>
    <row r="23" spans="1:17">
      <c r="A23" s="451" t="s">
        <v>155</v>
      </c>
      <c r="B23" s="452">
        <f t="shared" ca="1" si="2"/>
        <v>138549.58519068715</v>
      </c>
      <c r="C23" s="452">
        <f t="shared" ca="1" si="3"/>
        <v>1769.8487149467078</v>
      </c>
      <c r="D23" s="452">
        <f t="shared" ca="1" si="4"/>
        <v>164769.02347767714</v>
      </c>
      <c r="E23" s="452">
        <f t="shared" si="5"/>
        <v>2187.8621214606624</v>
      </c>
      <c r="F23" s="452">
        <f t="shared" ca="1" si="6"/>
        <v>21229.793879489713</v>
      </c>
      <c r="G23" s="452">
        <f t="shared" si="7"/>
        <v>0</v>
      </c>
      <c r="H23" s="452">
        <f t="shared" si="8"/>
        <v>0</v>
      </c>
      <c r="I23" s="452">
        <f t="shared" si="9"/>
        <v>0</v>
      </c>
      <c r="J23" s="452">
        <f t="shared" si="10"/>
        <v>0.29672956899975023</v>
      </c>
      <c r="K23" s="452">
        <f t="shared" si="11"/>
        <v>0</v>
      </c>
      <c r="L23" s="452">
        <f t="shared" ca="1" si="12"/>
        <v>0</v>
      </c>
      <c r="M23" s="452">
        <f t="shared" si="13"/>
        <v>0</v>
      </c>
      <c r="N23" s="452">
        <f t="shared" ca="1" si="14"/>
        <v>0</v>
      </c>
      <c r="O23" s="452">
        <f t="shared" si="15"/>
        <v>0</v>
      </c>
      <c r="P23" s="453">
        <f t="shared" si="16"/>
        <v>0</v>
      </c>
      <c r="Q23" s="451">
        <f t="shared" ref="Q23:Q31" ca="1" si="17">SUM(B23:P23)</f>
        <v>328506.41011383035</v>
      </c>
    </row>
    <row r="24" spans="1:17">
      <c r="A24" s="451" t="s">
        <v>193</v>
      </c>
      <c r="B24" s="452">
        <f t="shared" ca="1" si="2"/>
        <v>2577.4522435958661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2577.4522435958661</v>
      </c>
    </row>
    <row r="25" spans="1:17">
      <c r="A25" s="451" t="s">
        <v>111</v>
      </c>
      <c r="B25" s="452">
        <f t="shared" ca="1" si="2"/>
        <v>612.68895256713415</v>
      </c>
      <c r="C25" s="452">
        <f t="shared" ca="1" si="3"/>
        <v>0</v>
      </c>
      <c r="D25" s="452">
        <f t="shared" si="4"/>
        <v>1077.139124168448</v>
      </c>
      <c r="E25" s="452">
        <f t="shared" si="5"/>
        <v>22.581026495616804</v>
      </c>
      <c r="F25" s="452">
        <f t="shared" si="6"/>
        <v>3007.5999084116211</v>
      </c>
      <c r="G25" s="452">
        <f t="shared" si="7"/>
        <v>0</v>
      </c>
      <c r="H25" s="452">
        <f t="shared" si="8"/>
        <v>0</v>
      </c>
      <c r="I25" s="452">
        <f t="shared" si="9"/>
        <v>0</v>
      </c>
      <c r="J25" s="452">
        <f t="shared" si="10"/>
        <v>310.85971206332965</v>
      </c>
      <c r="K25" s="452">
        <f t="shared" si="11"/>
        <v>0</v>
      </c>
      <c r="L25" s="452">
        <f t="shared" si="12"/>
        <v>0</v>
      </c>
      <c r="M25" s="452">
        <f t="shared" si="13"/>
        <v>0</v>
      </c>
      <c r="N25" s="452">
        <f t="shared" si="14"/>
        <v>0</v>
      </c>
      <c r="O25" s="452">
        <f t="shared" si="15"/>
        <v>0</v>
      </c>
      <c r="P25" s="453">
        <f t="shared" si="16"/>
        <v>0</v>
      </c>
      <c r="Q25" s="451">
        <f t="shared" ca="1" si="17"/>
        <v>5030.8687237061495</v>
      </c>
    </row>
    <row r="26" spans="1:17">
      <c r="A26" s="451" t="s">
        <v>625</v>
      </c>
      <c r="B26" s="452">
        <f t="shared" ca="1" si="2"/>
        <v>67802.011319706144</v>
      </c>
      <c r="C26" s="452">
        <f t="shared" ca="1" si="3"/>
        <v>760.18714870948588</v>
      </c>
      <c r="D26" s="452">
        <f t="shared" si="4"/>
        <v>53384.008712382878</v>
      </c>
      <c r="E26" s="452">
        <f t="shared" si="5"/>
        <v>3620.512338321988</v>
      </c>
      <c r="F26" s="452">
        <f t="shared" si="6"/>
        <v>18933.185772912737</v>
      </c>
      <c r="G26" s="452">
        <f t="shared" si="7"/>
        <v>0</v>
      </c>
      <c r="H26" s="452">
        <f t="shared" si="8"/>
        <v>0</v>
      </c>
      <c r="I26" s="452">
        <f t="shared" si="9"/>
        <v>0</v>
      </c>
      <c r="J26" s="452">
        <f t="shared" si="10"/>
        <v>984.62286471400932</v>
      </c>
      <c r="K26" s="452">
        <f t="shared" si="11"/>
        <v>0</v>
      </c>
      <c r="L26" s="452">
        <f t="shared" si="12"/>
        <v>0</v>
      </c>
      <c r="M26" s="452">
        <f t="shared" si="13"/>
        <v>0</v>
      </c>
      <c r="N26" s="452">
        <f t="shared" si="14"/>
        <v>0</v>
      </c>
      <c r="O26" s="452">
        <f t="shared" si="15"/>
        <v>0</v>
      </c>
      <c r="P26" s="453">
        <f t="shared" si="16"/>
        <v>0</v>
      </c>
      <c r="Q26" s="451">
        <f t="shared" ca="1" si="17"/>
        <v>145484.52815674726</v>
      </c>
    </row>
    <row r="27" spans="1:17" s="457" customFormat="1">
      <c r="A27" s="455" t="s">
        <v>551</v>
      </c>
      <c r="B27" s="775">
        <f t="shared" ca="1" si="2"/>
        <v>175.04482279876188</v>
      </c>
      <c r="C27" s="456">
        <f t="shared" ca="1" si="3"/>
        <v>0</v>
      </c>
      <c r="D27" s="456">
        <f t="shared" si="4"/>
        <v>666.38168988171572</v>
      </c>
      <c r="E27" s="456">
        <f t="shared" si="5"/>
        <v>706.30568735985855</v>
      </c>
      <c r="F27" s="456">
        <f t="shared" si="6"/>
        <v>0</v>
      </c>
      <c r="G27" s="456">
        <f t="shared" si="7"/>
        <v>439332.72511666152</v>
      </c>
      <c r="H27" s="456">
        <f t="shared" si="8"/>
        <v>78188.198401345304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519068.65571804711</v>
      </c>
    </row>
    <row r="28" spans="1:17" ht="16.5" customHeight="1">
      <c r="A28" s="451" t="s">
        <v>541</v>
      </c>
      <c r="B28" s="452">
        <f t="shared" ca="1" si="2"/>
        <v>1770.2637022907782</v>
      </c>
      <c r="C28" s="452">
        <f t="shared" ca="1" si="3"/>
        <v>0</v>
      </c>
      <c r="D28" s="452">
        <f t="shared" si="4"/>
        <v>0</v>
      </c>
      <c r="E28" s="452">
        <f t="shared" si="5"/>
        <v>0</v>
      </c>
      <c r="F28" s="452">
        <f t="shared" si="6"/>
        <v>0</v>
      </c>
      <c r="G28" s="452">
        <f t="shared" si="7"/>
        <v>9351.7164404572941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11121.980142748072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4458.5713048401803</v>
      </c>
      <c r="C32" s="452">
        <f t="shared" ca="1" si="3"/>
        <v>0</v>
      </c>
      <c r="D32" s="452">
        <f t="shared" si="4"/>
        <v>19215.905243560002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23674.476548400184</v>
      </c>
    </row>
    <row r="33" spans="1:17" s="463" customFormat="1">
      <c r="A33" s="461" t="s">
        <v>545</v>
      </c>
      <c r="B33" s="462">
        <f ca="1">SUM(B22:B32)</f>
        <v>285834.41832410649</v>
      </c>
      <c r="C33" s="462">
        <f t="shared" ref="C33:Q33" ca="1" si="19">SUM(C22:C32)</f>
        <v>2530.0358636561937</v>
      </c>
      <c r="D33" s="462">
        <f t="shared" ca="1" si="19"/>
        <v>455737.79037082789</v>
      </c>
      <c r="E33" s="462">
        <f t="shared" si="19"/>
        <v>20934.692422787313</v>
      </c>
      <c r="F33" s="462">
        <f t="shared" ca="1" si="19"/>
        <v>43170.579560814069</v>
      </c>
      <c r="G33" s="462">
        <f t="shared" si="19"/>
        <v>448684.44155711879</v>
      </c>
      <c r="H33" s="462">
        <f t="shared" si="19"/>
        <v>78188.198401345304</v>
      </c>
      <c r="I33" s="462">
        <f t="shared" si="19"/>
        <v>0</v>
      </c>
      <c r="J33" s="462">
        <f t="shared" si="19"/>
        <v>1295.7793063463387</v>
      </c>
      <c r="K33" s="462">
        <f t="shared" si="19"/>
        <v>0</v>
      </c>
      <c r="L33" s="462">
        <f t="shared" ca="1" si="19"/>
        <v>0</v>
      </c>
      <c r="M33" s="462">
        <f t="shared" si="19"/>
        <v>0</v>
      </c>
      <c r="N33" s="462">
        <f t="shared" ca="1" si="19"/>
        <v>0</v>
      </c>
      <c r="O33" s="462">
        <f t="shared" si="19"/>
        <v>0</v>
      </c>
      <c r="P33" s="462">
        <f t="shared" si="19"/>
        <v>0</v>
      </c>
      <c r="Q33" s="462">
        <f t="shared" ca="1" si="19"/>
        <v>1336375.9358070022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133638.9837798173</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58632.33053542953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35.43306243582358</v>
      </c>
      <c r="C8" s="1029">
        <f>'SEAP template'!C76</f>
        <v>7450.3169375641764</v>
      </c>
      <c r="D8" s="1029">
        <f>'SEAP template'!D76</f>
        <v>8764.3556961857503</v>
      </c>
      <c r="E8" s="1029">
        <f>'SEAP template'!E76</f>
        <v>0</v>
      </c>
      <c r="F8" s="1029">
        <f>'SEAP template'!F76</f>
        <v>0</v>
      </c>
      <c r="G8" s="1029">
        <f>'SEAP template'!G76</f>
        <v>0</v>
      </c>
      <c r="H8" s="1029">
        <f>'SEAP template'!H76</f>
        <v>0</v>
      </c>
      <c r="I8" s="1029">
        <f>'SEAP template'!I76</f>
        <v>41.682517025141081</v>
      </c>
      <c r="J8" s="1029">
        <f>'SEAP template'!J76</f>
        <v>0</v>
      </c>
      <c r="K8" s="1029">
        <f>'SEAP template'!K76</f>
        <v>0</v>
      </c>
      <c r="L8" s="1029">
        <f>'SEAP template'!L76</f>
        <v>0</v>
      </c>
      <c r="M8" s="1029">
        <f>'SEAP template'!M76</f>
        <v>0</v>
      </c>
      <c r="N8" s="1029">
        <f>'SEAP template'!N76</f>
        <v>0</v>
      </c>
      <c r="O8" s="1029">
        <f>'SEAP template'!O76</f>
        <v>0</v>
      </c>
      <c r="P8" s="1030">
        <f>'SEAP template'!Q76</f>
        <v>1770.3998506295218</v>
      </c>
    </row>
    <row r="9" spans="1:16">
      <c r="A9" s="1035" t="s">
        <v>785</v>
      </c>
      <c r="B9" s="1029">
        <f>'SEAP template'!B77</f>
        <v>1858.5</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5310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194165.24737768265</v>
      </c>
      <c r="C10" s="1031">
        <f>SUM(C4:C9)</f>
        <v>7450.3169375641764</v>
      </c>
      <c r="D10" s="1031">
        <f t="shared" ref="D10:H10" si="0">SUM(D8:D9)</f>
        <v>8764.3556961857503</v>
      </c>
      <c r="E10" s="1031">
        <f t="shared" si="0"/>
        <v>0</v>
      </c>
      <c r="F10" s="1031">
        <f t="shared" si="0"/>
        <v>0</v>
      </c>
      <c r="G10" s="1031">
        <f t="shared" si="0"/>
        <v>0</v>
      </c>
      <c r="H10" s="1031">
        <f t="shared" si="0"/>
        <v>0</v>
      </c>
      <c r="I10" s="1031">
        <f>SUM(I8:I9)</f>
        <v>41.682517025141081</v>
      </c>
      <c r="J10" s="1031">
        <f>SUM(J8:J9)</f>
        <v>5310</v>
      </c>
      <c r="K10" s="1031">
        <f t="shared" ref="K10:L10" si="1">SUM(K8:K9)</f>
        <v>0</v>
      </c>
      <c r="L10" s="1031">
        <f t="shared" si="1"/>
        <v>0</v>
      </c>
      <c r="M10" s="1031">
        <f>SUM(M8:M9)</f>
        <v>0</v>
      </c>
      <c r="N10" s="1031">
        <f>SUM(N8:N9)</f>
        <v>0</v>
      </c>
      <c r="O10" s="1031">
        <f>SUM(O8:O9)</f>
        <v>0</v>
      </c>
      <c r="P10" s="1031">
        <f>SUM(P8:P9)</f>
        <v>1770.3998506295218</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0.19222568023517581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50.636537666858679</v>
      </c>
      <c r="C17" s="1032">
        <f>'SEAP template'!C87</f>
        <v>10647.068819476</v>
      </c>
      <c r="D17" s="1030">
        <f>'SEAP template'!D87</f>
        <v>12524.930018099967</v>
      </c>
      <c r="E17" s="1030">
        <f>'SEAP template'!E87</f>
        <v>0</v>
      </c>
      <c r="F17" s="1030">
        <f>'SEAP template'!F87</f>
        <v>0</v>
      </c>
      <c r="G17" s="1030">
        <f>'SEAP template'!G87</f>
        <v>0</v>
      </c>
      <c r="H17" s="1030">
        <f>'SEAP template'!H87</f>
        <v>0</v>
      </c>
      <c r="I17" s="1030">
        <f>'SEAP template'!I87</f>
        <v>59.567482974858919</v>
      </c>
      <c r="J17" s="1030">
        <f>'SEAP template'!J87</f>
        <v>0</v>
      </c>
      <c r="K17" s="1030">
        <f>'SEAP template'!K87</f>
        <v>0</v>
      </c>
      <c r="L17" s="1030">
        <f>'SEAP template'!L87</f>
        <v>0</v>
      </c>
      <c r="M17" s="1030">
        <f>'SEAP template'!M87</f>
        <v>0</v>
      </c>
      <c r="N17" s="1030">
        <f>'SEAP template'!N87</f>
        <v>0</v>
      </c>
      <c r="O17" s="1030">
        <f>'SEAP template'!O87</f>
        <v>0</v>
      </c>
      <c r="P17" s="1030">
        <f>'SEAP template'!Q87</f>
        <v>2530.0358636561937</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50.636537666858679</v>
      </c>
      <c r="C20" s="1031">
        <f>SUM(C17:C19)</f>
        <v>10647.068819476</v>
      </c>
      <c r="D20" s="1031">
        <f t="shared" ref="D20:H20" si="2">SUM(D17:D19)</f>
        <v>12524.930018099967</v>
      </c>
      <c r="E20" s="1031">
        <f t="shared" si="2"/>
        <v>0</v>
      </c>
      <c r="F20" s="1031">
        <f t="shared" si="2"/>
        <v>0</v>
      </c>
      <c r="G20" s="1031">
        <f t="shared" si="2"/>
        <v>0</v>
      </c>
      <c r="H20" s="1031">
        <f t="shared" si="2"/>
        <v>0</v>
      </c>
      <c r="I20" s="1031">
        <f>SUM(I17:I19)</f>
        <v>59.567482974858919</v>
      </c>
      <c r="J20" s="1031">
        <f>SUM(J17:J19)</f>
        <v>0</v>
      </c>
      <c r="K20" s="1031">
        <f t="shared" ref="K20:L20" si="3">SUM(K17:K19)</f>
        <v>0</v>
      </c>
      <c r="L20" s="1031">
        <f t="shared" si="3"/>
        <v>0</v>
      </c>
      <c r="M20" s="1031">
        <f>SUM(M17:M19)</f>
        <v>0</v>
      </c>
      <c r="N20" s="1031">
        <f>SUM(N17:N19)</f>
        <v>0</v>
      </c>
      <c r="O20" s="1031">
        <f>SUM(O17:O19)</f>
        <v>0</v>
      </c>
      <c r="P20" s="1031">
        <f>SUM(P17:P19)</f>
        <v>2530.0358636561937</v>
      </c>
    </row>
    <row r="21" spans="1:16">
      <c r="B21" s="887"/>
    </row>
    <row r="22" spans="1:16">
      <c r="A22" s="464" t="s">
        <v>797</v>
      </c>
      <c r="B22" s="781" t="s">
        <v>795</v>
      </c>
      <c r="C22" s="781">
        <f ca="1">'EF ele_warmte'!B22</f>
        <v>0.23650266848739562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0.19222568023517581</v>
      </c>
      <c r="C17" s="501">
        <f ca="1">'EF ele_warmte'!B22</f>
        <v>0.23650266848739562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3</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57.2</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2020-06-20T15:35:45Z</dcterms:modified>
</cp:coreProperties>
</file>