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<sst xmlns="http://schemas.openxmlformats.org/spreadsheetml/2006/main" count="2402" uniqueCount="888">
  <si>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</si>
  <si>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</si>
  <si>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</si>
  <si>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</si>
  <si>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</si>
  <si>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</si>
  <si>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</si>
  <si>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</si>
  <si>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</si>
  <si>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</si>
  <si>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</si>
  <si>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</si>
  <si>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</si>
  <si>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</si>
  <si>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</si>
  <si>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</si>
  <si>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</si>
  <si>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</si>
  <si>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</si>
  <si>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</si>
  <si>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</si>
  <si>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</si>
  <si>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</si>
  <si>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</si>
  <si>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</si>
  <si>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</si>
  <si>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</si>
  <si>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</si>
  <si>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</si>
  <si>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</si>
  <si>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</si>
  <si>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</si>
  <si>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</si>
  <si>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</si>
  <si>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</si>
  <si>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</si>
  <si>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</si>
  <si>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</si>
  <si>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</si>
  <si>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</si>
  <si>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</si>
  <si>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</si>
  <si>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</si>
  <si>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</si>
  <si>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</si>
  <si>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</si>
  <si>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</si>
  <si>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</si>
  <si>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</si>
  <si>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</si>
  <si>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</si>
  <si>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</si>
  <si>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</si>
  <si>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</si>
  <si>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</si>
  <si>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</si>
  <si>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</si>
  <si>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</si>
  <si>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</si>
  <si>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</si>
  <si>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</si>
  <si>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</si>
  <si>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</si>
  <si>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</si>
  <si>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</si>
  <si>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</si>
  <si>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</si>
  <si>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</si>
  <si>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</si>
  <si>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</si>
  <si>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</si>
  <si>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</si>
  <si>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</si>
  <si>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</si>
  <si>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</si>
  <si>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</si>
  <si>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</si>
  <si>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</si>
  <si>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</si>
  <si>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</si>
  <si>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</si>
  <si>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</si>
  <si>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</si>
  <si>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</si>
  <si>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</si>
  <si>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</si>
  <si>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</si>
  <si>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</si>
  <si>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</si>
  <si>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</si>
  <si>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</si>
  <si>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</si>
  <si>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</si>
  <si>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</si>
  <si>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</si>
  <si>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</si>
  <si>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</si>
  <si>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</si>
  <si>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</si>
  <si>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</si>
  <si>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</si>
  <si>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</si>
  <si>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</si>
  <si>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</si>
  <si>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</si>
  <si>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</si>
  <si>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</si>
  <si>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</si>
  <si>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</si>
  <si>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</si>
  <si>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</si>
  <si>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</si>
  <si>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</si>
  <si>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</si>
  <si>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</si>
  <si>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</si>
  <si>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</si>
  <si>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</si>
  <si>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</si>
  <si>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</si>
  <si>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</si>
  <si>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</si>
  <si>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</si>
  <si>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</si>
  <si>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</si>
  <si>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</si>
  <si>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</si>
  <si>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</si>
  <si>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</si>
  <si>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</si>
  <si>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</si>
  <si>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</si>
  <si>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</si>
  <si>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</si>
  <si>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</si>
  <si>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</si>
  <si>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</si>
  <si>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</si>
  <si>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</si>
  <si>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</si>
  <si>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</si>
  <si>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</si>
  <si>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</si>
  <si>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</si>
  <si>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</si>
  <si>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</si>
  <si>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</si>
  <si>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</si>
  <si>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</si>
  <si>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</si>
  <si>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</si>
  <si>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</si>
  <si>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</si>
  <si>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</si>
  <si>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</si>
  <si>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</si>
  <si>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</si>
  <si>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</si>
  <si>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</si>
  <si>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</si>
  <si>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</si>
  <si>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</si>
  <si>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</si>
  <si>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</si>
  <si>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</si>
  <si>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</si>
  <si>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</si>
  <si>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</si>
  <si>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</si>
  <si>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</si>
  <si>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</si>
  <si>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</si>
  <si>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</si>
  <si>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</si>
  <si>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</si>
  <si>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</si>
  <si>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</si>
  <si>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</si>
  <si>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</si>
  <si>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</si>
  <si>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</si>
  <si>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</si>
  <si>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</si>
  <si>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</si>
  <si>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</si>
  <si>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</si>
  <si>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</si>
  <si>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</si>
  <si>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</si>
  <si>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</si>
  <si>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</si>
  <si>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</si>
  <si>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</si>
  <si>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</si>
  <si>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</si>
  <si>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</si>
  <si>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</si>
  <si>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</si>
  <si>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</si>
  <si>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</si>
  <si>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</si>
  <si>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</si>
  <si>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</si>
  <si>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</si>
  <si>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</si>
  <si>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</si>
  <si>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</si>
  <si>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</si>
  <si>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</si>
  <si>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</si>
  <si>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</si>
  <si>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</si>
  <si>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</si>
  <si>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</si>
  <si>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</si>
  <si>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</si>
  <si>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</si>
  <si>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</si>
  <si>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</si>
  <si>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</si>
  <si>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</si>
  <si>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</si>
  <si>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</si>
  <si>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</si>
  <si>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</si>
  <si>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</si>
  <si>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</si>
  <si>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</si>
  <si>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</si>
  <si>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</si>
  <si>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</si>
  <si>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</si>
  <si>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</si>
  <si>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</si>
  <si>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</si>
  <si>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</si>
  <si>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</si>
  <si>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</si>
  <si>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</si>
  <si>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</si>
  <si>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</si>
  <si>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</si>
  <si>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</si>
  <si>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</si>
  <si>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</si>
  <si>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</si>
  <si>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</si>
  <si>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</si>
  <si>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</si>
  <si>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</si>
  <si>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</si>
  <si>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</si>
  <si>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</si>
  <si>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</si>
  <si>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</si>
  <si>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</si>
  <si>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</si>
  <si>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</si>
  <si>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</si>
  <si>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</si>
  <si>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</si>
  <si>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</si>
  <si>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</si>
  <si>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</si>
  <si>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</si>
  <si>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</si>
  <si>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</si>
  <si>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</si>
  <si>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</si>
  <si>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</si>
  <si>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</si>
  <si>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</si>
  <si>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</si>
  <si>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</si>
  <si>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</si>
  <si>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</si>
  <si>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</si>
  <si>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</si>
  <si>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</si>
  <si>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</si>
  <si>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</si>
  <si>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</si>
  <si>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</si>
  <si>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</si>
  <si>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</si>
  <si>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</si>
  <si>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</si>
  <si>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</si>
  <si>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</si>
  <si>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</si>
  <si>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</si>
  <si>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</si>
  <si>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</si>
  <si>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</si>
  <si>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</si>
  <si>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</si>
  <si>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</si>
  <si>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</si>
  <si>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</si>
  <si>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</si>
  <si>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</si>
  <si>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</si>
  <si>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</si>
  <si>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</si>
  <si>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</si>
  <si>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</si>
  <si>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</si>
  <si>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</si>
  <si>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</si>
  <si>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</si>
  <si>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</si>
  <si>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</si>
  <si>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</si>
  <si>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</si>
  <si>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</si>
  <si>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</si>
  <si>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</si>
  <si>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</si>
  <si>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</si>
  <si>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</si>
  <si>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</si>
  <si>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</si>
  <si>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</si>
  <si>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</si>
  <si>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</si>
  <si>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</si>
  <si>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</si>
  <si>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</si>
  <si>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</si>
  <si>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</si>
  <si>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</si>
  <si>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</si>
  <si>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</si>
  <si>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</si>
  <si>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</si>
  <si>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</si>
  <si>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</si>
  <si>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</si>
  <si>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</si>
  <si>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</si>
  <si>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</si>
  <si>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</si>
  <si>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</si>
  <si>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</si>
  <si>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</si>
  <si>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</si>
  <si>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</si>
  <si>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</si>
  <si>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</si>
  <si>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</si>
  <si>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</si>
  <si>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</si>
  <si>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</si>
  <si>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</si>
  <si>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</si>
  <si>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</si>
  <si>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</si>
  <si>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</si>
  <si>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</si>
  <si>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</si>
  <si>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</si>
  <si>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</si>
  <si>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</si>
  <si>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</si>
  <si>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</si>
  <si>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</si>
  <si>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</si>
  <si>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</si>
  <si>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</si>
  <si>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</si>
  <si>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</si>
  <si>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</si>
  <si>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</si>
  <si>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</si>
  <si>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</si>
  <si>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</si>
  <si>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</si>
  <si>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</si>
  <si>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</si>
  <si>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</si>
  <si>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</si>
  <si>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</si>
  <si>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</si>
  <si>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</si>
  <si>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</si>
  <si>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</si>
  <si>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</si>
  <si>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</si>
  <si>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</si>
  <si>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</si>
  <si>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</si>
  <si>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</si>
  <si>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</si>
  <si>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</si>
  <si>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</si>
  <si>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</si>
  <si>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</si>
  <si>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</si>
  <si>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</si>
  <si>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</si>
  <si>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</si>
  <si>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</si>
  <si>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</si>
  <si>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</si>
  <si>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</si>
  <si>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</si>
  <si>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</si>
  <si>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</si>
  <si>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</si>
  <si>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</si>
  <si>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</si>
  <si>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</si>
  <si>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</si>
  <si>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</si>
  <si>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</si>
  <si>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</si>
  <si>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</si>
  <si>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</si>
  <si>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</si>
  <si>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</si>
  <si>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</si>
  <si>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</si>
  <si>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</si>
  <si>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</si>
  <si>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</si>
  <si>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</si>
  <si>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</si>
  <si>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</si>
  <si>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</si>
  <si>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</si>
  <si>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</si>
  <si>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</si>
  <si>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</si>
  <si>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</si>
  <si>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</si>
  <si>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</si>
  <si>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</si>
  <si>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</si>
  <si>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</si>
  <si>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</si>
  <si>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</si>
  <si>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</si>
  <si>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</si>
  <si>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</si>
  <si>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</si>
  <si>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</si>
  <si>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</si>
  <si>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</si>
  <si>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</si>
  <si>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</si>
  <si>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</si>
  <si>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</si>
  <si>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</si>
  <si>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</si>
  <si>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</si>
  <si>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</si>
  <si>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</si>
  <si>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</si>
  <si>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</si>
  <si>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</si>
  <si>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</si>
  <si>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</si>
  <si>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</si>
  <si>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</si>
  <si>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</si>
  <si>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</si>
  <si>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</si>
  <si>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</si>
  <si>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</si>
  <si>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</si>
  <si>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</si>
  <si>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</si>
  <si>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</si>
  <si>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</si>
  <si>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</si>
  <si>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</si>
  <si>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</si>
  <si>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</si>
  <si>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</si>
  <si>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</si>
  <si>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</si>
  <si>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</si>
  <si>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</si>
  <si>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</si>
  <si>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</si>
  <si>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</si>
  <si>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</si>
  <si>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</si>
  <si>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</si>
  <si>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</si>
  <si>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</si>
  <si>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</si>
  <si>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</si>
  <si>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</si>
  <si>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</si>
  <si>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</si>
  <si>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</si>
  <si>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</si>
  <si>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</si>
  <si>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</si>
  <si>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</si>
  <si>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</si>
  <si>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</si>
  <si>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</si>
  <si>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</si>
  <si>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</si>
  <si>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</si>
  <si>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</si>
  <si>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</si>
  <si>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</si>
  <si>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</si>
  <si>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</si>
  <si>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</si>
  <si>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</si>
  <si>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</si>
  <si>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</si>
  <si>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</si>
  <si>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</si>
  <si>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</si>
  <si>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</si>
  <si>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</si>
  <si>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</si>
  <si>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</si>
  <si>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</si>
  <si>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</si>
  <si>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</si>
  <si>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</si>
  <si>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</si>
  <si>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</si>
  <si>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</si>
  <si>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</si>
  <si>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</si>
  <si>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</si>
  <si>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</si>
  <si>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</si>
  <si>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</si>
  <si>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</si>
  <si>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</si>
  <si>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</si>
  <si>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</si>
  <si>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</si>
  <si>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</si>
  <si>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</si>
  <si>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</si>
  <si>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</si>
  <si>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</si>
  <si>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</si>
  <si>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</si>
  <si>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</si>
  <si>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</si>
  <si>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</si>
  <si>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</si>
  <si>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</si>
  <si>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</si>
  <si>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</si>
  <si>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</si>
  <si>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</si>
  <si>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</si>
  <si>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</si>
  <si>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</si>
  <si>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</si>
  <si>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</si>
  <si>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</si>
  <si>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</si>
  <si>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</si>
  <si>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</si>
  <si>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</si>
  <si>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</si>
  <si>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</si>
  <si>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</si>
  <si>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</si>
  <si>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</si>
  <si>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</si>
  <si>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</si>
  <si>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</si>
  <si>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</si>
  <si>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</si>
  <si>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</si>
  <si>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</si>
  <si>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</si>
  <si>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</si>
  <si>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</si>
  <si>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</si>
  <si>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</si>
  <si>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</si>
  <si>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</si>
  <si>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</si>
  <si>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</si>
  <si>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</si>
  <si>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</si>
  <si>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</si>
  <si>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</si>
  <si>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</si>
  <si>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</si>
  <si>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</si>
  <si>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</si>
  <si>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</si>
  <si>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</si>
  <si>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</si>
  <si>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</si>
  <si>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</si>
  <si>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</si>
  <si>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</si>
  <si>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</si>
  <si>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</si>
  <si>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</si>
  <si>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</si>
  <si>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</si>
  <si>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</si>
  <si>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</si>
  <si>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</si>
  <si>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</si>
  <si>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</si>
  <si>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</si>
  <si>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</si>
  <si>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</si>
  <si>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</si>
  <si>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</si>
  <si>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</si>
  <si>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</si>
  <si>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</si>
  <si>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</si>
  <si>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</si>
  <si>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</si>
  <si>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</si>
  <si>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</si>
  <si>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</si>
  <si>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</si>
  <si>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</si>
  <si>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</si>
  <si>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</si>
  <si>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</si>
  <si>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</si>
  <si>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</si>
  <si>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</si>
  <si>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</si>
  <si>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</si>
  <si>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</si>
  <si>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</si>
  <si>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</si>
  <si>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</si>
  <si>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</si>
  <si>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</si>
  <si>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</si>
  <si>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</si>
  <si>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</si>
  <si>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</si>
  <si>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</si>
  <si>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</si>
  <si>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</si>
  <si>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</si>
  <si>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</si>
  <si>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</si>
  <si>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</si>
  <si>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</si>
  <si>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</si>
  <si>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</si>
  <si>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</si>
  <si>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</si>
  <si>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</si>
  <si>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</si>
  <si>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</si>
  <si>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</si>
  <si>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</si>
  <si>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</si>
  <si>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</si>
  <si>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</si>
  <si>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</si>
  <si>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</si>
  <si>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</si>
  <si>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</si>
  <si>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</si>
  <si>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</si>
  <si>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</si>
  <si>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</si>
  <si>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</si>
  <si>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</si>
  <si>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</si>
  <si>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</si>
  <si>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</si>
  <si>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</si>
  <si>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</si>
  <si>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</si>
  <si>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</si>
  <si>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</si>
  <si>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</si>
  <si>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</si>
  <si>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</si>
  <si>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</si>
  <si>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</si>
  <si>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</si>
  <si>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</si>
  <si>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</si>
  <si>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</si>
  <si>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</si>
  <si>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</si>
  <si>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</si>
  <si>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</si>
  <si>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</si>
  <si>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</si>
  <si>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</si>
  <si>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</si>
  <si>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</si>
  <si>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</si>
  <si>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</si>
  <si>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</si>
  <si>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</si>
  <si>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</si>
  <si>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</si>
  <si>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</si>
  <si>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</si>
  <si>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</si>
  <si>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</si>
  <si>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</si>
  <si>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</si>
  <si>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</si>
  <si>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</si>
  <si>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</si>
  <si>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</si>
  <si>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</si>
  <si>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</si>
  <si>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</si>
  <si>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</si>
  <si>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</si>
  <si>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</si>
  <si>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</si>
  <si>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</si>
  <si>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</si>
  <si>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</si>
  <si>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</si>
  <si>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</si>
  <si>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</si>
  <si>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</si>
  <si>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</si>
  <si>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</si>
  <si>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</si>
  <si>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</si>
  <si>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</si>
  <si>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</si>
  <si>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</si>
  <si>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</si>
  <si>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</si>
  <si>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</si>
  <si>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</si>
  <si>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</si>
  <si>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</si>
  <si>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</si>
  <si>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</si>
  <si>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</si>
  <si>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</si>
  <si>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</si>
  <si>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</si>
  <si>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</si>
  <si>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</si>
  <si>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</si>
  <si>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</si>
  <si>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</si>
  <si>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</si>
  <si>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</si>
  <si>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</si>
  <si>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</si>
  <si>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</si>
  <si>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</si>
  <si>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</si>
  <si>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</si>
  <si>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</si>
  <si>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</si>
  <si>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</si>
  <si>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</si>
  <si>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</si>
  <si>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</si>
  <si>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</si>
  <si>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</si>
  <si>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</si>
  <si>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</si>
  <si>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</si>
  <si>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</si>
  <si>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</si>
  <si>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</si>
  <si>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</si>
  <si>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</si>
  <si>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</si>
  <si>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</si>
  <si>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</si>
  <si>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</si>
  <si>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</si>
  <si>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</si>
  <si>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</si>
  <si>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</si>
  <si>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</si>
  <si>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</si>
  <si>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</si>
  <si>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</si>
  <si>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</si>
  <si>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</si>
  <si>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</si>
  <si>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</si>
  <si>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</si>
  <si>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</si>
  <si>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</si>
  <si>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</si>
  <si>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</si>
  <si>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</si>
  <si>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</si>
  <si>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</si>
  <si>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</si>
  <si>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</si>
  <si>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</si>
  <si>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</si>
  <si>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</si>
  <si>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</si>
  <si>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</si>
  <si>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</si>
  <si>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</si>
  <si>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</si>
  <si>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</si>
  <si>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</si>
  <si>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</si>
  <si>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</si>
  <si>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</si>
  <si>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</si>
  <si>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</si>
  <si>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</si>
  <si>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</si>
  <si>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</si>
  <si>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</si>
  <si>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</si>
  <si>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</si>
  <si>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</si>
  <si>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</si>
  <si>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</si>
  <si>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</si>
  <si>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</si>
  <si>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</si>
  <si>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</si>
  <si>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</si>
  <si>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</si>
  <si>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</si>
  <si>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</si>
  <si>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</si>
  <si>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</si>
  <si>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</si>
  <si>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</si>
  <si>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</si>
  <si>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</si>
  <si>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</si>
  <si>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</si>
  <si>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</si>
  <si>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</si>
  <si>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</si>
  <si>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</si>
  <si>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</si>
  <si>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</si>
  <si>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</si>
  <si>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</si>
  <si>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</si>
  <si>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</si>
  <si>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</si>
  <si>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</si>
  <si>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</si>
  <si>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</si>
  <si>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</si>
  <si>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</si>
  <si>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</si>
  <si>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</si>
  <si>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</si>
  <si>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</si>
  <si>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</si>
  <si>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</si>
  <si>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</si>
  <si>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</si>
  <si>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</si>
  <si>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</si>
  <si>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</si>
  <si>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</si>
  <si>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</si>
  <si>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</si>
  <si>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</si>
  <si>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</si>
  <si>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</si>
  <si>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</si>
  <si>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</si>
  <si>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</si>
  <si>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</si>
  <si>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</si>
  <si>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42028</t>
  </si>
  <si>
    <t>ZELE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</si>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</sst>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152670.72560735705</c:v>
                </c:pt>
                <c:pt idx="1">
                  <c:v>52527.716580174005</c:v>
                </c:pt>
                <c:pt idx="2">
                  <c:v>1364.0150000000001</c:v>
                </c:pt>
                <c:pt idx="3">
                  <c:v>8606.6329938717954</c:v>
                </c:pt>
                <c:pt idx="4">
                  <c:v>130635.55923467096</c:v>
                </c:pt>
                <c:pt idx="5">
                  <c:v>123842.20858122663</c:v>
                </c:pt>
                <c:pt idx="6">
                  <c:v>257.54803702011282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152670.72560735705</c:v>
                </c:pt>
                <c:pt idx="1">
                  <c:v>52527.716580174005</c:v>
                </c:pt>
                <c:pt idx="2">
                  <c:v>1364.0150000000001</c:v>
                </c:pt>
                <c:pt idx="3">
                  <c:v>8606.6329938717954</c:v>
                </c:pt>
                <c:pt idx="4">
                  <c:v>130635.55923467096</c:v>
                </c:pt>
                <c:pt idx="5">
                  <c:v>123842.20858122663</c:v>
                </c:pt>
                <c:pt idx="6">
                  <c:v>257.54803702011282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26534.609329914874</c:v>
                </c:pt>
                <c:pt idx="1">
                  <c:v>9917.6674440907227</c:v>
                </c:pt>
                <c:pt idx="2">
                  <c:v>226.91575528325512</c:v>
                </c:pt>
                <c:pt idx="3">
                  <c:v>2125.8639129370918</c:v>
                </c:pt>
                <c:pt idx="4">
                  <c:v>23980.422211008452</c:v>
                </c:pt>
                <c:pt idx="5">
                  <c:v>30840.467443821755</c:v>
                </c:pt>
                <c:pt idx="6">
                  <c:v>65.145122426887539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26534.609329914874</c:v>
                </c:pt>
                <c:pt idx="1">
                  <c:v>9917.6674440907227</c:v>
                </c:pt>
                <c:pt idx="2">
                  <c:v>226.91575528325512</c:v>
                </c:pt>
                <c:pt idx="3">
                  <c:v>2125.8639129370918</c:v>
                </c:pt>
                <c:pt idx="4">
                  <c:v>23980.422211008452</c:v>
                </c:pt>
                <c:pt idx="5">
                  <c:v>30840.467443821755</c:v>
                </c:pt>
                <c:pt idx="6">
                  <c:v>65.145122426887539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42028</v>
      </c>
      <c r="B6" s="390"/>
      <c r="C6" s="391"/>
    </row>
    <row r="7" spans="1:7" s="388" customFormat="1" ht="15.75" customHeight="1">
      <c r="A7" s="392" t="str">
        <f>txtMunicipality</f>
        <v>ZELE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0.16635869494342445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0.16635869494342445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8397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1962.99</v>
      </c>
      <c r="C14" s="330"/>
      <c r="D14" s="330"/>
      <c r="E14" s="330"/>
      <c r="F14" s="330"/>
    </row>
    <row r="15" spans="1:6">
      <c r="A15" s="1298" t="s">
        <v>183</v>
      </c>
      <c r="B15" s="1299">
        <v>40</v>
      </c>
      <c r="C15" s="330"/>
      <c r="D15" s="330"/>
      <c r="E15" s="330"/>
      <c r="F15" s="330"/>
    </row>
    <row r="16" spans="1:6">
      <c r="A16" s="1298" t="s">
        <v>6</v>
      </c>
      <c r="B16" s="1299">
        <v>1440</v>
      </c>
      <c r="C16" s="330"/>
      <c r="D16" s="330"/>
      <c r="E16" s="330"/>
      <c r="F16" s="330"/>
    </row>
    <row r="17" spans="1:6">
      <c r="A17" s="1298" t="s">
        <v>7</v>
      </c>
      <c r="B17" s="1299">
        <v>795</v>
      </c>
      <c r="C17" s="330"/>
      <c r="D17" s="330"/>
      <c r="E17" s="330"/>
      <c r="F17" s="330"/>
    </row>
    <row r="18" spans="1:6">
      <c r="A18" s="1298" t="s">
        <v>8</v>
      </c>
      <c r="B18" s="1299">
        <v>1409</v>
      </c>
      <c r="C18" s="330"/>
      <c r="D18" s="330"/>
      <c r="E18" s="330"/>
      <c r="F18" s="330"/>
    </row>
    <row r="19" spans="1:6">
      <c r="A19" s="1298" t="s">
        <v>9</v>
      </c>
      <c r="B19" s="1299">
        <v>1376</v>
      </c>
      <c r="C19" s="330"/>
      <c r="D19" s="330"/>
      <c r="E19" s="330"/>
      <c r="F19" s="330"/>
    </row>
    <row r="20" spans="1:6">
      <c r="A20" s="1298" t="s">
        <v>10</v>
      </c>
      <c r="B20" s="1299">
        <v>1393</v>
      </c>
      <c r="C20" s="330"/>
      <c r="D20" s="330"/>
      <c r="E20" s="330"/>
      <c r="F20" s="330"/>
    </row>
    <row r="21" spans="1:6">
      <c r="A21" s="1298" t="s">
        <v>11</v>
      </c>
      <c r="B21" s="1299">
        <v>2719</v>
      </c>
      <c r="C21" s="330"/>
      <c r="D21" s="330"/>
      <c r="E21" s="330"/>
      <c r="F21" s="330"/>
    </row>
    <row r="22" spans="1:6">
      <c r="A22" s="1298" t="s">
        <v>12</v>
      </c>
      <c r="B22" s="1299">
        <v>5079</v>
      </c>
      <c r="C22" s="330"/>
      <c r="D22" s="330"/>
      <c r="E22" s="330"/>
      <c r="F22" s="330"/>
    </row>
    <row r="23" spans="1:6">
      <c r="A23" s="1298" t="s">
        <v>13</v>
      </c>
      <c r="B23" s="1299">
        <v>47</v>
      </c>
      <c r="C23" s="330"/>
      <c r="D23" s="330"/>
      <c r="E23" s="330"/>
      <c r="F23" s="330"/>
    </row>
    <row r="24" spans="1:6">
      <c r="A24" s="1298" t="s">
        <v>14</v>
      </c>
      <c r="B24" s="1299">
        <v>4</v>
      </c>
      <c r="C24" s="330"/>
      <c r="D24" s="330"/>
      <c r="E24" s="330"/>
      <c r="F24" s="330"/>
    </row>
    <row r="25" spans="1:6">
      <c r="A25" s="1298" t="s">
        <v>15</v>
      </c>
      <c r="B25" s="1299">
        <v>641</v>
      </c>
      <c r="C25" s="330"/>
      <c r="D25" s="330"/>
      <c r="E25" s="330"/>
      <c r="F25" s="330"/>
    </row>
    <row r="26" spans="1:6">
      <c r="A26" s="1298" t="s">
        <v>16</v>
      </c>
      <c r="B26" s="1299">
        <v>48</v>
      </c>
      <c r="C26" s="330"/>
      <c r="D26" s="330"/>
      <c r="E26" s="330"/>
      <c r="F26" s="330"/>
    </row>
    <row r="27" spans="1:6">
      <c r="A27" s="1298" t="s">
        <v>17</v>
      </c>
      <c r="B27" s="1299">
        <v>262</v>
      </c>
      <c r="C27" s="330"/>
      <c r="D27" s="330"/>
      <c r="E27" s="330"/>
      <c r="F27" s="330"/>
    </row>
    <row r="28" spans="1:6" s="43" customFormat="1">
      <c r="A28" s="1300" t="s">
        <v>18</v>
      </c>
      <c r="B28" s="1301">
        <v>128973</v>
      </c>
      <c r="C28" s="336"/>
      <c r="D28" s="336"/>
      <c r="E28" s="336"/>
      <c r="F28" s="336"/>
    </row>
    <row r="29" spans="1:6">
      <c r="A29" s="1300" t="s">
        <v>705</v>
      </c>
      <c r="B29" s="1301">
        <v>80</v>
      </c>
      <c r="C29" s="336"/>
      <c r="D29" s="336"/>
      <c r="E29" s="336"/>
      <c r="F29" s="336"/>
    </row>
    <row r="30" spans="1:6">
      <c r="A30" s="1293" t="s">
        <v>706</v>
      </c>
      <c r="B30" s="1302">
        <v>38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47928.786999999997</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2055.7269999999999</v>
      </c>
    </row>
    <row r="39" spans="1:6">
      <c r="A39" s="1298" t="s">
        <v>29</v>
      </c>
      <c r="B39" s="1298" t="s">
        <v>30</v>
      </c>
      <c r="C39" s="1299">
        <v>6425</v>
      </c>
      <c r="D39" s="1299">
        <v>99244634.040000007</v>
      </c>
      <c r="E39" s="1299">
        <v>8351</v>
      </c>
      <c r="F39" s="1299">
        <v>31101824.91</v>
      </c>
    </row>
    <row r="40" spans="1:6">
      <c r="A40" s="1298" t="s">
        <v>29</v>
      </c>
      <c r="B40" s="1298" t="s">
        <v>28</v>
      </c>
      <c r="C40" s="1299">
        <v>1</v>
      </c>
      <c r="D40" s="1299">
        <v>31564.447</v>
      </c>
      <c r="E40" s="1299">
        <v>1</v>
      </c>
      <c r="F40" s="1299">
        <v>9927</v>
      </c>
    </row>
    <row r="41" spans="1:6">
      <c r="A41" s="1298" t="s">
        <v>31</v>
      </c>
      <c r="B41" s="1298" t="s">
        <v>32</v>
      </c>
      <c r="C41" s="1299">
        <v>127</v>
      </c>
      <c r="D41" s="1299">
        <v>3598726.6660000002</v>
      </c>
      <c r="E41" s="1299">
        <v>249</v>
      </c>
      <c r="F41" s="1299">
        <v>3292291.9449999998</v>
      </c>
    </row>
    <row r="42" spans="1:6">
      <c r="A42" s="1298" t="s">
        <v>31</v>
      </c>
      <c r="B42" s="1298" t="s">
        <v>33</v>
      </c>
      <c r="C42" s="1299">
        <v>0</v>
      </c>
      <c r="D42" s="1299">
        <v>0</v>
      </c>
      <c r="E42" s="1299">
        <v>3</v>
      </c>
      <c r="F42" s="1299">
        <v>985308.81099999999</v>
      </c>
    </row>
    <row r="43" spans="1:6">
      <c r="A43" s="1298" t="s">
        <v>31</v>
      </c>
      <c r="B43" s="1298" t="s">
        <v>34</v>
      </c>
      <c r="C43" s="1299">
        <v>0</v>
      </c>
      <c r="D43" s="1299">
        <v>0</v>
      </c>
      <c r="E43" s="1299">
        <v>0</v>
      </c>
      <c r="F43" s="1299">
        <v>0</v>
      </c>
    </row>
    <row r="44" spans="1:6">
      <c r="A44" s="1298" t="s">
        <v>31</v>
      </c>
      <c r="B44" s="1298" t="s">
        <v>35</v>
      </c>
      <c r="C44" s="1299">
        <v>5</v>
      </c>
      <c r="D44" s="1299">
        <v>203470.79199999999</v>
      </c>
      <c r="E44" s="1299">
        <v>17</v>
      </c>
      <c r="F44" s="1299">
        <v>1716137.62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6</v>
      </c>
      <c r="F47" s="1299">
        <v>973285.14</v>
      </c>
    </row>
    <row r="48" spans="1:6">
      <c r="A48" s="1298" t="s">
        <v>31</v>
      </c>
      <c r="B48" s="1298" t="s">
        <v>28</v>
      </c>
      <c r="C48" s="1299">
        <v>37</v>
      </c>
      <c r="D48" s="1299">
        <v>30663666.98</v>
      </c>
      <c r="E48" s="1299">
        <v>44</v>
      </c>
      <c r="F48" s="1299">
        <v>39481703.759999998</v>
      </c>
    </row>
    <row r="49" spans="1:6">
      <c r="A49" s="1298" t="s">
        <v>31</v>
      </c>
      <c r="B49" s="1298" t="s">
        <v>39</v>
      </c>
      <c r="C49" s="1299">
        <v>0</v>
      </c>
      <c r="D49" s="1299">
        <v>0</v>
      </c>
      <c r="E49" s="1299">
        <v>6</v>
      </c>
      <c r="F49" s="1299">
        <v>18312749.030000001</v>
      </c>
    </row>
    <row r="50" spans="1:6">
      <c r="A50" s="1298" t="s">
        <v>31</v>
      </c>
      <c r="B50" s="1298" t="s">
        <v>40</v>
      </c>
      <c r="C50" s="1299">
        <v>19</v>
      </c>
      <c r="D50" s="1299">
        <v>9450606.2210000008</v>
      </c>
      <c r="E50" s="1299">
        <v>23</v>
      </c>
      <c r="F50" s="1299">
        <v>8868587.1760000009</v>
      </c>
    </row>
    <row r="51" spans="1:6">
      <c r="A51" s="1298" t="s">
        <v>41</v>
      </c>
      <c r="B51" s="1298" t="s">
        <v>42</v>
      </c>
      <c r="C51" s="1299">
        <v>14</v>
      </c>
      <c r="D51" s="1299">
        <v>193712.054</v>
      </c>
      <c r="E51" s="1299">
        <v>86</v>
      </c>
      <c r="F51" s="1299">
        <v>1535881.0449999999</v>
      </c>
    </row>
    <row r="52" spans="1:6">
      <c r="A52" s="1298" t="s">
        <v>41</v>
      </c>
      <c r="B52" s="1298" t="s">
        <v>28</v>
      </c>
      <c r="C52" s="1299">
        <v>11</v>
      </c>
      <c r="D52" s="1299">
        <v>567325.25300000003</v>
      </c>
      <c r="E52" s="1299">
        <v>10</v>
      </c>
      <c r="F52" s="1299">
        <v>100239.54300000001</v>
      </c>
    </row>
    <row r="53" spans="1:6">
      <c r="A53" s="1298" t="s">
        <v>43</v>
      </c>
      <c r="B53" s="1298" t="s">
        <v>44</v>
      </c>
      <c r="C53" s="1299">
        <v>148</v>
      </c>
      <c r="D53" s="1299">
        <v>2463124.0279999999</v>
      </c>
      <c r="E53" s="1299">
        <v>309</v>
      </c>
      <c r="F53" s="1299">
        <v>2385046.0180000002</v>
      </c>
    </row>
    <row r="54" spans="1:6">
      <c r="A54" s="1298" t="s">
        <v>45</v>
      </c>
      <c r="B54" s="1298" t="s">
        <v>46</v>
      </c>
      <c r="C54" s="1299">
        <v>0</v>
      </c>
      <c r="D54" s="1299">
        <v>0</v>
      </c>
      <c r="E54" s="1299">
        <v>1</v>
      </c>
      <c r="F54" s="1299">
        <v>1364015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75</v>
      </c>
      <c r="D57" s="1299">
        <v>4927033.4139999999</v>
      </c>
      <c r="E57" s="1299">
        <v>65</v>
      </c>
      <c r="F57" s="1299">
        <v>702824.53399999999</v>
      </c>
    </row>
    <row r="58" spans="1:6">
      <c r="A58" s="1298" t="s">
        <v>48</v>
      </c>
      <c r="B58" s="1298" t="s">
        <v>50</v>
      </c>
      <c r="C58" s="1299">
        <v>37</v>
      </c>
      <c r="D58" s="1299">
        <v>2082122.808</v>
      </c>
      <c r="E58" s="1299">
        <v>52</v>
      </c>
      <c r="F58" s="1299">
        <v>485919.88799999998</v>
      </c>
    </row>
    <row r="59" spans="1:6">
      <c r="A59" s="1298" t="s">
        <v>48</v>
      </c>
      <c r="B59" s="1298" t="s">
        <v>51</v>
      </c>
      <c r="C59" s="1299">
        <v>107</v>
      </c>
      <c r="D59" s="1299">
        <v>3996728.841</v>
      </c>
      <c r="E59" s="1299">
        <v>187</v>
      </c>
      <c r="F59" s="1299">
        <v>8079195.8210000005</v>
      </c>
    </row>
    <row r="60" spans="1:6">
      <c r="A60" s="1298" t="s">
        <v>48</v>
      </c>
      <c r="B60" s="1298" t="s">
        <v>52</v>
      </c>
      <c r="C60" s="1299">
        <v>54</v>
      </c>
      <c r="D60" s="1299">
        <v>1616379.83</v>
      </c>
      <c r="E60" s="1299">
        <v>67</v>
      </c>
      <c r="F60" s="1299">
        <v>1083332.23</v>
      </c>
    </row>
    <row r="61" spans="1:6">
      <c r="A61" s="1298" t="s">
        <v>48</v>
      </c>
      <c r="B61" s="1298" t="s">
        <v>53</v>
      </c>
      <c r="C61" s="1299">
        <v>138</v>
      </c>
      <c r="D61" s="1299">
        <v>5571296.2340000002</v>
      </c>
      <c r="E61" s="1299">
        <v>282</v>
      </c>
      <c r="F61" s="1299">
        <v>3924503.82</v>
      </c>
    </row>
    <row r="62" spans="1:6">
      <c r="A62" s="1298" t="s">
        <v>48</v>
      </c>
      <c r="B62" s="1298" t="s">
        <v>54</v>
      </c>
      <c r="C62" s="1299">
        <v>16</v>
      </c>
      <c r="D62" s="1299">
        <v>2990668.4730000002</v>
      </c>
      <c r="E62" s="1299">
        <v>25</v>
      </c>
      <c r="F62" s="1299">
        <v>837791.73699999996</v>
      </c>
    </row>
    <row r="63" spans="1:6">
      <c r="A63" s="1298" t="s">
        <v>48</v>
      </c>
      <c r="B63" s="1298" t="s">
        <v>28</v>
      </c>
      <c r="C63" s="1299">
        <v>105</v>
      </c>
      <c r="D63" s="1299">
        <v>13261155.939999999</v>
      </c>
      <c r="E63" s="1299">
        <v>108</v>
      </c>
      <c r="F63" s="1299">
        <v>3138131.9440000001</v>
      </c>
    </row>
    <row r="64" spans="1:6">
      <c r="A64" s="1298" t="s">
        <v>55</v>
      </c>
      <c r="B64" s="1298" t="s">
        <v>56</v>
      </c>
      <c r="C64" s="1299">
        <v>0</v>
      </c>
      <c r="D64" s="1299">
        <v>0</v>
      </c>
      <c r="E64" s="1299">
        <v>0</v>
      </c>
      <c r="F64" s="1299">
        <v>0</v>
      </c>
    </row>
    <row r="65" spans="1:6">
      <c r="A65" s="1298" t="s">
        <v>55</v>
      </c>
      <c r="B65" s="1298" t="s">
        <v>28</v>
      </c>
      <c r="C65" s="1299">
        <v>4</v>
      </c>
      <c r="D65" s="1299">
        <v>123603.69100000001</v>
      </c>
      <c r="E65" s="1299">
        <v>3</v>
      </c>
      <c r="F65" s="1299">
        <v>22521.478999999999</v>
      </c>
    </row>
    <row r="66" spans="1:6">
      <c r="A66" s="1298" t="s">
        <v>55</v>
      </c>
      <c r="B66" s="1298" t="s">
        <v>57</v>
      </c>
      <c r="C66" s="1299">
        <v>0</v>
      </c>
      <c r="D66" s="1299">
        <v>0</v>
      </c>
      <c r="E66" s="1299">
        <v>7</v>
      </c>
      <c r="F66" s="1299">
        <v>158427.57399999999</v>
      </c>
    </row>
    <row r="67" spans="1:6">
      <c r="A67" s="1300" t="s">
        <v>55</v>
      </c>
      <c r="B67" s="1300" t="s">
        <v>58</v>
      </c>
      <c r="C67" s="1299">
        <v>0</v>
      </c>
      <c r="D67" s="1299">
        <v>0</v>
      </c>
      <c r="E67" s="1299">
        <v>0</v>
      </c>
      <c r="F67" s="1299">
        <v>0</v>
      </c>
    </row>
    <row r="68" spans="1:6">
      <c r="A68" s="1293" t="s">
        <v>55</v>
      </c>
      <c r="B68" s="1293" t="s">
        <v>59</v>
      </c>
      <c r="C68" s="1302">
        <v>6</v>
      </c>
      <c r="D68" s="1302">
        <v>1080605.2290000001</v>
      </c>
      <c r="E68" s="1302">
        <v>14</v>
      </c>
      <c r="F68" s="1302">
        <v>1073918.6059999999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59710483</v>
      </c>
      <c r="E73" s="450"/>
      <c r="F73" s="330"/>
    </row>
    <row r="74" spans="1:6">
      <c r="A74" s="1298" t="s">
        <v>63</v>
      </c>
      <c r="B74" s="1298" t="s">
        <v>647</v>
      </c>
      <c r="C74" s="1312" t="s">
        <v>649</v>
      </c>
      <c r="D74" s="1313">
        <v>5366866.5</v>
      </c>
      <c r="E74" s="450"/>
      <c r="F74" s="330"/>
    </row>
    <row r="75" spans="1:6">
      <c r="A75" s="1298" t="s">
        <v>64</v>
      </c>
      <c r="B75" s="1298" t="s">
        <v>646</v>
      </c>
      <c r="C75" s="1312" t="s">
        <v>650</v>
      </c>
      <c r="D75" s="1313">
        <v>25162916</v>
      </c>
      <c r="E75" s="450"/>
      <c r="F75" s="330"/>
    </row>
    <row r="76" spans="1:6">
      <c r="A76" s="1298" t="s">
        <v>64</v>
      </c>
      <c r="B76" s="1298" t="s">
        <v>647</v>
      </c>
      <c r="C76" s="1312" t="s">
        <v>651</v>
      </c>
      <c r="D76" s="1313">
        <v>928969.5</v>
      </c>
      <c r="E76" s="450"/>
      <c r="F76" s="330"/>
    </row>
    <row r="77" spans="1:6">
      <c r="A77" s="1298" t="s">
        <v>65</v>
      </c>
      <c r="B77" s="1298" t="s">
        <v>646</v>
      </c>
      <c r="C77" s="1312" t="s">
        <v>652</v>
      </c>
      <c r="D77" s="1313">
        <v>35175176</v>
      </c>
      <c r="E77" s="450"/>
      <c r="F77" s="330"/>
    </row>
    <row r="78" spans="1:6">
      <c r="A78" s="1293" t="s">
        <v>65</v>
      </c>
      <c r="B78" s="1293" t="s">
        <v>647</v>
      </c>
      <c r="C78" s="1293" t="s">
        <v>653</v>
      </c>
      <c r="D78" s="1314">
        <v>8408317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70699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26090.999480507016</v>
      </c>
      <c r="C90" s="330"/>
      <c r="D90" s="330"/>
      <c r="E90" s="330"/>
      <c r="F90" s="330"/>
    </row>
    <row r="91" spans="1:6">
      <c r="A91" s="1298" t="s">
        <v>67</v>
      </c>
      <c r="B91" s="1299">
        <v>3897.312762170704</v>
      </c>
      <c r="C91" s="330"/>
      <c r="D91" s="330"/>
      <c r="E91" s="330"/>
      <c r="F91" s="330"/>
    </row>
    <row r="92" spans="1:6">
      <c r="A92" s="1293" t="s">
        <v>68</v>
      </c>
      <c r="B92" s="1294">
        <v>2730.5610927290877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4254</v>
      </c>
      <c r="C97" s="330"/>
      <c r="D97" s="330"/>
      <c r="E97" s="330"/>
      <c r="F97" s="330"/>
    </row>
    <row r="98" spans="1:6">
      <c r="A98" s="1298" t="s">
        <v>71</v>
      </c>
      <c r="B98" s="1299">
        <v>2</v>
      </c>
      <c r="C98" s="330"/>
      <c r="D98" s="330"/>
      <c r="E98" s="330"/>
      <c r="F98" s="330"/>
    </row>
    <row r="99" spans="1:6">
      <c r="A99" s="1298" t="s">
        <v>72</v>
      </c>
      <c r="B99" s="1299">
        <v>95</v>
      </c>
      <c r="C99" s="330"/>
      <c r="D99" s="330"/>
      <c r="E99" s="330"/>
      <c r="F99" s="330"/>
    </row>
    <row r="100" spans="1:6">
      <c r="A100" s="1298" t="s">
        <v>73</v>
      </c>
      <c r="B100" s="1299">
        <v>691</v>
      </c>
      <c r="C100" s="330"/>
      <c r="D100" s="330"/>
      <c r="E100" s="330"/>
      <c r="F100" s="330"/>
    </row>
    <row r="101" spans="1:6">
      <c r="A101" s="1298" t="s">
        <v>74</v>
      </c>
      <c r="B101" s="1299">
        <v>112</v>
      </c>
      <c r="C101" s="330"/>
      <c r="D101" s="330"/>
      <c r="E101" s="330"/>
      <c r="F101" s="330"/>
    </row>
    <row r="102" spans="1:6">
      <c r="A102" s="1298" t="s">
        <v>75</v>
      </c>
      <c r="B102" s="1299">
        <v>113</v>
      </c>
      <c r="C102" s="330"/>
      <c r="D102" s="330"/>
      <c r="E102" s="330"/>
      <c r="F102" s="330"/>
    </row>
    <row r="103" spans="1:6">
      <c r="A103" s="1298" t="s">
        <v>76</v>
      </c>
      <c r="B103" s="1299">
        <v>252</v>
      </c>
      <c r="C103" s="330"/>
      <c r="D103" s="330"/>
      <c r="E103" s="330"/>
      <c r="F103" s="330"/>
    </row>
    <row r="104" spans="1:6">
      <c r="A104" s="1298" t="s">
        <v>77</v>
      </c>
      <c r="B104" s="1299">
        <v>1946</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32</v>
      </c>
      <c r="C123" s="1299">
        <v>54</v>
      </c>
      <c r="D123" s="330"/>
      <c r="E123" s="330"/>
      <c r="F123" s="330"/>
    </row>
    <row r="124" spans="1:6" s="43" customFormat="1">
      <c r="A124" s="1300" t="s">
        <v>88</v>
      </c>
      <c r="B124" s="1321">
        <v>0</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117</v>
      </c>
      <c r="C129" s="330"/>
      <c r="D129" s="330"/>
      <c r="E129" s="330"/>
      <c r="F129" s="330"/>
    </row>
    <row r="130" spans="1:6">
      <c r="A130" s="1298" t="s">
        <v>294</v>
      </c>
      <c r="B130" s="1299">
        <v>4</v>
      </c>
      <c r="C130" s="330"/>
      <c r="D130" s="330"/>
      <c r="E130" s="330"/>
      <c r="F130" s="330"/>
    </row>
    <row r="131" spans="1:6">
      <c r="A131" s="1298" t="s">
        <v>295</v>
      </c>
      <c r="B131" s="1299">
        <v>2</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132333.42431404357</v>
      </c>
      <c r="C3" s="43" t="s">
        <v>169</v>
      </c>
      <c r="D3" s="43"/>
      <c r="E3" s="154"/>
      <c r="F3" s="43"/>
      <c r="G3" s="43"/>
      <c r="H3" s="43"/>
      <c r="I3" s="43"/>
      <c r="J3" s="43"/>
      <c r="K3" s="96"/>
    </row>
    <row r="4" spans="1:11">
      <c r="A4" s="358" t="s">
        <v>170</v>
      </c>
      <c r="B4" s="49">
        <f>IF(ISERROR('SEAP template'!B78+'SEAP template'!C78),0,'SEAP template'!B78+'SEAP template'!C78)</f>
        <v>32718.87333540681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0.16635869494342445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1364.0150000000001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1364.0150000000001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0.16635869494342445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226.91575528325512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31111.751909999999</v>
      </c>
      <c r="C5" s="17">
        <f>IF(ISERROR('Eigen informatie GS &amp; warmtenet'!B59),0,'Eigen informatie GS &amp; warmtenet'!B59)</f>
        <v>0</v>
      </c>
      <c r="D5" s="30">
        <f>(SUM(HH_hh_gas_kWh,HH_rest_gas_kWh)/1000)*0.902</f>
        <v>89547.131035273997</v>
      </c>
      <c r="E5" s="17">
        <f>B46*B57</f>
        <v>10836.095721142983</v>
      </c>
      <c r="F5" s="17">
        <f>B51*B62</f>
        <v>0</v>
      </c>
      <c r="G5" s="18"/>
      <c r="H5" s="17"/>
      <c r="I5" s="17"/>
      <c r="J5" s="17">
        <f>B50*B61+C50*C61</f>
        <v>458.28480801639768</v>
      </c>
      <c r="K5" s="17"/>
      <c r="L5" s="17"/>
      <c r="M5" s="17"/>
      <c r="N5" s="17">
        <f>B48*B59+C48*C59</f>
        <v>15939.69267410706</v>
      </c>
      <c r="O5" s="17">
        <f>B69*B70*B71</f>
        <v>343.22477195395646</v>
      </c>
      <c r="P5" s="17">
        <f>B77*B78*B79/1000-B77*B78*B79/1000/B80</f>
        <v>537.23192469193623</v>
      </c>
    </row>
    <row r="6" spans="1:16">
      <c r="A6" s="16" t="s">
        <v>611</v>
      </c>
      <c r="B6" s="783">
        <f>kWh_PV_kleiner_dan_10kW</f>
        <v>3897.312762170704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35009.064672170702</v>
      </c>
      <c r="C8" s="21">
        <f>C5</f>
        <v>0</v>
      </c>
      <c r="D8" s="21">
        <f>D5</f>
        <v>89547.131035273997</v>
      </c>
      <c r="E8" s="21">
        <f>E5</f>
        <v>10836.095721142983</v>
      </c>
      <c r="F8" s="21">
        <f>F5</f>
        <v>0</v>
      </c>
      <c r="G8" s="21"/>
      <c r="H8" s="21"/>
      <c r="I8" s="21"/>
      <c r="J8" s="21">
        <f>J5</f>
        <v>458.28480801639768</v>
      </c>
      <c r="K8" s="21"/>
      <c r="L8" s="21">
        <f>L5</f>
        <v>0</v>
      </c>
      <c r="M8" s="21">
        <f>M5</f>
        <v>0</v>
      </c>
      <c r="N8" s="21">
        <f>N5</f>
        <v>15939.69267410706</v>
      </c>
      <c r="O8" s="21">
        <f>O5</f>
        <v>343.22477195395646</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0.16635869494342445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5824.0623100522635</v>
      </c>
      <c r="C12" s="23">
        <f ca="1">C10*C8</f>
        <v>0</v>
      </c>
      <c r="D12" s="23">
        <f>D8*D10</f>
        <v>18088.520469125349</v>
      </c>
      <c r="E12" s="23">
        <f>E10*E8</f>
        <v>2459.7937286994575</v>
      </c>
      <c r="F12" s="23">
        <f>F10*F8</f>
        <v>0</v>
      </c>
      <c r="G12" s="23"/>
      <c r="H12" s="23"/>
      <c r="I12" s="23"/>
      <c r="J12" s="23">
        <f>J10*J8</f>
        <v>162.23282203780477</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4254</v>
      </c>
      <c r="C18" s="166" t="s">
        <v>110</v>
      </c>
      <c r="D18" s="228"/>
      <c r="E18" s="15"/>
    </row>
    <row r="19" spans="1:7">
      <c r="A19" s="171" t="s">
        <v>71</v>
      </c>
      <c r="B19" s="37">
        <f>aantalw2001_ander</f>
        <v>2</v>
      </c>
      <c r="C19" s="166" t="s">
        <v>110</v>
      </c>
      <c r="D19" s="229"/>
      <c r="E19" s="15"/>
    </row>
    <row r="20" spans="1:7">
      <c r="A20" s="171" t="s">
        <v>72</v>
      </c>
      <c r="B20" s="37">
        <f>aantalw2001_propaan</f>
        <v>95</v>
      </c>
      <c r="C20" s="167">
        <f>IF(ISERROR(B20/SUM($B$20,$B$21,$B$22)*100),0,B20/SUM($B$20,$B$21,$B$22)*100)</f>
        <v>10.579064587973273</v>
      </c>
      <c r="D20" s="229"/>
      <c r="E20" s="15"/>
    </row>
    <row r="21" spans="1:7">
      <c r="A21" s="171" t="s">
        <v>73</v>
      </c>
      <c r="B21" s="37">
        <f>aantalw2001_elektriciteit</f>
        <v>691</v>
      </c>
      <c r="C21" s="167">
        <f>IF(ISERROR(B21/SUM($B$20,$B$21,$B$22)*100),0,B21/SUM($B$20,$B$21,$B$22)*100)</f>
        <v>76.948775055679292</v>
      </c>
      <c r="D21" s="229"/>
      <c r="E21" s="15"/>
    </row>
    <row r="22" spans="1:7">
      <c r="A22" s="171" t="s">
        <v>74</v>
      </c>
      <c r="B22" s="37">
        <f>aantalw2001_hout</f>
        <v>112</v>
      </c>
      <c r="C22" s="167">
        <f>IF(ISERROR(B22/SUM($B$20,$B$21,$B$22)*100),0,B22/SUM($B$20,$B$21,$B$22)*100)</f>
        <v>12.472160356347439</v>
      </c>
      <c r="D22" s="229"/>
      <c r="E22" s="15"/>
    </row>
    <row r="23" spans="1:7">
      <c r="A23" s="171" t="s">
        <v>75</v>
      </c>
      <c r="B23" s="37">
        <f>aantalw2001_niet_gespec</f>
        <v>113</v>
      </c>
      <c r="C23" s="166" t="s">
        <v>110</v>
      </c>
      <c r="D23" s="228"/>
      <c r="E23" s="15"/>
    </row>
    <row r="24" spans="1:7">
      <c r="A24" s="171" t="s">
        <v>76</v>
      </c>
      <c r="B24" s="37">
        <f>aantalw2001_steenkool</f>
        <v>252</v>
      </c>
      <c r="C24" s="166" t="s">
        <v>110</v>
      </c>
      <c r="D24" s="229"/>
      <c r="E24" s="15"/>
    </row>
    <row r="25" spans="1:7">
      <c r="A25" s="171" t="s">
        <v>77</v>
      </c>
      <c r="B25" s="37">
        <f>aantalw2001_stookolie</f>
        <v>1946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8397</v>
      </c>
      <c r="C28" s="36"/>
      <c r="D28" s="228"/>
    </row>
    <row r="29" spans="1:7" s="15" customFormat="1">
      <c r="A29" s="230" t="s">
        <v>819</v>
      </c>
      <c r="B29" s="37">
        <f>SUM(HH_hh_gas_aantal,HH_rest_gas_aantal)</f>
        <v>6426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6426</v>
      </c>
      <c r="C32" s="167">
        <f>IF(ISERROR(B32/SUM($B$32,$B$34,$B$35,$B$36,$B$38,$B$39)*100),0,B32/SUM($B$32,$B$34,$B$35,$B$36,$B$38,$B$39)*100)</f>
        <v>76.994967649173248</v>
      </c>
      <c r="D32" s="233"/>
      <c r="G32" s="15"/>
    </row>
    <row r="33" spans="1:7">
      <c r="A33" s="171" t="s">
        <v>71</v>
      </c>
      <c r="B33" s="34" t="s">
        <v>110</v>
      </c>
      <c r="C33" s="167"/>
      <c r="D33" s="233"/>
      <c r="G33" s="15"/>
    </row>
    <row r="34" spans="1:7">
      <c r="A34" s="171" t="s">
        <v>72</v>
      </c>
      <c r="B34" s="33">
        <f>IF((($B$28-$B$32-$B$39-$B$77-$B$38)*C20/100)&lt;0,0,($B$28-$B$32-$B$39-$B$77-$B$38)*C20/100)</f>
        <v>199.43652561247214</v>
      </c>
      <c r="C34" s="167">
        <f>IF(ISERROR(B34/SUM($B$32,$B$34,$B$35,$B$36,$B$38,$B$39)*100),0,B34/SUM($B$32,$B$34,$B$35,$B$36,$B$38,$B$39)*100)</f>
        <v>2.3896061060684417</v>
      </c>
      <c r="D34" s="233"/>
      <c r="G34" s="15"/>
    </row>
    <row r="35" spans="1:7">
      <c r="A35" s="171" t="s">
        <v>73</v>
      </c>
      <c r="B35" s="33">
        <f>IF((($B$28-$B$32-$B$39-$B$77-$B$38)*C21/100)&lt;0,0,($B$28-$B$32-$B$39-$B$77-$B$38)*C21/100)</f>
        <v>1450.6383073496661</v>
      </c>
      <c r="C35" s="167">
        <f>IF(ISERROR(B35/SUM($B$32,$B$34,$B$35,$B$36,$B$38,$B$39)*100),0,B35/SUM($B$32,$B$34,$B$35,$B$36,$B$38,$B$39)*100)</f>
        <v>17.381240203087302</v>
      </c>
      <c r="D35" s="233"/>
      <c r="G35" s="15"/>
    </row>
    <row r="36" spans="1:7">
      <c r="A36" s="171" t="s">
        <v>74</v>
      </c>
      <c r="B36" s="33">
        <f>IF((($B$28-$B$32-$B$39-$B$77-$B$38)*C22/100)&lt;0,0,($B$28-$B$32-$B$39-$B$77-$B$38)*C22/100)</f>
        <v>235.12516703786193</v>
      </c>
      <c r="C36" s="167">
        <f>IF(ISERROR(B36/SUM($B$32,$B$34,$B$35,$B$36,$B$38,$B$39)*100),0,B36/SUM($B$32,$B$34,$B$35,$B$36,$B$38,$B$39)*100)</f>
        <v>2.8172198303122684</v>
      </c>
      <c r="D36" s="233"/>
      <c r="G36" s="15"/>
    </row>
    <row r="37" spans="1:7">
      <c r="A37" s="171" t="s">
        <v>75</v>
      </c>
      <c r="B37" s="34" t="s">
        <v>110</v>
      </c>
      <c r="C37" s="167"/>
      <c r="D37" s="173"/>
      <c r="G37" s="15"/>
    </row>
    <row r="38" spans="1:7">
      <c r="A38" s="171" t="s">
        <v>76</v>
      </c>
      <c r="B38" s="33">
        <f>IF((B24-(B29-B18)*0.1)&lt;0,0,B24-(B29-B18)*0.1)</f>
        <v>34.799999999999983</v>
      </c>
      <c r="C38" s="167">
        <f>IF(ISERROR(B38/SUM($B$32,$B$34,$B$35,$B$36,$B$38,$B$39)*100),0,B38/SUM($B$32,$B$34,$B$35,$B$36,$B$38,$B$39)*100)</f>
        <v>0.41696621135873457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6426</v>
      </c>
      <c r="C44" s="34" t="s">
        <v>110</v>
      </c>
      <c r="D44" s="174"/>
    </row>
    <row r="45" spans="1:7">
      <c r="A45" s="171" t="s">
        <v>71</v>
      </c>
      <c r="B45" s="33" t="str">
        <f t="shared" si="0"/>
        <v>-</v>
      </c>
      <c r="C45" s="34" t="s">
        <v>110</v>
      </c>
      <c r="D45" s="174"/>
    </row>
    <row r="46" spans="1:7">
      <c r="A46" s="171" t="s">
        <v>72</v>
      </c>
      <c r="B46" s="33">
        <f t="shared" si="0"/>
        <v>199.43652561247214</v>
      </c>
      <c r="C46" s="34" t="s">
        <v>110</v>
      </c>
      <c r="D46" s="174"/>
    </row>
    <row r="47" spans="1:7">
      <c r="A47" s="171" t="s">
        <v>73</v>
      </c>
      <c r="B47" s="33">
        <f t="shared" si="0"/>
        <v>1450.6383073496661</v>
      </c>
      <c r="C47" s="34" t="s">
        <v>110</v>
      </c>
      <c r="D47" s="174"/>
    </row>
    <row r="48" spans="1:7">
      <c r="A48" s="171" t="s">
        <v>74</v>
      </c>
      <c r="B48" s="33">
        <f t="shared" si="0"/>
        <v>235.12516703786193</v>
      </c>
      <c r="C48" s="33">
        <f>B48*10</f>
        <v>2351.2516703786191</v>
      </c>
      <c r="D48" s="234"/>
    </row>
    <row r="49" spans="1:6">
      <c r="A49" s="171" t="s">
        <v>75</v>
      </c>
      <c r="B49" s="33" t="str">
        <f t="shared" si="0"/>
        <v>-</v>
      </c>
      <c r="C49" s="34" t="s">
        <v>110</v>
      </c>
      <c r="D49" s="234"/>
    </row>
    <row r="50" spans="1:6">
      <c r="A50" s="171" t="s">
        <v>76</v>
      </c>
      <c r="B50" s="33">
        <f t="shared" si="0"/>
        <v>34.799999999999983</v>
      </c>
      <c r="C50" s="33">
        <f>B50*2</f>
        <v>69.599999999999966</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18251.699973999999</v>
      </c>
      <c r="C5" s="17">
        <f>IF(ISERROR('Eigen informatie GS &amp; warmtenet'!B60),0,'Eigen informatie GS &amp; warmtenet'!B60)</f>
        <v>0</v>
      </c>
      <c r="D5" s="30">
        <f>SUM(D6:D12)</f>
        <v>31069.737757080002</v>
      </c>
      <c r="E5" s="17">
        <f>SUM(E6:E12)</f>
        <v>323.90425224574221</v>
      </c>
      <c r="F5" s="17">
        <f>SUM(F6:F12)</f>
        <v>1991.4562213789109</v>
      </c>
      <c r="G5" s="18"/>
      <c r="H5" s="17"/>
      <c r="I5" s="17"/>
      <c r="J5" s="17">
        <f>SUM(J6:J12)</f>
        <v>1.7945251517890219E-2</v>
      </c>
      <c r="K5" s="17"/>
      <c r="L5" s="17"/>
      <c r="M5" s="17"/>
      <c r="N5" s="17">
        <f>SUM(N6:N12)</f>
        <v>713.69397223497504</v>
      </c>
      <c r="O5" s="17">
        <f>B38*B39*B40</f>
        <v>19.589043063364617</v>
      </c>
      <c r="P5" s="17">
        <f>B46*B47*B48/1000-B46*B47*B48/1000/B49</f>
        <v>157.61741491948504</v>
      </c>
      <c r="R5" s="32"/>
    </row>
    <row r="6" spans="1:18">
      <c r="A6" s="32" t="s">
        <v>53</v>
      </c>
      <c r="B6" s="37">
        <f>B26</f>
        <v>3924.5038199999999</v>
      </c>
      <c r="C6" s="33"/>
      <c r="D6" s="37">
        <f>IF(ISERROR(TER_kantoor_gas_kWh/1000),0,TER_kantoor_gas_kWh/1000)*0.902</f>
        <v>5025.3092030680009</v>
      </c>
      <c r="E6" s="33">
        <f>$C$26*'E Balans VL '!I12/100/3.6*1000000</f>
        <v>31.579223944483811</v>
      </c>
      <c r="F6" s="33">
        <f>$C$26*('E Balans VL '!L12+'E Balans VL '!N12)/100/3.6*1000000</f>
        <v>479.81187645343732</v>
      </c>
      <c r="G6" s="34"/>
      <c r="H6" s="33"/>
      <c r="I6" s="33"/>
      <c r="J6" s="33">
        <f>$C$26*('E Balans VL '!D12+'E Balans VL '!E12)/100/3.6*1000000</f>
        <v>0</v>
      </c>
      <c r="K6" s="33"/>
      <c r="L6" s="33"/>
      <c r="M6" s="33"/>
      <c r="N6" s="33">
        <f>$C$26*'E Balans VL '!Y12/100/3.6*1000000</f>
        <v>2.1092275423543607</v>
      </c>
      <c r="O6" s="33"/>
      <c r="P6" s="33"/>
      <c r="R6" s="32"/>
    </row>
    <row r="7" spans="1:18">
      <c r="A7" s="32" t="s">
        <v>52</v>
      </c>
      <c r="B7" s="37">
        <f t="shared" ref="B7:B12" si="0">B27</f>
        <v>1083.33223</v>
      </c>
      <c r="C7" s="33"/>
      <c r="D7" s="37">
        <f>IF(ISERROR(TER_horeca_gas_kWh/1000),0,TER_horeca_gas_kWh/1000)*0.902</f>
        <v>1457.9746066600001</v>
      </c>
      <c r="E7" s="33">
        <f>$C$27*'E Balans VL '!I9/100/3.6*1000000</f>
        <v>11.632327951321081</v>
      </c>
      <c r="F7" s="33">
        <f>$C$27*('E Balans VL '!L9+'E Balans VL '!N9)/100/3.6*1000000</f>
        <v>130.29859787865684</v>
      </c>
      <c r="G7" s="34"/>
      <c r="H7" s="33"/>
      <c r="I7" s="33"/>
      <c r="J7" s="33">
        <f>$C$27*('E Balans VL '!D9+'E Balans VL '!E9)/100/3.6*1000000</f>
        <v>0</v>
      </c>
      <c r="K7" s="33"/>
      <c r="L7" s="33"/>
      <c r="M7" s="33"/>
      <c r="N7" s="33">
        <f>$C$27*'E Balans VL '!Y9/100/3.6*1000000</f>
        <v>0.16241345787217359</v>
      </c>
      <c r="O7" s="33"/>
      <c r="P7" s="33"/>
      <c r="R7" s="32"/>
    </row>
    <row r="8" spans="1:18">
      <c r="A8" s="6" t="s">
        <v>51</v>
      </c>
      <c r="B8" s="37">
        <f t="shared" si="0"/>
        <v>8079.1958210000003</v>
      </c>
      <c r="C8" s="33"/>
      <c r="D8" s="37">
        <f>IF(ISERROR(TER_handel_gas_kWh/1000),0,TER_handel_gas_kWh/1000)*0.902</f>
        <v>3605.0494145820003</v>
      </c>
      <c r="E8" s="33">
        <f>$C$28*'E Balans VL '!I13/100/3.6*1000000</f>
        <v>216.82088161757551</v>
      </c>
      <c r="F8" s="33">
        <f>$C$28*('E Balans VL '!L13+'E Balans VL '!N13)/100/3.6*1000000</f>
        <v>771.00428855919324</v>
      </c>
      <c r="G8" s="34"/>
      <c r="H8" s="33"/>
      <c r="I8" s="33"/>
      <c r="J8" s="33">
        <f>$C$28*('E Balans VL '!D13+'E Balans VL '!E13)/100/3.6*1000000</f>
        <v>0</v>
      </c>
      <c r="K8" s="33"/>
      <c r="L8" s="33"/>
      <c r="M8" s="33"/>
      <c r="N8" s="33">
        <f>$C$28*'E Balans VL '!Y13/100/3.6*1000000</f>
        <v>3.2026850870152579</v>
      </c>
      <c r="O8" s="33"/>
      <c r="P8" s="33"/>
      <c r="R8" s="32"/>
    </row>
    <row r="9" spans="1:18">
      <c r="A9" s="32" t="s">
        <v>50</v>
      </c>
      <c r="B9" s="37">
        <f t="shared" si="0"/>
        <v>485.91988799999996</v>
      </c>
      <c r="C9" s="33"/>
      <c r="D9" s="37">
        <f>IF(ISERROR(TER_gezond_gas_kWh/1000),0,TER_gezond_gas_kWh/1000)*0.902</f>
        <v>1878.0747728160002</v>
      </c>
      <c r="E9" s="33">
        <f>$C$29*'E Balans VL '!I10/100/3.6*1000000</f>
        <v>0.91077209249814961</v>
      </c>
      <c r="F9" s="33">
        <f>$C$29*('E Balans VL '!L10+'E Balans VL '!N10)/100/3.6*1000000</f>
        <v>39.947048470948459</v>
      </c>
      <c r="G9" s="34"/>
      <c r="H9" s="33"/>
      <c r="I9" s="33"/>
      <c r="J9" s="33">
        <f>$C$29*('E Balans VL '!D10+'E Balans VL '!E10)/100/3.6*1000000</f>
        <v>0</v>
      </c>
      <c r="K9" s="33"/>
      <c r="L9" s="33"/>
      <c r="M9" s="33"/>
      <c r="N9" s="33">
        <f>$C$29*'E Balans VL '!Y10/100/3.6*1000000</f>
        <v>3.7808192769699125</v>
      </c>
      <c r="O9" s="33"/>
      <c r="P9" s="33"/>
      <c r="R9" s="32"/>
    </row>
    <row r="10" spans="1:18">
      <c r="A10" s="32" t="s">
        <v>49</v>
      </c>
      <c r="B10" s="37">
        <f t="shared" si="0"/>
        <v>702.82453399999997</v>
      </c>
      <c r="C10" s="33"/>
      <c r="D10" s="37">
        <f>IF(ISERROR(TER_ander_gas_kWh/1000),0,TER_ander_gas_kWh/1000)*0.902</f>
        <v>4444.184139428</v>
      </c>
      <c r="E10" s="33">
        <f>$C$30*'E Balans VL '!I14/100/3.6*1000000</f>
        <v>1.0834111407719649</v>
      </c>
      <c r="F10" s="33">
        <f>$C$30*('E Balans VL '!L14+'E Balans VL '!N14)/100/3.6*1000000</f>
        <v>109.11370292887989</v>
      </c>
      <c r="G10" s="34"/>
      <c r="H10" s="33"/>
      <c r="I10" s="33"/>
      <c r="J10" s="33">
        <f>$C$30*('E Balans VL '!D14+'E Balans VL '!E14)/100/3.6*1000000</f>
        <v>1.1931187680833488E-2</v>
      </c>
      <c r="K10" s="33"/>
      <c r="L10" s="33"/>
      <c r="M10" s="33"/>
      <c r="N10" s="33">
        <f>$C$30*'E Balans VL '!Y14/100/3.6*1000000</f>
        <v>464.96618633716901</v>
      </c>
      <c r="O10" s="33"/>
      <c r="P10" s="33"/>
      <c r="R10" s="32"/>
    </row>
    <row r="11" spans="1:18">
      <c r="A11" s="32" t="s">
        <v>54</v>
      </c>
      <c r="B11" s="37">
        <f t="shared" si="0"/>
        <v>837.79173700000001</v>
      </c>
      <c r="C11" s="33"/>
      <c r="D11" s="37">
        <f>IF(ISERROR(TER_onderwijs_gas_kWh/1000),0,TER_onderwijs_gas_kWh/1000)*0.902</f>
        <v>2697.5829626460004</v>
      </c>
      <c r="E11" s="33">
        <f>$C$31*'E Balans VL '!I11/100/3.6*1000000</f>
        <v>21.369411458343105</v>
      </c>
      <c r="F11" s="33">
        <f>$C$31*('E Balans VL '!L11+'E Balans VL '!N11)/100/3.6*1000000</f>
        <v>100.75234197037265</v>
      </c>
      <c r="G11" s="34"/>
      <c r="H11" s="33"/>
      <c r="I11" s="33"/>
      <c r="J11" s="33">
        <f>$C$31*('E Balans VL '!D11+'E Balans VL '!E11)/100/3.6*1000000</f>
        <v>0</v>
      </c>
      <c r="K11" s="33"/>
      <c r="L11" s="33"/>
      <c r="M11" s="33"/>
      <c r="N11" s="33">
        <f>$C$31*'E Balans VL '!Y11/100/3.6*1000000</f>
        <v>1.8632283807934724</v>
      </c>
      <c r="O11" s="33"/>
      <c r="P11" s="33"/>
      <c r="R11" s="32"/>
    </row>
    <row r="12" spans="1:18">
      <c r="A12" s="32" t="s">
        <v>259</v>
      </c>
      <c r="B12" s="37">
        <f t="shared" si="0"/>
        <v>3138.1319440000002</v>
      </c>
      <c r="C12" s="33"/>
      <c r="D12" s="37">
        <f>IF(ISERROR(TER_rest_gas_kWh/1000),0,TER_rest_gas_kWh/1000)*0.902</f>
        <v>11961.562657879998</v>
      </c>
      <c r="E12" s="33">
        <f>$C$32*'E Balans VL '!I8/100/3.6*1000000</f>
        <v>40.50822404074858</v>
      </c>
      <c r="F12" s="33">
        <f>$C$32*('E Balans VL '!L8+'E Balans VL '!N8)/100/3.6*1000000</f>
        <v>360.52836511742237</v>
      </c>
      <c r="G12" s="34"/>
      <c r="H12" s="33"/>
      <c r="I12" s="33"/>
      <c r="J12" s="33">
        <f>$C$32*('E Balans VL '!D8+'E Balans VL '!E8)/100/3.6*1000000</f>
        <v>6.0140638370567313E-3</v>
      </c>
      <c r="K12" s="33"/>
      <c r="L12" s="33"/>
      <c r="M12" s="33"/>
      <c r="N12" s="33">
        <f>$C$32*'E Balans VL '!Y8/100/3.6*1000000</f>
        <v>237.60941215280084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18251.699973999999</v>
      </c>
      <c r="C16" s="21">
        <f t="shared" ca="1" si="1"/>
        <v>0</v>
      </c>
      <c r="D16" s="21">
        <f t="shared" ca="1" si="1"/>
        <v>31069.737757080002</v>
      </c>
      <c r="E16" s="21">
        <f t="shared" si="1"/>
        <v>323.90425224574221</v>
      </c>
      <c r="F16" s="21">
        <f t="shared" ca="1" si="1"/>
        <v>1991.4562213789109</v>
      </c>
      <c r="G16" s="21">
        <f t="shared" si="1"/>
        <v>0</v>
      </c>
      <c r="H16" s="21">
        <f t="shared" si="1"/>
        <v>0</v>
      </c>
      <c r="I16" s="21">
        <f t="shared" si="1"/>
        <v>0</v>
      </c>
      <c r="J16" s="21">
        <f t="shared" si="1"/>
        <v>1.7945251517890219E-2</v>
      </c>
      <c r="K16" s="21">
        <f t="shared" si="1"/>
        <v>0</v>
      </c>
      <c r="L16" s="21">
        <f t="shared" ca="1" si="1"/>
        <v>0</v>
      </c>
      <c r="M16" s="21">
        <f t="shared" si="1"/>
        <v>0</v>
      </c>
      <c r="N16" s="21">
        <f t="shared" ca="1" si="1"/>
        <v>713.69397223497504</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0.16635869494342445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3036.3289881735736</v>
      </c>
      <c r="C20" s="23">
        <f t="shared" ref="C20:P20" ca="1" si="2">C16*C18</f>
        <v>0</v>
      </c>
      <c r="D20" s="23">
        <f t="shared" ca="1" si="2"/>
        <v>6276.0870269301604</v>
      </c>
      <c r="E20" s="23">
        <f t="shared" si="2"/>
        <v>73.526265259783486</v>
      </c>
      <c r="F20" s="23">
        <f t="shared" ca="1" si="2"/>
        <v>531.71881110816923</v>
      </c>
      <c r="G20" s="23">
        <f t="shared" si="2"/>
        <v>0</v>
      </c>
      <c r="H20" s="23">
        <f t="shared" si="2"/>
        <v>0</v>
      </c>
      <c r="I20" s="23">
        <f t="shared" si="2"/>
        <v>0</v>
      </c>
      <c r="J20" s="23">
        <f t="shared" si="2"/>
        <v>6.3526190373331369E-3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3924.5038199999999</v>
      </c>
      <c r="C26" s="39">
        <f>IF(ISERROR(B26*3.6/1000000/'E Balans VL '!Z12*100),0,B26*3.6/1000000/'E Balans VL '!Z12*100)</f>
        <v>8.3254758032615978E-2</v>
      </c>
      <c r="D26" s="237" t="s">
        <v>708</v>
      </c>
      <c r="F26" s="6"/>
    </row>
    <row r="27" spans="1:18">
      <c r="A27" s="231" t="s">
        <v>52</v>
      </c>
      <c r="B27" s="33">
        <f>IF(ISERROR(TER_horeca_ele_kWh/1000),0,TER_horeca_ele_kWh/1000)</f>
        <v>1083.33223</v>
      </c>
      <c r="C27" s="39">
        <f>IF(ISERROR(B27*3.6/1000000/'E Balans VL '!Z9*100),0,B27*3.6/1000000/'E Balans VL '!Z9*100)</f>
        <v>8.1584513624663499E-2</v>
      </c>
      <c r="D27" s="237" t="s">
        <v>708</v>
      </c>
      <c r="F27" s="6"/>
    </row>
    <row r="28" spans="1:18">
      <c r="A28" s="171" t="s">
        <v>51</v>
      </c>
      <c r="B28" s="33">
        <f>IF(ISERROR(TER_handel_ele_kWh/1000),0,TER_handel_ele_kWh/1000)</f>
        <v>8079.1958210000003</v>
      </c>
      <c r="C28" s="39">
        <f>IF(ISERROR(B28*3.6/1000000/'E Balans VL '!Z13*100),0,B28*3.6/1000000/'E Balans VL '!Z13*100)</f>
        <v>0.23451042785931972</v>
      </c>
      <c r="D28" s="237" t="s">
        <v>708</v>
      </c>
      <c r="F28" s="6"/>
    </row>
    <row r="29" spans="1:18">
      <c r="A29" s="231" t="s">
        <v>50</v>
      </c>
      <c r="B29" s="33">
        <f>IF(ISERROR(TER_gezond_ele_kWh/1000),0,TER_gezond_ele_kWh/1000)</f>
        <v>485.91988799999996</v>
      </c>
      <c r="C29" s="39">
        <f>IF(ISERROR(B29*3.6/1000000/'E Balans VL '!Z10*100),0,B29*3.6/1000000/'E Balans VL '!Z10*100)</f>
        <v>4.9005600187868266E-2</v>
      </c>
      <c r="D29" s="237" t="s">
        <v>708</v>
      </c>
      <c r="F29" s="6"/>
    </row>
    <row r="30" spans="1:18">
      <c r="A30" s="231" t="s">
        <v>49</v>
      </c>
      <c r="B30" s="33">
        <f>IF(ISERROR(TER_ander_ele_kWh/1000),0,TER_ander_ele_kWh/1000)</f>
        <v>702.82453399999997</v>
      </c>
      <c r="C30" s="39">
        <f>IF(ISERROR(B30*3.6/1000000/'E Balans VL '!Z14*100),0,B30*3.6/1000000/'E Balans VL '!Z14*100)</f>
        <v>5.0999508226404505E-2</v>
      </c>
      <c r="D30" s="237" t="s">
        <v>708</v>
      </c>
      <c r="F30" s="6"/>
    </row>
    <row r="31" spans="1:18">
      <c r="A31" s="231" t="s">
        <v>54</v>
      </c>
      <c r="B31" s="33">
        <f>IF(ISERROR(TER_onderwijs_ele_kWh/1000),0,TER_onderwijs_ele_kWh/1000)</f>
        <v>837.79173700000001</v>
      </c>
      <c r="C31" s="39">
        <f>IF(ISERROR(B31*3.6/1000000/'E Balans VL '!Z11*100),0,B31*3.6/1000000/'E Balans VL '!Z11*100)</f>
        <v>0.23880476151311711</v>
      </c>
      <c r="D31" s="237" t="s">
        <v>708</v>
      </c>
    </row>
    <row r="32" spans="1:18">
      <c r="A32" s="231" t="s">
        <v>259</v>
      </c>
      <c r="B32" s="33">
        <f>IF(ISERROR(TER_rest_ele_kWh/1000),0,TER_rest_ele_kWh/1000)</f>
        <v>3138.1319440000002</v>
      </c>
      <c r="C32" s="39">
        <f>IF(ISERROR(B32*3.6/1000000/'E Balans VL '!Z8*100),0,B32*3.6/1000000/'E Balans VL '!Z8*100)</f>
        <v>2.5706937677697328E-2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73630.063481999998</v>
      </c>
      <c r="C5" s="17">
        <f>IF(ISERROR('Eigen informatie GS &amp; warmtenet'!B61),0,'Eigen informatie GS &amp; warmtenet'!B61)</f>
        <v>0</v>
      </c>
      <c r="D5" s="30">
        <f>SUM(D6:D15)</f>
        <v>39612.656534418005</v>
      </c>
      <c r="E5" s="17">
        <f>SUM(E6:E15)</f>
        <v>2874.5624360114707</v>
      </c>
      <c r="F5" s="17">
        <f>SUM(F6:F15)</f>
        <v>10948.949953108153</v>
      </c>
      <c r="G5" s="18"/>
      <c r="H5" s="17"/>
      <c r="I5" s="17"/>
      <c r="J5" s="17">
        <f>SUM(J6:J15)</f>
        <v>434.37573766813273</v>
      </c>
      <c r="K5" s="17"/>
      <c r="L5" s="17"/>
      <c r="M5" s="17"/>
      <c r="N5" s="17">
        <f>SUM(N6:N15)</f>
        <v>3134.9510914652046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1716.1376200000002</v>
      </c>
      <c r="C8" s="33"/>
      <c r="D8" s="37">
        <f>IF( ISERROR(IND_metaal_Gas_kWH/1000),0,IND_metaal_Gas_kWH/1000)*0.902</f>
        <v>183.530654384</v>
      </c>
      <c r="E8" s="33">
        <f>C30*'E Balans VL '!I18/100/3.6*1000000</f>
        <v>12.380728430346432</v>
      </c>
      <c r="F8" s="33">
        <f>C30*'E Balans VL '!L18/100/3.6*1000000+C30*'E Balans VL '!N18/100/3.6*1000000</f>
        <v>162.31497549091137</v>
      </c>
      <c r="G8" s="34"/>
      <c r="H8" s="33"/>
      <c r="I8" s="33"/>
      <c r="J8" s="40">
        <f>C30*'E Balans VL '!D18/100/3.6*1000000+C30*'E Balans VL '!E18/100/3.6*1000000</f>
        <v>1.7261011910117057</v>
      </c>
      <c r="K8" s="33"/>
      <c r="L8" s="33"/>
      <c r="M8" s="33"/>
      <c r="N8" s="33">
        <f>C30*'E Balans VL '!Y18/100/3.6*1000000</f>
        <v>21.696519968679816</v>
      </c>
      <c r="O8" s="33"/>
      <c r="P8" s="33"/>
      <c r="R8" s="32"/>
    </row>
    <row r="9" spans="1:18">
      <c r="A9" s="6" t="s">
        <v>32</v>
      </c>
      <c r="B9" s="37">
        <f t="shared" si="0"/>
        <v>3292.2919449999999</v>
      </c>
      <c r="C9" s="33"/>
      <c r="D9" s="37">
        <f>IF( ISERROR(IND_andere_gas_kWh/1000),0,IND_andere_gas_kWh/1000)*0.902</f>
        <v>3246.0514527320001</v>
      </c>
      <c r="E9" s="33">
        <f>C31*'E Balans VL '!I19/100/3.6*1000000</f>
        <v>912.33812141816168</v>
      </c>
      <c r="F9" s="33">
        <f>C31*'E Balans VL '!L19/100/3.6*1000000+C31*'E Balans VL '!N19/100/3.6*1000000</f>
        <v>2728.6586787137257</v>
      </c>
      <c r="G9" s="34"/>
      <c r="H9" s="33"/>
      <c r="I9" s="33"/>
      <c r="J9" s="40">
        <f>C31*'E Balans VL '!D19/100/3.6*1000000+C31*'E Balans VL '!E19/100/3.6*1000000</f>
        <v>0</v>
      </c>
      <c r="K9" s="33"/>
      <c r="L9" s="33"/>
      <c r="M9" s="33"/>
      <c r="N9" s="33">
        <f>C31*'E Balans VL '!Y19/100/3.6*1000000</f>
        <v>238.98012611705087</v>
      </c>
      <c r="O9" s="33"/>
      <c r="P9" s="33"/>
      <c r="R9" s="32"/>
    </row>
    <row r="10" spans="1:18">
      <c r="A10" s="6" t="s">
        <v>40</v>
      </c>
      <c r="B10" s="37">
        <f t="shared" si="0"/>
        <v>8868.5871760000009</v>
      </c>
      <c r="C10" s="33"/>
      <c r="D10" s="37">
        <f>IF( ISERROR(IND_voed_gas_kWh/1000),0,IND_voed_gas_kWh/1000)*0.902</f>
        <v>8524.4468113420007</v>
      </c>
      <c r="E10" s="33">
        <f>C32*'E Balans VL '!I20/100/3.6*1000000</f>
        <v>15.700403284590468</v>
      </c>
      <c r="F10" s="33">
        <f>C32*'E Balans VL '!L20/100/3.6*1000000+C32*'E Balans VL '!N20/100/3.6*1000000</f>
        <v>478.98230908707313</v>
      </c>
      <c r="G10" s="34"/>
      <c r="H10" s="33"/>
      <c r="I10" s="33"/>
      <c r="J10" s="40">
        <f>C32*'E Balans VL '!D20/100/3.6*1000000+C32*'E Balans VL '!E20/100/3.6*1000000</f>
        <v>0</v>
      </c>
      <c r="K10" s="33"/>
      <c r="L10" s="33"/>
      <c r="M10" s="33"/>
      <c r="N10" s="33">
        <f>C32*'E Balans VL '!Y20/100/3.6*1000000</f>
        <v>515.33264516984218</v>
      </c>
      <c r="O10" s="33"/>
      <c r="P10" s="33"/>
      <c r="R10" s="32"/>
    </row>
    <row r="11" spans="1:18">
      <c r="A11" s="6" t="s">
        <v>39</v>
      </c>
      <c r="B11" s="37">
        <f t="shared" si="0"/>
        <v>18312.749030000003</v>
      </c>
      <c r="C11" s="33"/>
      <c r="D11" s="37">
        <f>IF( ISERROR(IND_textiel_gas_kWh/1000),0,IND_textiel_gas_kWh/1000)*0.902</f>
        <v>0</v>
      </c>
      <c r="E11" s="33">
        <f>C33*'E Balans VL '!I21/100/3.6*1000000</f>
        <v>64.554341101987958</v>
      </c>
      <c r="F11" s="33">
        <f>C33*'E Balans VL '!L21/100/3.6*1000000+C33*'E Balans VL '!N21/100/3.6*1000000</f>
        <v>537.50656820744246</v>
      </c>
      <c r="G11" s="34"/>
      <c r="H11" s="33"/>
      <c r="I11" s="33"/>
      <c r="J11" s="40">
        <f>C33*'E Balans VL '!D21/100/3.6*1000000+C33*'E Balans VL '!E21/100/3.6*1000000</f>
        <v>0</v>
      </c>
      <c r="K11" s="33"/>
      <c r="L11" s="33"/>
      <c r="M11" s="33"/>
      <c r="N11" s="33">
        <f>C33*'E Balans VL '!Y21/100/3.6*1000000</f>
        <v>806.85710085996345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973.28514000000007</v>
      </c>
      <c r="C13" s="33"/>
      <c r="D13" s="37">
        <f>IF( ISERROR(IND_papier_gas_kWh/1000),0,IND_papier_gas_kWh/1000)*0.902</f>
        <v>0</v>
      </c>
      <c r="E13" s="33">
        <f>C35*'E Balans VL '!I23/100/3.6*1000000</f>
        <v>1.4320366477627533</v>
      </c>
      <c r="F13" s="33">
        <f>C35*'E Balans VL '!L23/100/3.6*1000000+C35*'E Balans VL '!N23/100/3.6*1000000</f>
        <v>10.42126233269212</v>
      </c>
      <c r="G13" s="34"/>
      <c r="H13" s="33"/>
      <c r="I13" s="33"/>
      <c r="J13" s="40">
        <f>C35*'E Balans VL '!D23/100/3.6*1000000+C35*'E Balans VL '!E23/100/3.6*1000000</f>
        <v>106.48285221345793</v>
      </c>
      <c r="K13" s="33"/>
      <c r="L13" s="33"/>
      <c r="M13" s="33"/>
      <c r="N13" s="33">
        <f>C35*'E Balans VL '!Y23/100/3.6*1000000</f>
        <v>0</v>
      </c>
      <c r="O13" s="33"/>
      <c r="P13" s="33"/>
      <c r="R13" s="32"/>
    </row>
    <row r="14" spans="1:18">
      <c r="A14" s="6" t="s">
        <v>33</v>
      </c>
      <c r="B14" s="37">
        <f t="shared" si="0"/>
        <v>985.30881099999999</v>
      </c>
      <c r="C14" s="33"/>
      <c r="D14" s="37">
        <f>IF( ISERROR(IND_chemie_gas_kWh/1000),0,IND_chemie_gas_kWh/1000)*0.902</f>
        <v>0</v>
      </c>
      <c r="E14" s="33">
        <f>C36*'E Balans VL '!I24/100/3.6*1000000</f>
        <v>2.2285700705165299</v>
      </c>
      <c r="F14" s="33">
        <f>C36*'E Balans VL '!L24/100/3.6*1000000+C36*'E Balans VL '!N24/100/3.6*1000000</f>
        <v>11.633512761252019</v>
      </c>
      <c r="G14" s="34"/>
      <c r="H14" s="33"/>
      <c r="I14" s="33"/>
      <c r="J14" s="40">
        <f>C36*'E Balans VL '!D24/100/3.6*1000000+C36*'E Balans VL '!E24/100/3.6*1000000</f>
        <v>0</v>
      </c>
      <c r="K14" s="33"/>
      <c r="L14" s="33"/>
      <c r="M14" s="33"/>
      <c r="N14" s="33">
        <f>C36*'E Balans VL '!Y24/100/3.6*1000000</f>
        <v>0.54121538210900932</v>
      </c>
      <c r="O14" s="33"/>
      <c r="P14" s="33"/>
      <c r="R14" s="32"/>
    </row>
    <row r="15" spans="1:18">
      <c r="A15" s="6" t="s">
        <v>269</v>
      </c>
      <c r="B15" s="37">
        <f t="shared" si="0"/>
        <v>39481.703759999997</v>
      </c>
      <c r="C15" s="33"/>
      <c r="D15" s="37">
        <f>IF( ISERROR(IND_rest_gas_kWh/1000),0,IND_rest_gas_kWh/1000)*0.902</f>
        <v>27658.627615960002</v>
      </c>
      <c r="E15" s="33">
        <f>C37*'E Balans VL '!I15/100/3.6*1000000</f>
        <v>1865.928235058105</v>
      </c>
      <c r="F15" s="33">
        <f>C37*'E Balans VL '!L15/100/3.6*1000000+C37*'E Balans VL '!N15/100/3.6*1000000</f>
        <v>7019.4326465150552</v>
      </c>
      <c r="G15" s="34"/>
      <c r="H15" s="33"/>
      <c r="I15" s="33"/>
      <c r="J15" s="40">
        <f>C37*'E Balans VL '!D15/100/3.6*1000000+C37*'E Balans VL '!E15/100/3.6*1000000</f>
        <v>326.16678426366309</v>
      </c>
      <c r="K15" s="33"/>
      <c r="L15" s="33"/>
      <c r="M15" s="33"/>
      <c r="N15" s="33">
        <f>C37*'E Balans VL '!Y15/100/3.6*1000000</f>
        <v>1551.5434839675593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73630.063481999998</v>
      </c>
      <c r="C18" s="21">
        <f>C5+C16</f>
        <v>0</v>
      </c>
      <c r="D18" s="21">
        <f>MAX((D5+D16),0)</f>
        <v>39612.656534418005</v>
      </c>
      <c r="E18" s="21">
        <f>MAX((E5+E16),0)</f>
        <v>2874.5624360114707</v>
      </c>
      <c r="F18" s="21">
        <f>MAX((F5+F16),0)</f>
        <v>10948.949953108153</v>
      </c>
      <c r="G18" s="21"/>
      <c r="H18" s="21"/>
      <c r="I18" s="21"/>
      <c r="J18" s="21">
        <f>MAX((J5+J16),0)</f>
        <v>434.37573766813273</v>
      </c>
      <c r="K18" s="21"/>
      <c r="L18" s="21">
        <f>MAX((L5+L16),0)</f>
        <v>0</v>
      </c>
      <c r="M18" s="21"/>
      <c r="N18" s="21">
        <f>MAX((N5+N16),0)</f>
        <v>3134.9510914652046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0.16635869494342445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12249.001269467015</v>
      </c>
      <c r="C22" s="23">
        <f ca="1">C18*C20</f>
        <v>0</v>
      </c>
      <c r="D22" s="23">
        <f>D18*D20</f>
        <v>8001.7566199524372</v>
      </c>
      <c r="E22" s="23">
        <f>E18*E20</f>
        <v>652.52567297460382</v>
      </c>
      <c r="F22" s="23">
        <f>F18*F20</f>
        <v>2923.3696374798769</v>
      </c>
      <c r="G22" s="23"/>
      <c r="H22" s="23"/>
      <c r="I22" s="23"/>
      <c r="J22" s="23">
        <f>J18*J20</f>
        <v>153.76901113451899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1716.1376200000002</v>
      </c>
      <c r="C30" s="39">
        <f>IF(ISERROR(B30*3.6/1000000/'E Balans VL '!Z18*100),0,B30*3.6/1000000/'E Balans VL '!Z18*100)</f>
        <v>9.9069947031267008E-2</v>
      </c>
      <c r="D30" s="237" t="s">
        <v>708</v>
      </c>
    </row>
    <row r="31" spans="1:18">
      <c r="A31" s="6" t="s">
        <v>32</v>
      </c>
      <c r="B31" s="37">
        <f>IF( ISERROR(IND_ander_ele_kWh/1000),0,IND_ander_ele_kWh/1000)</f>
        <v>3292.2919449999999</v>
      </c>
      <c r="C31" s="39">
        <f>IF(ISERROR(B31*3.6/1000000/'E Balans VL '!Z19*100),0,B31*3.6/1000000/'E Balans VL '!Z19*100)</f>
        <v>0.16559161328237315</v>
      </c>
      <c r="D31" s="237" t="s">
        <v>708</v>
      </c>
    </row>
    <row r="32" spans="1:18">
      <c r="A32" s="171" t="s">
        <v>40</v>
      </c>
      <c r="B32" s="37">
        <f>IF( ISERROR(IND_voed_ele_kWh/1000),0,IND_voed_ele_kWh/1000)</f>
        <v>8868.5871760000009</v>
      </c>
      <c r="C32" s="39">
        <f>IF(ISERROR(B32*3.6/1000000/'E Balans VL '!Z20*100),0,B32*3.6/1000000/'E Balans VL '!Z20*100)</f>
        <v>0.29537661683161781</v>
      </c>
      <c r="D32" s="237" t="s">
        <v>708</v>
      </c>
    </row>
    <row r="33" spans="1:5">
      <c r="A33" s="171" t="s">
        <v>39</v>
      </c>
      <c r="B33" s="37">
        <f>IF( ISERROR(IND_textiel_ele_kWh/1000),0,IND_textiel_ele_kWh/1000)</f>
        <v>18312.749030000003</v>
      </c>
      <c r="C33" s="39">
        <f>IF(ISERROR(B33*3.6/1000000/'E Balans VL '!Z21*100),0,B33*3.6/1000000/'E Balans VL '!Z21*100)</f>
        <v>2.8551906480363134</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973.28514000000007</v>
      </c>
      <c r="C35" s="39">
        <f>IF(ISERROR(B35*3.6/1000000/'E Balans VL '!Z22*100),0,B35*3.6/1000000/'E Balans VL '!Z22*100)</f>
        <v>0.1815505526375904</v>
      </c>
      <c r="D35" s="237" t="s">
        <v>708</v>
      </c>
    </row>
    <row r="36" spans="1:5">
      <c r="A36" s="171" t="s">
        <v>33</v>
      </c>
      <c r="B36" s="37">
        <f>IF( ISERROR(IND_chemie_ele_kWh/1000),0,IND_chemie_ele_kWh/1000)</f>
        <v>985.30881099999999</v>
      </c>
      <c r="C36" s="39">
        <f>IF(ISERROR(B36*3.6/1000000/'E Balans VL '!Z24*100),0,B36*3.6/1000000/'E Balans VL '!Z24*100)</f>
        <v>2.5988733834766336E-2</v>
      </c>
      <c r="D36" s="237" t="s">
        <v>708</v>
      </c>
    </row>
    <row r="37" spans="1:5">
      <c r="A37" s="171" t="s">
        <v>269</v>
      </c>
      <c r="B37" s="37">
        <f>IF( ISERROR(IND_rest_ele_kWh/1000),0,IND_rest_ele_kWh/1000)</f>
        <v>39481.703759999997</v>
      </c>
      <c r="C37" s="39">
        <f>IF(ISERROR(B37*3.6/1000000/'E Balans VL '!Z15*100),0,B37*3.6/1000000/'E Balans VL '!Z15*100)</f>
        <v>0.30806525722665917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1636.120588</v>
      </c>
      <c r="C5" s="17">
        <f>'Eigen informatie GS &amp; warmtenet'!B62</f>
        <v>0</v>
      </c>
      <c r="D5" s="30">
        <f>IF(ISERROR(SUM(LB_lb_gas_kWh,LB_rest_gas_kWh)/1000),0,SUM(LB_lb_gas_kWh,LB_rest_gas_kWh)/1000)*0.902</f>
        <v>686.4556509140001</v>
      </c>
      <c r="E5" s="17">
        <f>B17*'E Balans VL '!I25/3.6*1000000/100</f>
        <v>51.062784025470258</v>
      </c>
      <c r="F5" s="17">
        <f>B17*('E Balans VL '!L25/3.6*1000000+'E Balans VL '!N25/3.6*1000000)/100</f>
        <v>5782.2314025414862</v>
      </c>
      <c r="G5" s="18"/>
      <c r="H5" s="17"/>
      <c r="I5" s="17"/>
      <c r="J5" s="17">
        <f>('E Balans VL '!D25+'E Balans VL '!E25)/3.6*1000000*landbouw!B17/100</f>
        <v>450.76256839083862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1636.120588</v>
      </c>
      <c r="C8" s="21">
        <f>C5+C6</f>
        <v>0</v>
      </c>
      <c r="D8" s="21">
        <f>MAX((D5+D6),0)</f>
        <v>686.4556509140001</v>
      </c>
      <c r="E8" s="21">
        <f>MAX((E5+E6),0)</f>
        <v>51.062784025470258</v>
      </c>
      <c r="F8" s="21">
        <f>MAX((F5+F6),0)</f>
        <v>5782.2314025414862</v>
      </c>
      <c r="G8" s="21"/>
      <c r="H8" s="21"/>
      <c r="I8" s="21"/>
      <c r="J8" s="21">
        <f>MAX((J5+J6),0)</f>
        <v>450.76256839083862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0.16635869494342445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272.18288578974824</v>
      </c>
      <c r="C12" s="23">
        <f ca="1">C8*C10</f>
        <v>0</v>
      </c>
      <c r="D12" s="23">
        <f>D8*D10</f>
        <v>138.66404148462803</v>
      </c>
      <c r="E12" s="23">
        <f>E8*E10</f>
        <v>11.591251973781748</v>
      </c>
      <c r="F12" s="23">
        <f>F8*F10</f>
        <v>1543.8557844785769</v>
      </c>
      <c r="G12" s="23"/>
      <c r="H12" s="23"/>
      <c r="I12" s="23"/>
      <c r="J12" s="23">
        <f>J8*J10</f>
        <v>159.56994921035687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0.24322105422955445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492.26320195994117</v>
      </c>
      <c r="C26" s="247">
        <f>B26*'GWP N2O_CH4'!B5</f>
        <v>10337.527241158765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112.10164007860718</v>
      </c>
      <c r="C27" s="247">
        <f>B27*'GWP N2O_CH4'!B5</f>
        <v>2354.1344416507509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6.2418051794873435</v>
      </c>
      <c r="C28" s="247">
        <f>B28*'GWP N2O_CH4'!B4</f>
        <v>1934.9596056410765</v>
      </c>
      <c r="D28" s="50"/>
    </row>
    <row r="29" spans="1:4">
      <c r="A29" s="41" t="s">
        <v>276</v>
      </c>
      <c r="B29" s="247">
        <f>B34*'ha_N2O bodem landbouw'!B4</f>
        <v>13.253830972642028</v>
      </c>
      <c r="C29" s="247">
        <f>B29*'GWP N2O_CH4'!B4</f>
        <v>4108.6876015190282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2.9063265024392828E-3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2.0669248754235874E-4</v>
      </c>
      <c r="C5" s="437" t="s">
        <v>210</v>
      </c>
      <c r="D5" s="422">
        <f>SUM(D6:D11)</f>
        <v>7.6319758885148501E-4</v>
      </c>
      <c r="E5" s="422">
        <f>SUM(E6:E11)</f>
        <v>6.8373955583625684E-4</v>
      </c>
      <c r="F5" s="435" t="s">
        <v>210</v>
      </c>
      <c r="G5" s="422">
        <f>SUM(G6:G11)</f>
        <v>0.34746456965363848</v>
      </c>
      <c r="H5" s="422">
        <f>SUM(H6:H11)</f>
        <v>7.1923224159164079E-2</v>
      </c>
      <c r="I5" s="437" t="s">
        <v>210</v>
      </c>
      <c r="J5" s="437" t="s">
        <v>210</v>
      </c>
      <c r="K5" s="437" t="s">
        <v>210</v>
      </c>
      <c r="L5" s="437" t="s">
        <v>210</v>
      </c>
      <c r="M5" s="422">
        <f>SUM(M6:M11)</f>
        <v>2.4790527447383234E-2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1.0280595387013735E-4</v>
      </c>
      <c r="C6" s="423"/>
      <c r="D6" s="890">
        <f>vkm_GW_PW*SUMIFS(TableVerdeelsleutelVkm[CNG],TableVerdeelsleutelVkm[Voertuigtype],"Lichte voertuigen")*SUMIFS(TableECFTransport[EnergieConsumptieFactor (PJ per km)],TableECFTransport[Index],CONCATENATE($A6,"_CNG_CNG"))</f>
        <v>3.3117934699686876E-4</v>
      </c>
      <c r="E6" s="890">
        <f>vkm_GW_PW*SUMIFS(TableVerdeelsleutelVkm[LPG],TableVerdeelsleutelVkm[Voertuigtype],"Lichte voertuigen")*SUMIFS(TableECFTransport[EnergieConsumptieFactor (PJ per km)],TableECFTransport[Index],CONCATENATE($A6,"_LPG_LPG"))</f>
        <v>2.8321683040297688E-4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9.1493038274469404E-2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3.1024728150962216E-2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7.3279937977653812E-3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5.0949628434227533E-2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7.2853393959879424E-7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2.9368591837420428E-3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4.3324010317152203E-5</v>
      </c>
      <c r="C8" s="423"/>
      <c r="D8" s="425">
        <f>vkm_NGW_PW*SUMIFS(TableVerdeelsleutelVkm[CNG],TableVerdeelsleutelVkm[Voertuigtype],"Lichte voertuigen")*SUMIFS(TableECFTransport[EnergieConsumptieFactor (PJ per km)],TableECFTransport[Index],CONCATENATE($A8,"_CNG_CNG"))</f>
        <v>2.3646096897060362E-4</v>
      </c>
      <c r="E8" s="425">
        <f>vkm_NGW_PW*SUMIFS(TableVerdeelsleutelVkm[LPG],TableVerdeelsleutelVkm[Voertuigtype],"Lichte voertuigen")*SUMIFS(TableECFTransport[EnergieConsumptieFactor (PJ per km)],TableECFTransport[Index],CONCATENATE($A8,"_LPG_LPG"))</f>
        <v>1.9213845891370802E-4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5.8000858112127782E-2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2.1781328382554956E-2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4.785433978443914E-3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1.1352828559195942E-2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2.0582515798889502E-7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6.5440723616247822E-4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6.0562523355069196E-5</v>
      </c>
      <c r="C10" s="423"/>
      <c r="D10" s="425">
        <f>vkm_SW_PW*SUMIFS(TableVerdeelsleutelVkm[CNG],TableVerdeelsleutelVkm[Voertuigtype],"Lichte voertuigen")*SUMIFS(TableECFTransport[EnergieConsumptieFactor (PJ per km)],TableECFTransport[Index],CONCATENATE($A10,"_CNG_CNG"))</f>
        <v>1.9555727288401265E-4</v>
      </c>
      <c r="E10" s="425">
        <f>vkm_SW_PW*SUMIFS(TableVerdeelsleutelVkm[LPG],TableVerdeelsleutelVkm[Voertuigtype],"Lichte voertuigen")*SUMIFS(TableECFTransport[EnergieConsumptieFactor (PJ per km)],TableECFTransport[Index],CONCATENATE($A10,"_LPG_LPG"))</f>
        <v>2.08384266519572E-4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5.9980277837797233E-2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1.9115076859099946E-2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4.7229934420998723E-3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7.5687938435820543E-2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1.1564074493825932E-6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4.3628398091695459E-3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57.414579872877432</v>
      </c>
      <c r="C14" s="21"/>
      <c r="D14" s="21">
        <f t="shared" ref="D14:M14" si="0">((D5)*10^9/3600)+D12</f>
        <v>211.99933023652363</v>
      </c>
      <c r="E14" s="21">
        <f t="shared" si="0"/>
        <v>189.92765439896024</v>
      </c>
      <c r="F14" s="21"/>
      <c r="G14" s="21">
        <f t="shared" si="0"/>
        <v>96517.936014899577</v>
      </c>
      <c r="H14" s="21">
        <f t="shared" si="0"/>
        <v>19978.67337754558</v>
      </c>
      <c r="I14" s="21"/>
      <c r="J14" s="21"/>
      <c r="K14" s="21"/>
      <c r="L14" s="21"/>
      <c r="M14" s="21">
        <f t="shared" si="0"/>
        <v>6886.2576242731211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0.16635869494342445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9.5514145783768942</v>
      </c>
      <c r="C18" s="23"/>
      <c r="D18" s="23">
        <f t="shared" ref="D18:M18" si="1">D14*D16</f>
        <v>42.82386470777778</v>
      </c>
      <c r="E18" s="23">
        <f t="shared" si="1"/>
        <v>43.113577548563974</v>
      </c>
      <c r="F18" s="23"/>
      <c r="G18" s="23">
        <f t="shared" si="1"/>
        <v>25770.288915978188</v>
      </c>
      <c r="H18" s="23">
        <f t="shared" si="1"/>
        <v>4974.6896710088495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8.7836120126140492E-4</v>
      </c>
      <c r="H50" s="319">
        <f t="shared" si="2"/>
        <v>0</v>
      </c>
      <c r="I50" s="319">
        <f t="shared" si="2"/>
        <v>0</v>
      </c>
      <c r="J50" s="319">
        <f t="shared" si="2"/>
        <v>0</v>
      </c>
      <c r="K50" s="319">
        <f t="shared" si="2"/>
        <v>0</v>
      </c>
      <c r="L50" s="319">
        <f t="shared" si="2"/>
        <v>0</v>
      </c>
      <c r="M50" s="319">
        <f t="shared" si="2"/>
        <v>4.8811732011001196E-5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8.7836120126140492E-4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4.8811732011001196E-5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243.98922257261248</v>
      </c>
      <c r="H54" s="21">
        <f t="shared" si="3"/>
        <v>0</v>
      </c>
      <c r="I54" s="21">
        <f t="shared" si="3"/>
        <v>0</v>
      </c>
      <c r="J54" s="21">
        <f t="shared" si="3"/>
        <v>0</v>
      </c>
      <c r="K54" s="21">
        <f t="shared" si="3"/>
        <v>0</v>
      </c>
      <c r="L54" s="21">
        <f t="shared" si="3"/>
        <v>0</v>
      </c>
      <c r="M54" s="21">
        <f t="shared" si="3"/>
        <v>13.558814447500332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0.16635869494342445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65.145122426887539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19615.714973999999</v>
      </c>
      <c r="D10" s="686">
        <f ca="1">tertiair!C16</f>
        <v>0</v>
      </c>
      <c r="E10" s="686">
        <f ca="1">tertiair!D16</f>
        <v>31069.737757080002</v>
      </c>
      <c r="F10" s="686">
        <f>tertiair!E16</f>
        <v>323.90425224574221</v>
      </c>
      <c r="G10" s="686">
        <f ca="1">tertiair!F16</f>
        <v>1991.4562213789109</v>
      </c>
      <c r="H10" s="686">
        <f>tertiair!G16</f>
        <v>0</v>
      </c>
      <c r="I10" s="686">
        <f>tertiair!H16</f>
        <v>0</v>
      </c>
      <c r="J10" s="686">
        <f>tertiair!I16</f>
        <v>0</v>
      </c>
      <c r="K10" s="686">
        <f>tertiair!J16</f>
        <v>1.7945251517890219E-2</v>
      </c>
      <c r="L10" s="686">
        <f>tertiair!K16</f>
        <v>0</v>
      </c>
      <c r="M10" s="686">
        <f ca="1">tertiair!L16</f>
        <v>0</v>
      </c>
      <c r="N10" s="686">
        <f>tertiair!M16</f>
        <v>0</v>
      </c>
      <c r="O10" s="686">
        <f ca="1">tertiair!N16</f>
        <v>713.69397223497504</v>
      </c>
      <c r="P10" s="686">
        <f>tertiair!O16</f>
        <v>19.589043063364617</v>
      </c>
      <c r="Q10" s="687">
        <f>tertiair!P16</f>
        <v>157.61741491948504</v>
      </c>
      <c r="R10" s="689">
        <f ca="1">SUM(C10:Q10)</f>
        <v>53891.731580174004</v>
      </c>
      <c r="S10" s="67"/>
    </row>
    <row r="11" spans="1:19" s="448" customFormat="1">
      <c r="A11" s="808" t="s">
        <v>224</v>
      </c>
      <c r="B11" s="813"/>
      <c r="C11" s="686">
        <f>huishoudens!B8</f>
        <v>35009.064672170702</v>
      </c>
      <c r="D11" s="686">
        <f>huishoudens!C8</f>
        <v>0</v>
      </c>
      <c r="E11" s="686">
        <f>huishoudens!D8</f>
        <v>89547.131035273997</v>
      </c>
      <c r="F11" s="686">
        <f>huishoudens!E8</f>
        <v>10836.095721142983</v>
      </c>
      <c r="G11" s="686">
        <f>huishoudens!F8</f>
        <v>0</v>
      </c>
      <c r="H11" s="686">
        <f>huishoudens!G8</f>
        <v>0</v>
      </c>
      <c r="I11" s="686">
        <f>huishoudens!H8</f>
        <v>0</v>
      </c>
      <c r="J11" s="686">
        <f>huishoudens!I8</f>
        <v>0</v>
      </c>
      <c r="K11" s="686">
        <f>huishoudens!J8</f>
        <v>458.28480801639768</v>
      </c>
      <c r="L11" s="686">
        <f>huishoudens!K8</f>
        <v>0</v>
      </c>
      <c r="M11" s="686">
        <f>huishoudens!L8</f>
        <v>0</v>
      </c>
      <c r="N11" s="686">
        <f>huishoudens!M8</f>
        <v>0</v>
      </c>
      <c r="O11" s="686">
        <f>huishoudens!N8</f>
        <v>15939.69267410706</v>
      </c>
      <c r="P11" s="686">
        <f>huishoudens!O8</f>
        <v>343.22477195395646</v>
      </c>
      <c r="Q11" s="687">
        <f>huishoudens!P8</f>
        <v>537.23192469193623</v>
      </c>
      <c r="R11" s="689">
        <f>SUM(C11:Q11)</f>
        <v>152670.72560735705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73630.063481999998</v>
      </c>
      <c r="D13" s="686">
        <f>industrie!C18</f>
        <v>0</v>
      </c>
      <c r="E13" s="686">
        <f>industrie!D18</f>
        <v>39612.656534418005</v>
      </c>
      <c r="F13" s="686">
        <f>industrie!E18</f>
        <v>2874.5624360114707</v>
      </c>
      <c r="G13" s="686">
        <f>industrie!F18</f>
        <v>10948.949953108153</v>
      </c>
      <c r="H13" s="686">
        <f>industrie!G18</f>
        <v>0</v>
      </c>
      <c r="I13" s="686">
        <f>industrie!H18</f>
        <v>0</v>
      </c>
      <c r="J13" s="686">
        <f>industrie!I18</f>
        <v>0</v>
      </c>
      <c r="K13" s="686">
        <f>industrie!J18</f>
        <v>434.37573766813273</v>
      </c>
      <c r="L13" s="686">
        <f>industrie!K18</f>
        <v>0</v>
      </c>
      <c r="M13" s="686">
        <f>industrie!L18</f>
        <v>0</v>
      </c>
      <c r="N13" s="686">
        <f>industrie!M18</f>
        <v>0</v>
      </c>
      <c r="O13" s="686">
        <f>industrie!N18</f>
        <v>3134.9510914652046</v>
      </c>
      <c r="P13" s="686">
        <f>industrie!O18</f>
        <v>0</v>
      </c>
      <c r="Q13" s="687">
        <f>industrie!P18</f>
        <v>0</v>
      </c>
      <c r="R13" s="689">
        <f>SUM(C13:Q13)</f>
        <v>130635.55923467096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128254.8431281707</v>
      </c>
      <c r="D16" s="722">
        <f t="shared" ref="D16:R16" ca="1" si="0">SUM(D9:D15)</f>
        <v>0</v>
      </c>
      <c r="E16" s="722">
        <f t="shared" ca="1" si="0"/>
        <v>160229.52532677201</v>
      </c>
      <c r="F16" s="722">
        <f t="shared" si="0"/>
        <v>14034.562409400196</v>
      </c>
      <c r="G16" s="722">
        <f t="shared" ca="1" si="0"/>
        <v>12940.406174487063</v>
      </c>
      <c r="H16" s="722">
        <f t="shared" si="0"/>
        <v>0</v>
      </c>
      <c r="I16" s="722">
        <f t="shared" si="0"/>
        <v>0</v>
      </c>
      <c r="J16" s="722">
        <f t="shared" si="0"/>
        <v>0</v>
      </c>
      <c r="K16" s="722">
        <f t="shared" si="0"/>
        <v>892.67849093604832</v>
      </c>
      <c r="L16" s="722">
        <f t="shared" si="0"/>
        <v>0</v>
      </c>
      <c r="M16" s="722">
        <f t="shared" ca="1" si="0"/>
        <v>0</v>
      </c>
      <c r="N16" s="722">
        <f t="shared" si="0"/>
        <v>0</v>
      </c>
      <c r="O16" s="722">
        <f t="shared" ca="1" si="0"/>
        <v>19788.33773780724</v>
      </c>
      <c r="P16" s="722">
        <f t="shared" si="0"/>
        <v>362.81381501732108</v>
      </c>
      <c r="Q16" s="722">
        <f t="shared" si="0"/>
        <v>694.84933961142133</v>
      </c>
      <c r="R16" s="722">
        <f t="shared" ca="1" si="0"/>
        <v>337198.016422202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243.98922257261248</v>
      </c>
      <c r="I19" s="686">
        <f>transport!H54</f>
        <v>0</v>
      </c>
      <c r="J19" s="686">
        <f>transport!I54</f>
        <v>0</v>
      </c>
      <c r="K19" s="686">
        <f>transport!J54</f>
        <v>0</v>
      </c>
      <c r="L19" s="686">
        <f>transport!K54</f>
        <v>0</v>
      </c>
      <c r="M19" s="686">
        <f>transport!L54</f>
        <v>0</v>
      </c>
      <c r="N19" s="686">
        <f>transport!M54</f>
        <v>13.558814447500332</v>
      </c>
      <c r="O19" s="686">
        <f>transport!N54</f>
        <v>0</v>
      </c>
      <c r="P19" s="686">
        <f>transport!O54</f>
        <v>0</v>
      </c>
      <c r="Q19" s="687">
        <f>transport!P54</f>
        <v>0</v>
      </c>
      <c r="R19" s="689">
        <f>SUM(C19:Q19)</f>
        <v>257.54803702011282</v>
      </c>
      <c r="S19" s="67"/>
    </row>
    <row r="20" spans="1:19" s="448" customFormat="1">
      <c r="A20" s="808" t="s">
        <v>306</v>
      </c>
      <c r="B20" s="813"/>
      <c r="C20" s="686">
        <f>transport!B14</f>
        <v>57.414579872877432</v>
      </c>
      <c r="D20" s="686">
        <f>transport!C14</f>
        <v>0</v>
      </c>
      <c r="E20" s="686">
        <f>transport!D14</f>
        <v>211.99933023652363</v>
      </c>
      <c r="F20" s="686">
        <f>transport!E14</f>
        <v>189.92765439896024</v>
      </c>
      <c r="G20" s="686">
        <f>transport!F14</f>
        <v>0</v>
      </c>
      <c r="H20" s="686">
        <f>transport!G14</f>
        <v>96517.936014899577</v>
      </c>
      <c r="I20" s="686">
        <f>transport!H14</f>
        <v>19978.67337754558</v>
      </c>
      <c r="J20" s="686">
        <f>transport!I14</f>
        <v>0</v>
      </c>
      <c r="K20" s="686">
        <f>transport!J14</f>
        <v>0</v>
      </c>
      <c r="L20" s="686">
        <f>transport!K14</f>
        <v>0</v>
      </c>
      <c r="M20" s="686">
        <f>transport!L14</f>
        <v>0</v>
      </c>
      <c r="N20" s="686">
        <f>transport!M14</f>
        <v>6886.2576242731211</v>
      </c>
      <c r="O20" s="686">
        <f>transport!N14</f>
        <v>0</v>
      </c>
      <c r="P20" s="686">
        <f>transport!O14</f>
        <v>0</v>
      </c>
      <c r="Q20" s="687">
        <f>transport!P14</f>
        <v>0</v>
      </c>
      <c r="R20" s="689">
        <f>SUM(C20:Q20)</f>
        <v>123842.20858122663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57.414579872877432</v>
      </c>
      <c r="D22" s="811">
        <f t="shared" ref="D22:R22" si="1">SUM(D18:D21)</f>
        <v>0</v>
      </c>
      <c r="E22" s="811">
        <f t="shared" si="1"/>
        <v>211.99933023652363</v>
      </c>
      <c r="F22" s="811">
        <f t="shared" si="1"/>
        <v>189.92765439896024</v>
      </c>
      <c r="G22" s="811">
        <f t="shared" si="1"/>
        <v>0</v>
      </c>
      <c r="H22" s="811">
        <f t="shared" si="1"/>
        <v>96761.925237472184</v>
      </c>
      <c r="I22" s="811">
        <f t="shared" si="1"/>
        <v>19978.67337754558</v>
      </c>
      <c r="J22" s="811">
        <f t="shared" si="1"/>
        <v>0</v>
      </c>
      <c r="K22" s="811">
        <f t="shared" si="1"/>
        <v>0</v>
      </c>
      <c r="L22" s="811">
        <f t="shared" si="1"/>
        <v>0</v>
      </c>
      <c r="M22" s="811">
        <f t="shared" si="1"/>
        <v>0</v>
      </c>
      <c r="N22" s="811">
        <f t="shared" si="1"/>
        <v>6899.8164387206216</v>
      </c>
      <c r="O22" s="811">
        <f t="shared" si="1"/>
        <v>0</v>
      </c>
      <c r="P22" s="811">
        <f t="shared" si="1"/>
        <v>0</v>
      </c>
      <c r="Q22" s="811">
        <f t="shared" si="1"/>
        <v>0</v>
      </c>
      <c r="R22" s="811">
        <f t="shared" si="1"/>
        <v>124099.75661824674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1636.120588</v>
      </c>
      <c r="D24" s="686">
        <f>+landbouw!C8</f>
        <v>0</v>
      </c>
      <c r="E24" s="686">
        <f>+landbouw!D8</f>
        <v>686.4556509140001</v>
      </c>
      <c r="F24" s="686">
        <f>+landbouw!E8</f>
        <v>51.062784025470258</v>
      </c>
      <c r="G24" s="686">
        <f>+landbouw!F8</f>
        <v>5782.2314025414862</v>
      </c>
      <c r="H24" s="686">
        <f>+landbouw!G8</f>
        <v>0</v>
      </c>
      <c r="I24" s="686">
        <f>+landbouw!H8</f>
        <v>0</v>
      </c>
      <c r="J24" s="686">
        <f>+landbouw!I8</f>
        <v>0</v>
      </c>
      <c r="K24" s="686">
        <f>+landbouw!J8</f>
        <v>450.76256839083862</v>
      </c>
      <c r="L24" s="686">
        <f>+landbouw!K8</f>
        <v>0</v>
      </c>
      <c r="M24" s="686">
        <f>+landbouw!L8</f>
        <v>0</v>
      </c>
      <c r="N24" s="686">
        <f>+landbouw!M8</f>
        <v>0</v>
      </c>
      <c r="O24" s="686">
        <f>+landbouw!N8</f>
        <v>0</v>
      </c>
      <c r="P24" s="686">
        <f>+landbouw!O8</f>
        <v>0</v>
      </c>
      <c r="Q24" s="687">
        <f>+landbouw!P8</f>
        <v>0</v>
      </c>
      <c r="R24" s="689">
        <f>SUM(C24:Q24)</f>
        <v>8606.6329938717954</v>
      </c>
      <c r="S24" s="67"/>
    </row>
    <row r="25" spans="1:19" s="448" customFormat="1" ht="15" thickBot="1">
      <c r="A25" s="830" t="s">
        <v>724</v>
      </c>
      <c r="B25" s="949"/>
      <c r="C25" s="950">
        <f>IF(Onbekend_ele_kWh="---",0,Onbekend_ele_kWh)/1000+IF(REST_rest_ele_kWh="---",0,REST_rest_ele_kWh)/1000</f>
        <v>2385.046018</v>
      </c>
      <c r="D25" s="950"/>
      <c r="E25" s="950">
        <f>IF(onbekend_gas_kWh="---",0,onbekend_gas_kWh)/1000+IF(REST_rest_gas_kWh="---",0,REST_rest_gas_kWh)/1000</f>
        <v>2463.1240279999997</v>
      </c>
      <c r="F25" s="950"/>
      <c r="G25" s="950"/>
      <c r="H25" s="950"/>
      <c r="I25" s="950"/>
      <c r="J25" s="950"/>
      <c r="K25" s="950"/>
      <c r="L25" s="950"/>
      <c r="M25" s="950"/>
      <c r="N25" s="950"/>
      <c r="O25" s="950"/>
      <c r="P25" s="950"/>
      <c r="Q25" s="951"/>
      <c r="R25" s="689">
        <f>SUM(C25:Q25)</f>
        <v>4848.1700459999993</v>
      </c>
      <c r="S25" s="67"/>
    </row>
    <row r="26" spans="1:19" s="448" customFormat="1" ht="15.75" thickBot="1">
      <c r="A26" s="694" t="s">
        <v>725</v>
      </c>
      <c r="B26" s="816"/>
      <c r="C26" s="811">
        <f>SUM(C24:C25)</f>
        <v>4021.1666059999998</v>
      </c>
      <c r="D26" s="811">
        <f t="shared" ref="D26:R26" si="2">SUM(D24:D25)</f>
        <v>0</v>
      </c>
      <c r="E26" s="811">
        <f t="shared" si="2"/>
        <v>3149.5796789139999</v>
      </c>
      <c r="F26" s="811">
        <f t="shared" si="2"/>
        <v>51.062784025470258</v>
      </c>
      <c r="G26" s="811">
        <f t="shared" si="2"/>
        <v>5782.2314025414862</v>
      </c>
      <c r="H26" s="811">
        <f t="shared" si="2"/>
        <v>0</v>
      </c>
      <c r="I26" s="811">
        <f t="shared" si="2"/>
        <v>0</v>
      </c>
      <c r="J26" s="811">
        <f t="shared" si="2"/>
        <v>0</v>
      </c>
      <c r="K26" s="811">
        <f t="shared" si="2"/>
        <v>450.76256839083862</v>
      </c>
      <c r="L26" s="811">
        <f t="shared" si="2"/>
        <v>0</v>
      </c>
      <c r="M26" s="811">
        <f t="shared" si="2"/>
        <v>0</v>
      </c>
      <c r="N26" s="811">
        <f t="shared" si="2"/>
        <v>0</v>
      </c>
      <c r="O26" s="811">
        <f t="shared" si="2"/>
        <v>0</v>
      </c>
      <c r="P26" s="811">
        <f t="shared" si="2"/>
        <v>0</v>
      </c>
      <c r="Q26" s="811">
        <f t="shared" si="2"/>
        <v>0</v>
      </c>
      <c r="R26" s="811">
        <f t="shared" si="2"/>
        <v>13454.803039871795</v>
      </c>
      <c r="S26" s="67"/>
    </row>
    <row r="27" spans="1:19" s="448" customFormat="1" ht="17.25" thickTop="1" thickBot="1">
      <c r="A27" s="695" t="s">
        <v>115</v>
      </c>
      <c r="B27" s="803"/>
      <c r="C27" s="696">
        <f ca="1">C22+C16+C26</f>
        <v>132333.42431404357</v>
      </c>
      <c r="D27" s="696">
        <f t="shared" ref="D27:R27" ca="1" si="3">D22+D16+D26</f>
        <v>0</v>
      </c>
      <c r="E27" s="696">
        <f t="shared" ca="1" si="3"/>
        <v>163591.10433592252</v>
      </c>
      <c r="F27" s="696">
        <f t="shared" si="3"/>
        <v>14275.552847824627</v>
      </c>
      <c r="G27" s="696">
        <f t="shared" ca="1" si="3"/>
        <v>18722.637577028549</v>
      </c>
      <c r="H27" s="696">
        <f t="shared" si="3"/>
        <v>96761.925237472184</v>
      </c>
      <c r="I27" s="696">
        <f t="shared" si="3"/>
        <v>19978.67337754558</v>
      </c>
      <c r="J27" s="696">
        <f t="shared" si="3"/>
        <v>0</v>
      </c>
      <c r="K27" s="696">
        <f t="shared" si="3"/>
        <v>1343.4410593268869</v>
      </c>
      <c r="L27" s="696">
        <f t="shared" si="3"/>
        <v>0</v>
      </c>
      <c r="M27" s="696">
        <f t="shared" ca="1" si="3"/>
        <v>0</v>
      </c>
      <c r="N27" s="696">
        <f t="shared" si="3"/>
        <v>6899.8164387206216</v>
      </c>
      <c r="O27" s="696">
        <f t="shared" ca="1" si="3"/>
        <v>19788.33773780724</v>
      </c>
      <c r="P27" s="696">
        <f t="shared" si="3"/>
        <v>362.81381501732108</v>
      </c>
      <c r="Q27" s="696">
        <f t="shared" si="3"/>
        <v>694.84933961142133</v>
      </c>
      <c r="R27" s="696">
        <f t="shared" ca="1" si="3"/>
        <v>474752.57608032052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3263.2447434568289</v>
      </c>
      <c r="D40" s="686">
        <f ca="1">tertiair!C20</f>
        <v>0</v>
      </c>
      <c r="E40" s="686">
        <f ca="1">tertiair!D20</f>
        <v>6276.0870269301604</v>
      </c>
      <c r="F40" s="686">
        <f>tertiair!E20</f>
        <v>73.526265259783486</v>
      </c>
      <c r="G40" s="686">
        <f ca="1">tertiair!F20</f>
        <v>531.71881110816923</v>
      </c>
      <c r="H40" s="686">
        <f>tertiair!G20</f>
        <v>0</v>
      </c>
      <c r="I40" s="686">
        <f>tertiair!H20</f>
        <v>0</v>
      </c>
      <c r="J40" s="686">
        <f>tertiair!I20</f>
        <v>0</v>
      </c>
      <c r="K40" s="686">
        <f>tertiair!J20</f>
        <v>6.3526190373331369E-3</v>
      </c>
      <c r="L40" s="686">
        <f>tertiair!K20</f>
        <v>0</v>
      </c>
      <c r="M40" s="686">
        <f ca="1">tertiair!L20</f>
        <v>0</v>
      </c>
      <c r="N40" s="686">
        <f>tertiair!M20</f>
        <v>0</v>
      </c>
      <c r="O40" s="686">
        <f ca="1">tertiair!N20</f>
        <v>0</v>
      </c>
      <c r="P40" s="686">
        <f>tertiair!O20</f>
        <v>0</v>
      </c>
      <c r="Q40" s="769">
        <f>tertiair!P20</f>
        <v>0</v>
      </c>
      <c r="R40" s="849">
        <f t="shared" ca="1" si="4"/>
        <v>10144.583199373978</v>
      </c>
    </row>
    <row r="41" spans="1:18">
      <c r="A41" s="821" t="s">
        <v>224</v>
      </c>
      <c r="B41" s="828"/>
      <c r="C41" s="686">
        <f ca="1">huishoudens!B12</f>
        <v>5824.0623100522635</v>
      </c>
      <c r="D41" s="686">
        <f ca="1">huishoudens!C12</f>
        <v>0</v>
      </c>
      <c r="E41" s="686">
        <f>huishoudens!D12</f>
        <v>18088.520469125349</v>
      </c>
      <c r="F41" s="686">
        <f>huishoudens!E12</f>
        <v>2459.7937286994575</v>
      </c>
      <c r="G41" s="686">
        <f>huishoudens!F12</f>
        <v>0</v>
      </c>
      <c r="H41" s="686">
        <f>huishoudens!G12</f>
        <v>0</v>
      </c>
      <c r="I41" s="686">
        <f>huishoudens!H12</f>
        <v>0</v>
      </c>
      <c r="J41" s="686">
        <f>huishoudens!I12</f>
        <v>0</v>
      </c>
      <c r="K41" s="686">
        <f>huishoudens!J12</f>
        <v>162.23282203780477</v>
      </c>
      <c r="L41" s="686">
        <f>huishoudens!K12</f>
        <v>0</v>
      </c>
      <c r="M41" s="686">
        <f>huishoudens!L12</f>
        <v>0</v>
      </c>
      <c r="N41" s="686">
        <f>huishoudens!M12</f>
        <v>0</v>
      </c>
      <c r="O41" s="686">
        <f>huishoudens!N12</f>
        <v>0</v>
      </c>
      <c r="P41" s="686">
        <f>huishoudens!O12</f>
        <v>0</v>
      </c>
      <c r="Q41" s="769">
        <f>huishoudens!P12</f>
        <v>0</v>
      </c>
      <c r="R41" s="849">
        <f t="shared" ca="1" si="4"/>
        <v>26534.609329914874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12249.001269467015</v>
      </c>
      <c r="D43" s="686">
        <f ca="1">industrie!C22</f>
        <v>0</v>
      </c>
      <c r="E43" s="686">
        <f>industrie!D22</f>
        <v>8001.7566199524372</v>
      </c>
      <c r="F43" s="686">
        <f>industrie!E22</f>
        <v>652.52567297460382</v>
      </c>
      <c r="G43" s="686">
        <f>industrie!F22</f>
        <v>2923.3696374798769</v>
      </c>
      <c r="H43" s="686">
        <f>industrie!G22</f>
        <v>0</v>
      </c>
      <c r="I43" s="686">
        <f>industrie!H22</f>
        <v>0</v>
      </c>
      <c r="J43" s="686">
        <f>industrie!I22</f>
        <v>0</v>
      </c>
      <c r="K43" s="686">
        <f>industrie!J22</f>
        <v>153.76901113451899</v>
      </c>
      <c r="L43" s="686">
        <f>industrie!K22</f>
        <v>0</v>
      </c>
      <c r="M43" s="686">
        <f>industrie!L22</f>
        <v>0</v>
      </c>
      <c r="N43" s="686">
        <f>industrie!M22</f>
        <v>0</v>
      </c>
      <c r="O43" s="686">
        <f>industrie!N22</f>
        <v>0</v>
      </c>
      <c r="P43" s="686">
        <f>industrie!O22</f>
        <v>0</v>
      </c>
      <c r="Q43" s="769">
        <f>industrie!P22</f>
        <v>0</v>
      </c>
      <c r="R43" s="848">
        <f t="shared" ca="1" si="4"/>
        <v>23980.422211008452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21336.308322976107</v>
      </c>
      <c r="D46" s="722">
        <f t="shared" ref="D46:Q46" ca="1" si="5">SUM(D39:D45)</f>
        <v>0</v>
      </c>
      <c r="E46" s="722">
        <f t="shared" ca="1" si="5"/>
        <v>32366.364116007946</v>
      </c>
      <c r="F46" s="722">
        <f t="shared" si="5"/>
        <v>3185.8456669338448</v>
      </c>
      <c r="G46" s="722">
        <f t="shared" ca="1" si="5"/>
        <v>3455.088448588046</v>
      </c>
      <c r="H46" s="722">
        <f t="shared" si="5"/>
        <v>0</v>
      </c>
      <c r="I46" s="722">
        <f t="shared" si="5"/>
        <v>0</v>
      </c>
      <c r="J46" s="722">
        <f t="shared" si="5"/>
        <v>0</v>
      </c>
      <c r="K46" s="722">
        <f t="shared" si="5"/>
        <v>316.00818579136109</v>
      </c>
      <c r="L46" s="722">
        <f t="shared" si="5"/>
        <v>0</v>
      </c>
      <c r="M46" s="722">
        <f t="shared" ca="1" si="5"/>
        <v>0</v>
      </c>
      <c r="N46" s="722">
        <f t="shared" si="5"/>
        <v>0</v>
      </c>
      <c r="O46" s="722">
        <f t="shared" ca="1" si="5"/>
        <v>0</v>
      </c>
      <c r="P46" s="722">
        <f t="shared" si="5"/>
        <v>0</v>
      </c>
      <c r="Q46" s="722">
        <f t="shared" si="5"/>
        <v>0</v>
      </c>
      <c r="R46" s="722">
        <f ca="1">SUM(R39:R45)</f>
        <v>60659.6147402973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65.145122426887539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65.145122426887539</v>
      </c>
    </row>
    <row r="50" spans="1:18">
      <c r="A50" s="824" t="s">
        <v>306</v>
      </c>
      <c r="B50" s="834"/>
      <c r="C50" s="692">
        <f ca="1">transport!B18</f>
        <v>9.5514145783768942</v>
      </c>
      <c r="D50" s="692">
        <f>transport!C18</f>
        <v>0</v>
      </c>
      <c r="E50" s="692">
        <f>transport!D18</f>
        <v>42.82386470777778</v>
      </c>
      <c r="F50" s="692">
        <f>transport!E18</f>
        <v>43.113577548563974</v>
      </c>
      <c r="G50" s="692">
        <f>transport!F18</f>
        <v>0</v>
      </c>
      <c r="H50" s="692">
        <f>transport!G18</f>
        <v>25770.288915978188</v>
      </c>
      <c r="I50" s="692">
        <f>transport!H18</f>
        <v>4974.6896710088495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30840.467443821755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9.5514145783768942</v>
      </c>
      <c r="D52" s="722">
        <f t="shared" ref="D52:Q52" ca="1" si="6">SUM(D48:D51)</f>
        <v>0</v>
      </c>
      <c r="E52" s="722">
        <f t="shared" si="6"/>
        <v>42.82386470777778</v>
      </c>
      <c r="F52" s="722">
        <f t="shared" si="6"/>
        <v>43.113577548563974</v>
      </c>
      <c r="G52" s="722">
        <f t="shared" si="6"/>
        <v>0</v>
      </c>
      <c r="H52" s="722">
        <f t="shared" si="6"/>
        <v>25835.434038405074</v>
      </c>
      <c r="I52" s="722">
        <f t="shared" si="6"/>
        <v>4974.6896710088495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30905.612566248641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272.18288578974824</v>
      </c>
      <c r="D54" s="692">
        <f ca="1">+landbouw!C12</f>
        <v>0</v>
      </c>
      <c r="E54" s="692">
        <f>+landbouw!D12</f>
        <v>138.66404148462803</v>
      </c>
      <c r="F54" s="692">
        <f>+landbouw!E12</f>
        <v>11.591251973781748</v>
      </c>
      <c r="G54" s="692">
        <f>+landbouw!F12</f>
        <v>1543.8557844785769</v>
      </c>
      <c r="H54" s="692">
        <f>+landbouw!G12</f>
        <v>0</v>
      </c>
      <c r="I54" s="692">
        <f>+landbouw!H12</f>
        <v>0</v>
      </c>
      <c r="J54" s="692">
        <f>+landbouw!I12</f>
        <v>0</v>
      </c>
      <c r="K54" s="692">
        <f>+landbouw!J12</f>
        <v>159.56994921035687</v>
      </c>
      <c r="L54" s="692">
        <f>+landbouw!K12</f>
        <v>0</v>
      </c>
      <c r="M54" s="692">
        <f>+landbouw!L12</f>
        <v>0</v>
      </c>
      <c r="N54" s="692">
        <f>+landbouw!M12</f>
        <v>0</v>
      </c>
      <c r="O54" s="692">
        <f>+landbouw!N12</f>
        <v>0</v>
      </c>
      <c r="P54" s="692">
        <f>+landbouw!O12</f>
        <v>0</v>
      </c>
      <c r="Q54" s="693">
        <f>+landbouw!P12</f>
        <v>0</v>
      </c>
      <c r="R54" s="721">
        <f ca="1">SUM(C54:Q54)</f>
        <v>2125.8639129370918</v>
      </c>
    </row>
    <row r="55" spans="1:18" ht="15" thickBot="1">
      <c r="A55" s="824" t="s">
        <v>724</v>
      </c>
      <c r="B55" s="834"/>
      <c r="C55" s="692">
        <f ca="1">C25*'EF ele_warmte'!B12</f>
        <v>396.7731429344912</v>
      </c>
      <c r="D55" s="692"/>
      <c r="E55" s="692">
        <f>E25*EF_CO2_aardgas</f>
        <v>497.55105365599997</v>
      </c>
      <c r="F55" s="692"/>
      <c r="G55" s="692"/>
      <c r="H55" s="692"/>
      <c r="I55" s="692"/>
      <c r="J55" s="692"/>
      <c r="K55" s="692"/>
      <c r="L55" s="692"/>
      <c r="M55" s="692"/>
      <c r="N55" s="692"/>
      <c r="O55" s="692"/>
      <c r="P55" s="692"/>
      <c r="Q55" s="693"/>
      <c r="R55" s="721">
        <f ca="1">SUM(C55:Q55)</f>
        <v>894.32419659049117</v>
      </c>
    </row>
    <row r="56" spans="1:18" ht="15.75" thickBot="1">
      <c r="A56" s="822" t="s">
        <v>725</v>
      </c>
      <c r="B56" s="835"/>
      <c r="C56" s="722">
        <f ca="1">SUM(C54:C55)</f>
        <v>668.95602872423945</v>
      </c>
      <c r="D56" s="722">
        <f t="shared" ref="D56:Q56" ca="1" si="7">SUM(D54:D55)</f>
        <v>0</v>
      </c>
      <c r="E56" s="722">
        <f t="shared" si="7"/>
        <v>636.21509514062802</v>
      </c>
      <c r="F56" s="722">
        <f t="shared" si="7"/>
        <v>11.591251973781748</v>
      </c>
      <c r="G56" s="722">
        <f t="shared" si="7"/>
        <v>1543.8557844785769</v>
      </c>
      <c r="H56" s="722">
        <f t="shared" si="7"/>
        <v>0</v>
      </c>
      <c r="I56" s="722">
        <f t="shared" si="7"/>
        <v>0</v>
      </c>
      <c r="J56" s="722">
        <f t="shared" si="7"/>
        <v>0</v>
      </c>
      <c r="K56" s="722">
        <f t="shared" si="7"/>
        <v>159.56994921035687</v>
      </c>
      <c r="L56" s="722">
        <f t="shared" si="7"/>
        <v>0</v>
      </c>
      <c r="M56" s="722">
        <f t="shared" si="7"/>
        <v>0</v>
      </c>
      <c r="N56" s="722">
        <f t="shared" si="7"/>
        <v>0</v>
      </c>
      <c r="O56" s="722">
        <f t="shared" si="7"/>
        <v>0</v>
      </c>
      <c r="P56" s="722">
        <f t="shared" si="7"/>
        <v>0</v>
      </c>
      <c r="Q56" s="723">
        <f t="shared" si="7"/>
        <v>0</v>
      </c>
      <c r="R56" s="724">
        <f ca="1">SUM(R54:R55)</f>
        <v>3020.188109527583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22014.815766278723</v>
      </c>
      <c r="D61" s="730">
        <f t="shared" ref="D61:Q61" ca="1" si="8">D46+D52+D56</f>
        <v>0</v>
      </c>
      <c r="E61" s="730">
        <f t="shared" ca="1" si="8"/>
        <v>33045.403075856353</v>
      </c>
      <c r="F61" s="730">
        <f t="shared" si="8"/>
        <v>3240.5504964561906</v>
      </c>
      <c r="G61" s="730">
        <f t="shared" ca="1" si="8"/>
        <v>4998.9442330666225</v>
      </c>
      <c r="H61" s="730">
        <f t="shared" si="8"/>
        <v>25835.434038405074</v>
      </c>
      <c r="I61" s="730">
        <f t="shared" si="8"/>
        <v>4974.6896710088495</v>
      </c>
      <c r="J61" s="730">
        <f t="shared" si="8"/>
        <v>0</v>
      </c>
      <c r="K61" s="730">
        <f t="shared" si="8"/>
        <v>475.57813500171795</v>
      </c>
      <c r="L61" s="730">
        <f t="shared" si="8"/>
        <v>0</v>
      </c>
      <c r="M61" s="730">
        <f t="shared" ca="1" si="8"/>
        <v>0</v>
      </c>
      <c r="N61" s="730">
        <f t="shared" si="8"/>
        <v>0</v>
      </c>
      <c r="O61" s="730">
        <f t="shared" ca="1" si="8"/>
        <v>0</v>
      </c>
      <c r="P61" s="730">
        <f t="shared" si="8"/>
        <v>0</v>
      </c>
      <c r="Q61" s="730">
        <f t="shared" si="8"/>
        <v>0</v>
      </c>
      <c r="R61" s="730">
        <f ca="1">R46+R52+R56</f>
        <v>94585.415416073534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0.16635869494342445</v>
      </c>
      <c r="D63" s="776">
        <f t="shared" ca="1" si="9"/>
        <v>0</v>
      </c>
      <c r="E63" s="975">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26090.999480507016</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6627.8738548997917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32718.87333540681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26090.999480507016</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6627.8738548997917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32718.87333540681</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35009.064672170702</v>
      </c>
      <c r="C4" s="452">
        <f>huishoudens!C8</f>
        <v>0</v>
      </c>
      <c r="D4" s="452">
        <f>huishoudens!D8</f>
        <v>89547.131035273997</v>
      </c>
      <c r="E4" s="452">
        <f>huishoudens!E8</f>
        <v>10836.095721142983</v>
      </c>
      <c r="F4" s="452">
        <f>huishoudens!F8</f>
        <v>0</v>
      </c>
      <c r="G4" s="452">
        <f>huishoudens!G8</f>
        <v>0</v>
      </c>
      <c r="H4" s="452">
        <f>huishoudens!H8</f>
        <v>0</v>
      </c>
      <c r="I4" s="452">
        <f>huishoudens!I8</f>
        <v>0</v>
      </c>
      <c r="J4" s="452">
        <f>huishoudens!J8</f>
        <v>458.28480801639768</v>
      </c>
      <c r="K4" s="452">
        <f>huishoudens!K8</f>
        <v>0</v>
      </c>
      <c r="L4" s="452">
        <f>huishoudens!L8</f>
        <v>0</v>
      </c>
      <c r="M4" s="452">
        <f>huishoudens!M8</f>
        <v>0</v>
      </c>
      <c r="N4" s="452">
        <f>huishoudens!N8</f>
        <v>15939.69267410706</v>
      </c>
      <c r="O4" s="452">
        <f>huishoudens!O8</f>
        <v>343.22477195395646</v>
      </c>
      <c r="P4" s="453">
        <f>huishoudens!P8</f>
        <v>537.23192469193623</v>
      </c>
      <c r="Q4" s="454">
        <f>SUM(B4:P4)</f>
        <v>152670.72560735705</v>
      </c>
    </row>
    <row r="5" spans="1:17">
      <c r="A5" s="451" t="s">
        <v>155</v>
      </c>
      <c r="B5" s="452">
        <f ca="1">tertiair!B16</f>
        <v>18251.699973999999</v>
      </c>
      <c r="C5" s="452">
        <f ca="1">tertiair!C16</f>
        <v>0</v>
      </c>
      <c r="D5" s="452">
        <f ca="1">tertiair!D16</f>
        <v>31069.737757080002</v>
      </c>
      <c r="E5" s="452">
        <f>tertiair!E16</f>
        <v>323.90425224574221</v>
      </c>
      <c r="F5" s="452">
        <f ca="1">tertiair!F16</f>
        <v>1991.4562213789109</v>
      </c>
      <c r="G5" s="452">
        <f>tertiair!G16</f>
        <v>0</v>
      </c>
      <c r="H5" s="452">
        <f>tertiair!H16</f>
        <v>0</v>
      </c>
      <c r="I5" s="452">
        <f>tertiair!I16</f>
        <v>0</v>
      </c>
      <c r="J5" s="452">
        <f>tertiair!J16</f>
        <v>1.7945251517890219E-2</v>
      </c>
      <c r="K5" s="452">
        <f>tertiair!K16</f>
        <v>0</v>
      </c>
      <c r="L5" s="452">
        <f ca="1">tertiair!L16</f>
        <v>0</v>
      </c>
      <c r="M5" s="452">
        <f>tertiair!M16</f>
        <v>0</v>
      </c>
      <c r="N5" s="452">
        <f ca="1">tertiair!N16</f>
        <v>713.69397223497504</v>
      </c>
      <c r="O5" s="452">
        <f>tertiair!O16</f>
        <v>19.589043063364617</v>
      </c>
      <c r="P5" s="453">
        <f>tertiair!P16</f>
        <v>157.61741491948504</v>
      </c>
      <c r="Q5" s="451">
        <f t="shared" ref="Q5:Q14" ca="1" si="0">SUM(B5:P5)</f>
        <v>52527.716580174005</v>
      </c>
    </row>
    <row r="6" spans="1:17">
      <c r="A6" s="451" t="s">
        <v>193</v>
      </c>
      <c r="B6" s="452">
        <f>'openbare verlichting'!B8</f>
        <v>1364.0150000000001</v>
      </c>
      <c r="C6" s="452"/>
      <c r="D6" s="452"/>
      <c r="E6" s="452"/>
      <c r="F6" s="452"/>
      <c r="G6" s="452"/>
      <c r="H6" s="452"/>
      <c r="I6" s="452"/>
      <c r="J6" s="452"/>
      <c r="K6" s="452"/>
      <c r="L6" s="452"/>
      <c r="M6" s="452"/>
      <c r="N6" s="452"/>
      <c r="O6" s="452"/>
      <c r="P6" s="453"/>
      <c r="Q6" s="451">
        <f t="shared" si="0"/>
        <v>1364.0150000000001</v>
      </c>
    </row>
    <row r="7" spans="1:17">
      <c r="A7" s="451" t="s">
        <v>111</v>
      </c>
      <c r="B7" s="452">
        <f>landbouw!B8</f>
        <v>1636.120588</v>
      </c>
      <c r="C7" s="452">
        <f>landbouw!C8</f>
        <v>0</v>
      </c>
      <c r="D7" s="452">
        <f>landbouw!D8</f>
        <v>686.4556509140001</v>
      </c>
      <c r="E7" s="452">
        <f>landbouw!E8</f>
        <v>51.062784025470258</v>
      </c>
      <c r="F7" s="452">
        <f>landbouw!F8</f>
        <v>5782.2314025414862</v>
      </c>
      <c r="G7" s="452">
        <f>landbouw!G8</f>
        <v>0</v>
      </c>
      <c r="H7" s="452">
        <f>landbouw!H8</f>
        <v>0</v>
      </c>
      <c r="I7" s="452">
        <f>landbouw!I8</f>
        <v>0</v>
      </c>
      <c r="J7" s="452">
        <f>landbouw!J8</f>
        <v>450.76256839083862</v>
      </c>
      <c r="K7" s="452">
        <f>landbouw!K8</f>
        <v>0</v>
      </c>
      <c r="L7" s="452">
        <f>landbouw!L8</f>
        <v>0</v>
      </c>
      <c r="M7" s="452">
        <f>landbouw!M8</f>
        <v>0</v>
      </c>
      <c r="N7" s="452">
        <f>landbouw!N8</f>
        <v>0</v>
      </c>
      <c r="O7" s="452">
        <f>landbouw!O8</f>
        <v>0</v>
      </c>
      <c r="P7" s="453">
        <f>landbouw!P8</f>
        <v>0</v>
      </c>
      <c r="Q7" s="451">
        <f t="shared" si="0"/>
        <v>8606.6329938717954</v>
      </c>
    </row>
    <row r="8" spans="1:17">
      <c r="A8" s="451" t="s">
        <v>625</v>
      </c>
      <c r="B8" s="452">
        <f>industrie!B18</f>
        <v>73630.063481999998</v>
      </c>
      <c r="C8" s="452">
        <f>industrie!C18</f>
        <v>0</v>
      </c>
      <c r="D8" s="452">
        <f>industrie!D18</f>
        <v>39612.656534418005</v>
      </c>
      <c r="E8" s="452">
        <f>industrie!E18</f>
        <v>2874.5624360114707</v>
      </c>
      <c r="F8" s="452">
        <f>industrie!F18</f>
        <v>10948.949953108153</v>
      </c>
      <c r="G8" s="452">
        <f>industrie!G18</f>
        <v>0</v>
      </c>
      <c r="H8" s="452">
        <f>industrie!H18</f>
        <v>0</v>
      </c>
      <c r="I8" s="452">
        <f>industrie!I18</f>
        <v>0</v>
      </c>
      <c r="J8" s="452">
        <f>industrie!J18</f>
        <v>434.37573766813273</v>
      </c>
      <c r="K8" s="452">
        <f>industrie!K18</f>
        <v>0</v>
      </c>
      <c r="L8" s="452">
        <f>industrie!L18</f>
        <v>0</v>
      </c>
      <c r="M8" s="452">
        <f>industrie!M18</f>
        <v>0</v>
      </c>
      <c r="N8" s="452">
        <f>industrie!N18</f>
        <v>3134.9510914652046</v>
      </c>
      <c r="O8" s="452">
        <f>industrie!O18</f>
        <v>0</v>
      </c>
      <c r="P8" s="453">
        <f>industrie!P18</f>
        <v>0</v>
      </c>
      <c r="Q8" s="451">
        <f t="shared" si="0"/>
        <v>130635.55923467096</v>
      </c>
    </row>
    <row r="9" spans="1:17" s="457" customFormat="1">
      <c r="A9" s="455" t="s">
        <v>551</v>
      </c>
      <c r="B9" s="456">
        <f>transport!B14</f>
        <v>57.414579872877432</v>
      </c>
      <c r="C9" s="456">
        <f>transport!C14</f>
        <v>0</v>
      </c>
      <c r="D9" s="456">
        <f>transport!D14</f>
        <v>211.99933023652363</v>
      </c>
      <c r="E9" s="456">
        <f>transport!E14</f>
        <v>189.92765439896024</v>
      </c>
      <c r="F9" s="456">
        <f>transport!F14</f>
        <v>0</v>
      </c>
      <c r="G9" s="456">
        <f>transport!G14</f>
        <v>96517.936014899577</v>
      </c>
      <c r="H9" s="456">
        <f>transport!H14</f>
        <v>19978.67337754558</v>
      </c>
      <c r="I9" s="456">
        <f>transport!I14</f>
        <v>0</v>
      </c>
      <c r="J9" s="456">
        <f>transport!J14</f>
        <v>0</v>
      </c>
      <c r="K9" s="456">
        <f>transport!K14</f>
        <v>0</v>
      </c>
      <c r="L9" s="456">
        <f>transport!L14</f>
        <v>0</v>
      </c>
      <c r="M9" s="456">
        <f>transport!M14</f>
        <v>6886.2576242731211</v>
      </c>
      <c r="N9" s="456">
        <f>transport!N14</f>
        <v>0</v>
      </c>
      <c r="O9" s="456">
        <f>transport!O14</f>
        <v>0</v>
      </c>
      <c r="P9" s="456">
        <f>transport!P14</f>
        <v>0</v>
      </c>
      <c r="Q9" s="455">
        <f>SUM(B9:P9)</f>
        <v>123842.20858122663</v>
      </c>
    </row>
    <row r="10" spans="1:17">
      <c r="A10" s="451" t="s">
        <v>541</v>
      </c>
      <c r="B10" s="452">
        <f>transport!B54</f>
        <v>0</v>
      </c>
      <c r="C10" s="452">
        <f>transport!C54</f>
        <v>0</v>
      </c>
      <c r="D10" s="452">
        <f>transport!D54</f>
        <v>0</v>
      </c>
      <c r="E10" s="452">
        <f>transport!E54</f>
        <v>0</v>
      </c>
      <c r="F10" s="452">
        <f>transport!F54</f>
        <v>0</v>
      </c>
      <c r="G10" s="452">
        <f>transport!G54</f>
        <v>243.98922257261248</v>
      </c>
      <c r="H10" s="452">
        <f>transport!H54</f>
        <v>0</v>
      </c>
      <c r="I10" s="452">
        <f>transport!I54</f>
        <v>0</v>
      </c>
      <c r="J10" s="452">
        <f>transport!J54</f>
        <v>0</v>
      </c>
      <c r="K10" s="452">
        <f>transport!K54</f>
        <v>0</v>
      </c>
      <c r="L10" s="452">
        <f>transport!L54</f>
        <v>0</v>
      </c>
      <c r="M10" s="452">
        <f>transport!M54</f>
        <v>13.558814447500332</v>
      </c>
      <c r="N10" s="452">
        <f>transport!N54</f>
        <v>0</v>
      </c>
      <c r="O10" s="452">
        <f>transport!O54</f>
        <v>0</v>
      </c>
      <c r="P10" s="453">
        <f>transport!P54</f>
        <v>0</v>
      </c>
      <c r="Q10" s="451">
        <f t="shared" si="0"/>
        <v>257.54803702011282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2385.046018</v>
      </c>
      <c r="C14" s="459"/>
      <c r="D14" s="459">
        <f>'SEAP template'!E25</f>
        <v>2463.1240279999997</v>
      </c>
      <c r="E14" s="459"/>
      <c r="F14" s="459"/>
      <c r="G14" s="459"/>
      <c r="H14" s="459"/>
      <c r="I14" s="459"/>
      <c r="J14" s="459"/>
      <c r="K14" s="459"/>
      <c r="L14" s="459"/>
      <c r="M14" s="459"/>
      <c r="N14" s="459"/>
      <c r="O14" s="459"/>
      <c r="P14" s="460"/>
      <c r="Q14" s="451">
        <f t="shared" si="0"/>
        <v>4848.1700459999993</v>
      </c>
    </row>
    <row r="15" spans="1:17" s="463" customFormat="1">
      <c r="A15" s="461" t="s">
        <v>545</v>
      </c>
      <c r="B15" s="462">
        <f ca="1">SUM(B4:B14)</f>
        <v>132333.42431404357</v>
      </c>
      <c r="C15" s="462">
        <f t="shared" ref="C15:Q15" ca="1" si="1">SUM(C4:C14)</f>
        <v>0</v>
      </c>
      <c r="D15" s="462">
        <f t="shared" ca="1" si="1"/>
        <v>163591.10433592252</v>
      </c>
      <c r="E15" s="462">
        <f t="shared" si="1"/>
        <v>14275.552847824627</v>
      </c>
      <c r="F15" s="462">
        <f t="shared" ca="1" si="1"/>
        <v>18722.637577028552</v>
      </c>
      <c r="G15" s="462">
        <f t="shared" si="1"/>
        <v>96761.925237472184</v>
      </c>
      <c r="H15" s="462">
        <f t="shared" si="1"/>
        <v>19978.67337754558</v>
      </c>
      <c r="I15" s="462">
        <f t="shared" si="1"/>
        <v>0</v>
      </c>
      <c r="J15" s="462">
        <f t="shared" si="1"/>
        <v>1343.4410593268869</v>
      </c>
      <c r="K15" s="462">
        <f t="shared" si="1"/>
        <v>0</v>
      </c>
      <c r="L15" s="462">
        <f t="shared" ca="1" si="1"/>
        <v>0</v>
      </c>
      <c r="M15" s="462">
        <f t="shared" si="1"/>
        <v>6899.8164387206216</v>
      </c>
      <c r="N15" s="462">
        <f t="shared" ca="1" si="1"/>
        <v>19788.33773780724</v>
      </c>
      <c r="O15" s="462">
        <f t="shared" si="1"/>
        <v>362.81381501732108</v>
      </c>
      <c r="P15" s="462">
        <f t="shared" si="1"/>
        <v>694.84933961142133</v>
      </c>
      <c r="Q15" s="462">
        <f t="shared" ca="1" si="1"/>
        <v>474752.57608032058</v>
      </c>
    </row>
    <row r="17" spans="1:17">
      <c r="A17" s="464" t="s">
        <v>546</v>
      </c>
      <c r="B17" s="781">
        <f ca="1">huishoudens!B10</f>
        <v>0.16635869494342445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5824.0623100522635</v>
      </c>
      <c r="C22" s="452">
        <f t="shared" ref="C22:C32" ca="1" si="3">C4*$C$17</f>
        <v>0</v>
      </c>
      <c r="D22" s="452">
        <f t="shared" ref="D22:D32" si="4">D4*$D$17</f>
        <v>18088.520469125349</v>
      </c>
      <c r="E22" s="452">
        <f t="shared" ref="E22:E32" si="5">E4*$E$17</f>
        <v>2459.7937286994575</v>
      </c>
      <c r="F22" s="452">
        <f t="shared" ref="F22:F32" si="6">F4*$F$17</f>
        <v>0</v>
      </c>
      <c r="G22" s="452">
        <f t="shared" ref="G22:G32" si="7">G4*$G$17</f>
        <v>0</v>
      </c>
      <c r="H22" s="452">
        <f t="shared" ref="H22:H32" si="8">H4*$H$17</f>
        <v>0</v>
      </c>
      <c r="I22" s="452">
        <f t="shared" ref="I22:I32" si="9">I4*$I$17</f>
        <v>0</v>
      </c>
      <c r="J22" s="452">
        <f t="shared" ref="J22:J32" si="10">J4*$J$17</f>
        <v>162.23282203780477</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26534.609329914874</v>
      </c>
    </row>
    <row r="23" spans="1:17">
      <c r="A23" s="451" t="s">
        <v>155</v>
      </c>
      <c r="B23" s="452">
        <f t="shared" ca="1" si="2"/>
        <v>3036.3289881735736</v>
      </c>
      <c r="C23" s="452">
        <f t="shared" ca="1" si="3"/>
        <v>0</v>
      </c>
      <c r="D23" s="452">
        <f t="shared" ca="1" si="4"/>
        <v>6276.0870269301604</v>
      </c>
      <c r="E23" s="452">
        <f t="shared" si="5"/>
        <v>73.526265259783486</v>
      </c>
      <c r="F23" s="452">
        <f t="shared" ca="1" si="6"/>
        <v>531.71881110816923</v>
      </c>
      <c r="G23" s="452">
        <f t="shared" si="7"/>
        <v>0</v>
      </c>
      <c r="H23" s="452">
        <f t="shared" si="8"/>
        <v>0</v>
      </c>
      <c r="I23" s="452">
        <f t="shared" si="9"/>
        <v>0</v>
      </c>
      <c r="J23" s="452">
        <f t="shared" si="10"/>
        <v>6.3526190373331369E-3</v>
      </c>
      <c r="K23" s="452">
        <f t="shared" si="11"/>
        <v>0</v>
      </c>
      <c r="L23" s="452">
        <f t="shared" ca="1" si="12"/>
        <v>0</v>
      </c>
      <c r="M23" s="452">
        <f t="shared" si="13"/>
        <v>0</v>
      </c>
      <c r="N23" s="452">
        <f t="shared" ca="1" si="14"/>
        <v>0</v>
      </c>
      <c r="O23" s="452">
        <f t="shared" si="15"/>
        <v>0</v>
      </c>
      <c r="P23" s="453">
        <f t="shared" si="16"/>
        <v>0</v>
      </c>
      <c r="Q23" s="451">
        <f t="shared" ref="Q23:Q31" ca="1" si="17">SUM(B23:P23)</f>
        <v>9917.6674440907227</v>
      </c>
    </row>
    <row r="24" spans="1:17">
      <c r="A24" s="451" t="s">
        <v>193</v>
      </c>
      <c r="B24" s="452">
        <f t="shared" ca="1" si="2"/>
        <v>226.91575528325512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226.91575528325512</v>
      </c>
    </row>
    <row r="25" spans="1:17">
      <c r="A25" s="451" t="s">
        <v>111</v>
      </c>
      <c r="B25" s="452">
        <f t="shared" ca="1" si="2"/>
        <v>272.18288578974824</v>
      </c>
      <c r="C25" s="452">
        <f t="shared" ca="1" si="3"/>
        <v>0</v>
      </c>
      <c r="D25" s="452">
        <f t="shared" si="4"/>
        <v>138.66404148462803</v>
      </c>
      <c r="E25" s="452">
        <f t="shared" si="5"/>
        <v>11.591251973781748</v>
      </c>
      <c r="F25" s="452">
        <f t="shared" si="6"/>
        <v>1543.8557844785769</v>
      </c>
      <c r="G25" s="452">
        <f t="shared" si="7"/>
        <v>0</v>
      </c>
      <c r="H25" s="452">
        <f t="shared" si="8"/>
        <v>0</v>
      </c>
      <c r="I25" s="452">
        <f t="shared" si="9"/>
        <v>0</v>
      </c>
      <c r="J25" s="452">
        <f t="shared" si="10"/>
        <v>159.56994921035687</v>
      </c>
      <c r="K25" s="452">
        <f t="shared" si="11"/>
        <v>0</v>
      </c>
      <c r="L25" s="452">
        <f t="shared" si="12"/>
        <v>0</v>
      </c>
      <c r="M25" s="452">
        <f t="shared" si="13"/>
        <v>0</v>
      </c>
      <c r="N25" s="452">
        <f t="shared" si="14"/>
        <v>0</v>
      </c>
      <c r="O25" s="452">
        <f t="shared" si="15"/>
        <v>0</v>
      </c>
      <c r="P25" s="453">
        <f t="shared" si="16"/>
        <v>0</v>
      </c>
      <c r="Q25" s="451">
        <f t="shared" ca="1" si="17"/>
        <v>2125.8639129370918</v>
      </c>
    </row>
    <row r="26" spans="1:17">
      <c r="A26" s="451" t="s">
        <v>625</v>
      </c>
      <c r="B26" s="452">
        <f t="shared" ca="1" si="2"/>
        <v>12249.001269467015</v>
      </c>
      <c r="C26" s="452">
        <f t="shared" ca="1" si="3"/>
        <v>0</v>
      </c>
      <c r="D26" s="452">
        <f t="shared" si="4"/>
        <v>8001.7566199524372</v>
      </c>
      <c r="E26" s="452">
        <f t="shared" si="5"/>
        <v>652.52567297460382</v>
      </c>
      <c r="F26" s="452">
        <f t="shared" si="6"/>
        <v>2923.3696374798769</v>
      </c>
      <c r="G26" s="452">
        <f t="shared" si="7"/>
        <v>0</v>
      </c>
      <c r="H26" s="452">
        <f t="shared" si="8"/>
        <v>0</v>
      </c>
      <c r="I26" s="452">
        <f t="shared" si="9"/>
        <v>0</v>
      </c>
      <c r="J26" s="452">
        <f t="shared" si="10"/>
        <v>153.76901113451899</v>
      </c>
      <c r="K26" s="452">
        <f t="shared" si="11"/>
        <v>0</v>
      </c>
      <c r="L26" s="452">
        <f t="shared" si="12"/>
        <v>0</v>
      </c>
      <c r="M26" s="452">
        <f t="shared" si="13"/>
        <v>0</v>
      </c>
      <c r="N26" s="452">
        <f t="shared" si="14"/>
        <v>0</v>
      </c>
      <c r="O26" s="452">
        <f t="shared" si="15"/>
        <v>0</v>
      </c>
      <c r="P26" s="453">
        <f t="shared" si="16"/>
        <v>0</v>
      </c>
      <c r="Q26" s="451">
        <f t="shared" ca="1" si="17"/>
        <v>23980.422211008452</v>
      </c>
    </row>
    <row r="27" spans="1:17" s="457" customFormat="1">
      <c r="A27" s="455" t="s">
        <v>551</v>
      </c>
      <c r="B27" s="775">
        <f t="shared" ca="1" si="2"/>
        <v>9.5514145783768942</v>
      </c>
      <c r="C27" s="456">
        <f t="shared" ca="1" si="3"/>
        <v>0</v>
      </c>
      <c r="D27" s="456">
        <f t="shared" si="4"/>
        <v>42.82386470777778</v>
      </c>
      <c r="E27" s="456">
        <f t="shared" si="5"/>
        <v>43.113577548563974</v>
      </c>
      <c r="F27" s="456">
        <f t="shared" si="6"/>
        <v>0</v>
      </c>
      <c r="G27" s="456">
        <f t="shared" si="7"/>
        <v>25770.288915978188</v>
      </c>
      <c r="H27" s="456">
        <f t="shared" si="8"/>
        <v>4974.6896710088495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30840.467443821755</v>
      </c>
    </row>
    <row r="28" spans="1:17" ht="16.5" customHeight="1">
      <c r="A28" s="451" t="s">
        <v>541</v>
      </c>
      <c r="B28" s="452">
        <f t="shared" ca="1" si="2"/>
        <v>0</v>
      </c>
      <c r="C28" s="452">
        <f t="shared" ca="1" si="3"/>
        <v>0</v>
      </c>
      <c r="D28" s="452">
        <f t="shared" si="4"/>
        <v>0</v>
      </c>
      <c r="E28" s="452">
        <f t="shared" si="5"/>
        <v>0</v>
      </c>
      <c r="F28" s="452">
        <f t="shared" si="6"/>
        <v>0</v>
      </c>
      <c r="G28" s="452">
        <f t="shared" si="7"/>
        <v>65.145122426887539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65.145122426887539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396.7731429344912</v>
      </c>
      <c r="C32" s="452">
        <f t="shared" ca="1" si="3"/>
        <v>0</v>
      </c>
      <c r="D32" s="452">
        <f t="shared" si="4"/>
        <v>497.55105365599997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894.32419659049117</v>
      </c>
    </row>
    <row r="33" spans="1:17" s="463" customFormat="1">
      <c r="A33" s="461" t="s">
        <v>545</v>
      </c>
      <c r="B33" s="462">
        <f ca="1">SUM(B22:B32)</f>
        <v>22014.815766278723</v>
      </c>
      <c r="C33" s="462">
        <f t="shared" ref="C33:Q33" ca="1" si="19">SUM(C22:C32)</f>
        <v>0</v>
      </c>
      <c r="D33" s="462">
        <f t="shared" ca="1" si="19"/>
        <v>33045.403075856353</v>
      </c>
      <c r="E33" s="462">
        <f t="shared" si="19"/>
        <v>3240.5504964561906</v>
      </c>
      <c r="F33" s="462">
        <f t="shared" ca="1" si="19"/>
        <v>4998.9442330666225</v>
      </c>
      <c r="G33" s="462">
        <f t="shared" si="19"/>
        <v>25835.434038405074</v>
      </c>
      <c r="H33" s="462">
        <f t="shared" si="19"/>
        <v>4974.6896710088495</v>
      </c>
      <c r="I33" s="462">
        <f t="shared" si="19"/>
        <v>0</v>
      </c>
      <c r="J33" s="462">
        <f t="shared" si="19"/>
        <v>475.57813500171801</v>
      </c>
      <c r="K33" s="462">
        <f t="shared" si="19"/>
        <v>0</v>
      </c>
      <c r="L33" s="462">
        <f t="shared" ca="1" si="19"/>
        <v>0</v>
      </c>
      <c r="M33" s="462">
        <f t="shared" si="19"/>
        <v>0</v>
      </c>
      <c r="N33" s="462">
        <f t="shared" ca="1" si="19"/>
        <v>0</v>
      </c>
      <c r="O33" s="462">
        <f t="shared" si="19"/>
        <v>0</v>
      </c>
      <c r="P33" s="462">
        <f t="shared" si="19"/>
        <v>0</v>
      </c>
      <c r="Q33" s="462">
        <f t="shared" ca="1" si="19"/>
        <v>94585.41541607352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26090.999480507016</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6627.8738548997917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32718.87333540681</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0.16635869494342445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0.16635869494342445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2020-06-20T15:35:19Z</dcterms:modified>
</cp:coreProperties>
</file>