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1"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0" i="18" l="1"/>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O37" i="18"/>
  <c r="N37" i="18"/>
  <c r="B9" i="18" s="1"/>
  <c r="M37" i="18"/>
  <c r="W33" i="18"/>
  <c r="V33" i="18"/>
  <c r="U33" i="18"/>
  <c r="T33" i="18"/>
  <c r="L6" i="17" s="1"/>
  <c r="L5" i="17" s="1"/>
  <c r="S33" i="18"/>
  <c r="R33" i="18"/>
  <c r="Q33" i="18"/>
  <c r="P33" i="18"/>
  <c r="O33" i="18"/>
  <c r="N33" i="18"/>
  <c r="M33" i="18"/>
  <c r="W32" i="18"/>
  <c r="V32" i="18"/>
  <c r="U32" i="18"/>
  <c r="T32" i="18"/>
  <c r="S32" i="18"/>
  <c r="R32" i="18"/>
  <c r="Q32" i="18"/>
  <c r="P32" i="18"/>
  <c r="O32" i="18"/>
  <c r="C13" i="15" s="1"/>
  <c r="N32" i="18"/>
  <c r="M32" i="18"/>
  <c r="W31" i="18"/>
  <c r="V31" i="18"/>
  <c r="U31" i="18"/>
  <c r="T31" i="18"/>
  <c r="S31" i="18"/>
  <c r="F16" i="16" s="1"/>
  <c r="R31" i="18"/>
  <c r="Q31" i="18"/>
  <c r="P31" i="18"/>
  <c r="O31" i="18"/>
  <c r="N31" i="18"/>
  <c r="W30" i="18"/>
  <c r="V30" i="18"/>
  <c r="U30" i="18"/>
  <c r="T30" i="18"/>
  <c r="S30" i="18"/>
  <c r="R30" i="18"/>
  <c r="Q30" i="18"/>
  <c r="P30" i="18"/>
  <c r="O30" i="18"/>
  <c r="B17" i="18" s="1"/>
  <c r="N30" i="18"/>
  <c r="B8" i="18" s="1"/>
  <c r="M30"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6" i="18"/>
  <c r="B50" i="18" s="1"/>
  <c r="B16" i="16"/>
  <c r="K9" i="14"/>
  <c r="H77" i="14"/>
  <c r="J11" i="48"/>
  <c r="J29" i="48" s="1"/>
  <c r="M9" i="14"/>
  <c r="L11" i="48"/>
  <c r="O19" i="14"/>
  <c r="O22" i="14" s="1"/>
  <c r="N10" i="48"/>
  <c r="N28" i="48" s="1"/>
  <c r="J19" i="14"/>
  <c r="J22" i="14" s="1"/>
  <c r="J27" i="14" s="1"/>
  <c r="I10" i="48"/>
  <c r="I28" i="48" s="1"/>
  <c r="J19" i="19"/>
  <c r="K39" i="14" s="1"/>
  <c r="N19" i="19"/>
  <c r="O39" i="14" s="1"/>
  <c r="C46" i="18"/>
  <c r="I49"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9" i="18"/>
  <c r="E8" i="18" s="1"/>
  <c r="F76" i="14" s="1"/>
  <c r="F7" i="48"/>
  <c r="F25" i="48" s="1"/>
  <c r="D49" i="18"/>
  <c r="O9" i="18"/>
  <c r="M29" i="48"/>
  <c r="F12" i="17"/>
  <c r="G54" i="14" s="1"/>
  <c r="G56" i="14" s="1"/>
  <c r="C50" i="18"/>
  <c r="C49" i="18"/>
  <c r="B10" i="18"/>
  <c r="E50" i="18"/>
  <c r="E17" i="18" s="1"/>
  <c r="F87" i="14" s="1"/>
  <c r="G50" i="18"/>
  <c r="D7" i="48"/>
  <c r="D25" i="48" s="1"/>
  <c r="H49" i="18"/>
  <c r="G49" i="18"/>
  <c r="D50" i="18"/>
  <c r="L28" i="48"/>
  <c r="H50" i="18"/>
  <c r="I50" i="18"/>
  <c r="H17" i="18" s="1"/>
  <c r="F50" i="18"/>
  <c r="F49" i="18"/>
  <c r="H10" i="18"/>
  <c r="M78" i="14"/>
  <c r="B49"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E27" i="14"/>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10" i="17"/>
  <c r="C12" i="17" s="1"/>
  <c r="D54" i="14" s="1"/>
  <c r="D56" i="14" s="1"/>
  <c r="C17" i="19"/>
  <c r="C19" i="19" s="1"/>
  <c r="D39" i="14" s="1"/>
  <c r="C56" i="22"/>
  <c r="C58" i="22" s="1"/>
  <c r="D49" i="14" s="1"/>
  <c r="D52" i="14" s="1"/>
  <c r="C20" i="16"/>
  <c r="C22" i="16" s="1"/>
  <c r="D43" i="14" s="1"/>
  <c r="C17" i="49"/>
  <c r="C18" i="15"/>
  <c r="C20" i="15" s="1"/>
  <c r="D40" i="14" s="1"/>
  <c r="C10" i="13"/>
  <c r="C12" i="13" s="1"/>
  <c r="D41" i="14" s="1"/>
  <c r="D46" i="14" s="1"/>
  <c r="D61" i="14" s="1"/>
  <c r="D63" i="14" s="1"/>
  <c r="C29" i="20"/>
  <c r="C22" i="59"/>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<sst xmlns="http://schemas.openxmlformats.org/spreadsheetml/2006/main" count="2420" uniqueCount="898">
  <si>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</si>
  <si>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</si>
  <si>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</si>
  <si>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</si>
  <si>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</si>
  <si>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</si>
  <si>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</si>
  <si>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</si>
  <si>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</si>
  <si>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</si>
  <si>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</si>
  <si>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</si>
  <si>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</si>
  <si>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</si>
  <si>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</si>
  <si>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</si>
  <si>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</si>
  <si>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</si>
  <si>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</si>
  <si>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</si>
  <si>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</si>
  <si>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</si>
  <si>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</si>
  <si>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</si>
  <si>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</si>
  <si>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</si>
  <si>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</si>
  <si>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</si>
  <si>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</si>
  <si>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</si>
  <si>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</si>
  <si>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</si>
  <si>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</si>
  <si>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</si>
  <si>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</si>
  <si>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</si>
  <si>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</si>
  <si>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</si>
  <si>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</si>
  <si>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</si>
  <si>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</si>
  <si>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</si>
  <si>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</si>
  <si>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</si>
  <si>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</si>
  <si>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</si>
  <si>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</si>
  <si>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</si>
  <si>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</si>
  <si>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</si>
  <si>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</si>
  <si>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</si>
  <si>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</si>
  <si>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</si>
  <si>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</si>
  <si>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</si>
  <si>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</si>
  <si>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</si>
  <si>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</si>
  <si>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</si>
  <si>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</si>
  <si>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</si>
  <si>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</si>
  <si>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</si>
  <si>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</si>
  <si>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</si>
  <si>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</si>
  <si>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</si>
  <si>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</si>
  <si>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</si>
  <si>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</si>
  <si>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</si>
  <si>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</si>
  <si>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</si>
  <si>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</si>
  <si>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</si>
  <si>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</si>
  <si>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</si>
  <si>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</si>
  <si>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</si>
  <si>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</si>
  <si>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</si>
  <si>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</si>
  <si>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</si>
  <si>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</si>
  <si>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</si>
  <si>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</si>
  <si>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</si>
  <si>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</si>
  <si>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</si>
  <si>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</si>
  <si>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</si>
  <si>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</si>
  <si>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</si>
  <si>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</si>
  <si>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</si>
  <si>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</si>
  <si>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</si>
  <si>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</si>
  <si>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</si>
  <si>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</si>
  <si>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</si>
  <si>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</si>
  <si>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</si>
  <si>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</si>
  <si>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</si>
  <si>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</si>
  <si>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</si>
  <si>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</si>
  <si>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</si>
  <si>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</si>
  <si>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</si>
  <si>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</si>
  <si>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</si>
  <si>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</si>
  <si>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</si>
  <si>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</si>
  <si>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</si>
  <si>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</si>
  <si>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</si>
  <si>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</si>
  <si>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</si>
  <si>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</si>
  <si>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</si>
  <si>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</si>
  <si>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</si>
  <si>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</si>
  <si>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</si>
  <si>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</si>
  <si>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</si>
  <si>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</si>
  <si>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</si>
  <si>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</si>
  <si>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</si>
  <si>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</si>
  <si>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</si>
  <si>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</si>
  <si>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</si>
  <si>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</si>
  <si>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</si>
  <si>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</si>
  <si>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</si>
  <si>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</si>
  <si>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</si>
  <si>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</si>
  <si>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</si>
  <si>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</si>
  <si>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</si>
  <si>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</si>
  <si>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</si>
  <si>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</si>
  <si>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</si>
  <si>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</si>
  <si>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</si>
  <si>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</si>
  <si>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</si>
  <si>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</si>
  <si>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</si>
  <si>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</si>
  <si>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</si>
  <si>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</si>
  <si>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</si>
  <si>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</si>
  <si>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</si>
  <si>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</si>
  <si>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</si>
  <si>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</si>
  <si>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</si>
  <si>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</si>
  <si>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</si>
  <si>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</si>
  <si>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</si>
  <si>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</si>
  <si>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</si>
  <si>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</si>
  <si>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</si>
  <si>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</si>
  <si>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</si>
  <si>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</si>
  <si>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</si>
  <si>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</si>
  <si>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</si>
  <si>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</si>
  <si>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</si>
  <si>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</si>
  <si>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</si>
  <si>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</si>
  <si>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</si>
  <si>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</si>
  <si>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</si>
  <si>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</si>
  <si>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</si>
  <si>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</si>
  <si>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</si>
  <si>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</si>
  <si>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</si>
  <si>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</si>
  <si>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</si>
  <si>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</si>
  <si>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</si>
  <si>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</si>
  <si>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</si>
  <si>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</si>
  <si>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</si>
  <si>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</si>
  <si>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</si>
  <si>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</si>
  <si>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</si>
  <si>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</si>
  <si>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</si>
  <si>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</si>
  <si>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</si>
  <si>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</si>
  <si>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</si>
  <si>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</si>
  <si>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</si>
  <si>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</si>
  <si>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</si>
  <si>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</si>
  <si>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</si>
  <si>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</si>
  <si>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</si>
  <si>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</si>
  <si>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</si>
  <si>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</si>
  <si>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</si>
  <si>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</si>
  <si>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</si>
  <si>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</si>
  <si>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</si>
  <si>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</si>
  <si>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</si>
  <si>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</si>
  <si>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</si>
  <si>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</si>
  <si>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</si>
  <si>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</si>
  <si>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</si>
  <si>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</si>
  <si>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</si>
  <si>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</si>
  <si>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</si>
  <si>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</si>
  <si>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</si>
  <si>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</si>
  <si>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</si>
  <si>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</si>
  <si>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</si>
  <si>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</si>
  <si>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</si>
  <si>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</si>
  <si>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</si>
  <si>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</si>
  <si>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</si>
  <si>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</si>
  <si>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</si>
  <si>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</si>
  <si>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</si>
  <si>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</si>
  <si>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</si>
  <si>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</si>
  <si>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</si>
  <si>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</si>
  <si>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</si>
  <si>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</si>
  <si>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</si>
  <si>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</si>
  <si>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</si>
  <si>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</si>
  <si>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</si>
  <si>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</si>
  <si>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</si>
  <si>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</si>
  <si>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</si>
  <si>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</si>
  <si>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</si>
  <si>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</si>
  <si>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</si>
  <si>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</si>
  <si>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</si>
  <si>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</si>
  <si>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</si>
  <si>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</si>
  <si>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</si>
  <si>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</si>
  <si>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</si>
  <si>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</si>
  <si>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</si>
  <si>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</si>
  <si>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</si>
  <si>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</si>
  <si>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</si>
  <si>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</si>
  <si>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</si>
  <si>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</si>
  <si>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</si>
  <si>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</si>
  <si>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</si>
  <si>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</si>
  <si>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</si>
  <si>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</si>
  <si>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</si>
  <si>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</si>
  <si>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</si>
  <si>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</si>
  <si>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</si>
  <si>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</si>
  <si>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</si>
  <si>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</si>
  <si>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</si>
  <si>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</si>
  <si>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</si>
  <si>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</si>
  <si>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</si>
  <si>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</si>
  <si>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</si>
  <si>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</si>
  <si>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</si>
  <si>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</si>
  <si>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</si>
  <si>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</si>
  <si>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</si>
  <si>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</si>
  <si>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</si>
  <si>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</si>
  <si>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</si>
  <si>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</si>
  <si>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</si>
  <si>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</si>
  <si>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</si>
  <si>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</si>
  <si>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</si>
  <si>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</si>
  <si>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</si>
  <si>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</si>
  <si>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</si>
  <si>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</si>
  <si>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</si>
  <si>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</si>
  <si>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</si>
  <si>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</si>
  <si>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</si>
  <si>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</si>
  <si>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</si>
  <si>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</si>
  <si>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</si>
  <si>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</si>
  <si>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</si>
  <si>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</si>
  <si>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</si>
  <si>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</si>
  <si>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</si>
  <si>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</si>
  <si>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</si>
  <si>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</si>
  <si>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</si>
  <si>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</si>
  <si>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</si>
  <si>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</si>
  <si>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</si>
  <si>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</si>
  <si>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</si>
  <si>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</si>
  <si>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</si>
  <si>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</si>
  <si>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</si>
  <si>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</si>
  <si>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</si>
  <si>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</si>
  <si>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</si>
  <si>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</si>
  <si>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</si>
  <si>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</si>
  <si>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</si>
  <si>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</si>
  <si>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</si>
  <si>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</si>
  <si>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</si>
  <si>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</si>
  <si>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</si>
  <si>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</si>
  <si>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</si>
  <si>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</si>
  <si>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</si>
  <si>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</si>
  <si>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</si>
  <si>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</si>
  <si>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</si>
  <si>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</si>
  <si>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</si>
  <si>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</si>
  <si>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</si>
  <si>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</si>
  <si>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</si>
  <si>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</si>
  <si>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</si>
  <si>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</si>
  <si>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</si>
  <si>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</si>
  <si>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</si>
  <si>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</si>
  <si>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</si>
  <si>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</si>
  <si>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</si>
  <si>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</si>
  <si>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</si>
  <si>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</si>
  <si>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</si>
  <si>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</si>
  <si>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</si>
  <si>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</si>
  <si>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</si>
  <si>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</si>
  <si>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</si>
  <si>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</si>
  <si>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</si>
  <si>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</si>
  <si>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</si>
  <si>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</si>
  <si>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</si>
  <si>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</si>
  <si>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</si>
  <si>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</si>
  <si>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</si>
  <si>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</si>
  <si>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</si>
  <si>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</si>
  <si>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</si>
  <si>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</si>
  <si>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</si>
  <si>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</si>
  <si>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</si>
  <si>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</si>
  <si>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</si>
  <si>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</si>
  <si>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</si>
  <si>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</si>
  <si>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</si>
  <si>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</si>
  <si>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</si>
  <si>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</si>
  <si>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</si>
  <si>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</si>
  <si>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</si>
  <si>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</si>
  <si>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</si>
  <si>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</si>
  <si>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</si>
  <si>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</si>
  <si>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</si>
  <si>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</si>
  <si>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</si>
  <si>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</si>
  <si>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</si>
  <si>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</si>
  <si>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</si>
  <si>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</si>
  <si>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</si>
  <si>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</si>
  <si>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</si>
  <si>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</si>
  <si>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</si>
  <si>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</si>
  <si>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</si>
  <si>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</si>
  <si>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</si>
  <si>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</si>
  <si>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</si>
  <si>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</si>
  <si>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</si>
  <si>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</si>
  <si>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</si>
  <si>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</si>
  <si>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</si>
  <si>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</si>
  <si>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</si>
  <si>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</si>
  <si>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</si>
  <si>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</si>
  <si>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</si>
  <si>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</si>
  <si>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</si>
  <si>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</si>
  <si>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</si>
  <si>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</si>
  <si>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</si>
  <si>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</si>
  <si>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</si>
  <si>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</si>
  <si>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</si>
  <si>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</si>
  <si>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</si>
  <si>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</si>
  <si>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</si>
  <si>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</si>
  <si>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</si>
  <si>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</si>
  <si>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</si>
  <si>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</si>
  <si>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</si>
  <si>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</si>
  <si>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</si>
  <si>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</si>
  <si>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</si>
  <si>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</si>
  <si>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</si>
  <si>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</si>
  <si>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</si>
  <si>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</si>
  <si>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</si>
  <si>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</si>
  <si>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</si>
  <si>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</si>
  <si>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</si>
  <si>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</si>
  <si>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</si>
  <si>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</si>
  <si>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</si>
  <si>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</si>
  <si>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</si>
  <si>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</si>
  <si>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</si>
  <si>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</si>
  <si>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</si>
  <si>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</si>
  <si>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</si>
  <si>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</si>
  <si>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</si>
  <si>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</si>
  <si>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</si>
  <si>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</si>
  <si>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</si>
  <si>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</si>
  <si>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</si>
  <si>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</si>
  <si>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</si>
  <si>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</si>
  <si>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</si>
  <si>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</si>
  <si>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</si>
  <si>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</si>
  <si>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</si>
  <si>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</si>
  <si>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</si>
  <si>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</si>
  <si>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</si>
  <si>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</si>
  <si>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</si>
  <si>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</si>
  <si>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</si>
  <si>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</si>
  <si>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</si>
  <si>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</si>
  <si>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</si>
  <si>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</si>
  <si>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</si>
  <si>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</si>
  <si>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</si>
  <si>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</si>
  <si>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</si>
  <si>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</si>
  <si>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</si>
  <si>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</si>
  <si>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</si>
  <si>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</si>
  <si>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</si>
  <si>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</si>
  <si>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</si>
  <si>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</si>
  <si>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</si>
  <si>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</si>
  <si>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</si>
  <si>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</si>
  <si>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</si>
  <si>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</si>
  <si>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</si>
  <si>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</si>
  <si>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</si>
  <si>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</si>
  <si>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</si>
  <si>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</si>
  <si>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</si>
  <si>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</si>
  <si>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</si>
  <si>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</si>
  <si>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</si>
  <si>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</si>
  <si>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</si>
  <si>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</si>
  <si>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</si>
  <si>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</si>
  <si>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</si>
  <si>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</si>
  <si>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</si>
  <si>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</si>
  <si>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</si>
  <si>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</si>
  <si>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</si>
  <si>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</si>
  <si>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</si>
  <si>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</si>
  <si>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</si>
  <si>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</si>
  <si>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</si>
  <si>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</si>
  <si>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</si>
  <si>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</si>
  <si>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</si>
  <si>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</si>
  <si>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</si>
  <si>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</si>
  <si>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</si>
  <si>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</si>
  <si>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</si>
  <si>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</si>
  <si>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</si>
  <si>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</si>
  <si>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</si>
  <si>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</si>
  <si>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</si>
  <si>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</si>
  <si>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</si>
  <si>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</si>
  <si>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</si>
  <si>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</si>
  <si>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</si>
  <si>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</si>
  <si>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</si>
  <si>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</si>
  <si>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</si>
  <si>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</si>
  <si>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</si>
  <si>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</si>
  <si>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</si>
  <si>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</si>
  <si>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</si>
  <si>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</si>
  <si>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</si>
  <si>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</si>
  <si>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</si>
  <si>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</si>
  <si>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</si>
  <si>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</si>
  <si>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</si>
  <si>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</si>
  <si>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</si>
  <si>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</si>
  <si>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</si>
  <si>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</si>
  <si>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</si>
  <si>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</si>
  <si>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</si>
  <si>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</si>
  <si>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</si>
  <si>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</si>
  <si>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</si>
  <si>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</si>
  <si>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</si>
  <si>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</si>
  <si>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</si>
  <si>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</si>
  <si>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</si>
  <si>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</si>
  <si>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</si>
  <si>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</si>
  <si>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</si>
  <si>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</si>
  <si>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</si>
  <si>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</si>
  <si>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</si>
  <si>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</si>
  <si>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</si>
  <si>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</si>
  <si>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</si>
  <si>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</si>
  <si>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</si>
  <si>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</si>
  <si>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</si>
  <si>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</si>
  <si>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</si>
  <si>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</si>
  <si>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</si>
  <si>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</si>
  <si>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</si>
  <si>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</si>
  <si>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</si>
  <si>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</si>
  <si>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</si>
  <si>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</si>
  <si>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</si>
  <si>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</si>
  <si>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</si>
  <si>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</si>
  <si>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</si>
  <si>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</si>
  <si>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</si>
  <si>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</si>
  <si>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</si>
  <si>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</si>
  <si>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</si>
  <si>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</si>
  <si>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</si>
  <si>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</si>
  <si>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</si>
  <si>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</si>
  <si>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</si>
  <si>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</si>
  <si>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</si>
  <si>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</si>
  <si>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</si>
  <si>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</si>
  <si>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</si>
  <si>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</si>
  <si>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</si>
  <si>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</si>
  <si>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</si>
  <si>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</si>
  <si>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</si>
  <si>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</si>
  <si>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</si>
  <si>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</si>
  <si>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</si>
  <si>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</si>
  <si>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</si>
  <si>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</si>
  <si>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</si>
  <si>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</si>
  <si>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</si>
  <si>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</si>
  <si>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</si>
  <si>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</si>
  <si>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</si>
  <si>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</si>
  <si>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</si>
  <si>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</si>
  <si>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</si>
  <si>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</si>
  <si>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</si>
  <si>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</si>
  <si>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</si>
  <si>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</si>
  <si>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</si>
  <si>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</si>
  <si>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</si>
  <si>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</si>
  <si>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</si>
  <si>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</si>
  <si>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</si>
  <si>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</si>
  <si>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</si>
  <si>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</si>
  <si>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</si>
  <si>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</si>
  <si>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</si>
  <si>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</si>
  <si>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</si>
  <si>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</si>
  <si>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</si>
  <si>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</si>
  <si>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</si>
  <si>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</si>
  <si>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</si>
  <si>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</si>
  <si>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</si>
  <si>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</si>
  <si>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</si>
  <si>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</si>
  <si>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</si>
  <si>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</si>
  <si>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</si>
  <si>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</si>
  <si>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</si>
  <si>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</si>
  <si>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</si>
  <si>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</si>
  <si>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</si>
  <si>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</si>
  <si>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</si>
  <si>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</si>
  <si>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</si>
  <si>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</si>
  <si>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</si>
  <si>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</si>
  <si>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</si>
  <si>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</si>
  <si>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</si>
  <si>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</si>
  <si>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</si>
  <si>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</si>
  <si>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</si>
  <si>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</si>
  <si>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</si>
  <si>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</si>
  <si>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</si>
  <si>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</si>
  <si>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</si>
  <si>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</si>
  <si>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</si>
  <si>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</si>
  <si>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</si>
  <si>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</si>
  <si>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</si>
  <si>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</si>
  <si>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</si>
  <si>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</si>
  <si>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</si>
  <si>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</si>
  <si>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</si>
  <si>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</si>
  <si>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</si>
  <si>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</si>
  <si>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</si>
  <si>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</si>
  <si>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</si>
  <si>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</si>
  <si>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</si>
  <si>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</si>
  <si>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</si>
  <si>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</si>
  <si>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</si>
  <si>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</si>
  <si>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</si>
  <si>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</si>
  <si>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</si>
  <si>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</si>
  <si>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</si>
  <si>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</si>
  <si>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</si>
  <si>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</si>
  <si>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</si>
  <si>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</si>
  <si>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</si>
  <si>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</si>
  <si>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</si>
  <si>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</si>
  <si>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</si>
  <si>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</si>
  <si>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</si>
  <si>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</si>
  <si>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</si>
  <si>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</si>
  <si>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</si>
  <si>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</si>
  <si>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</si>
  <si>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</si>
  <si>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</si>
  <si>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</si>
  <si>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</si>
  <si>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</si>
  <si>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</si>
  <si>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</si>
  <si>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</si>
  <si>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</si>
  <si>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</si>
  <si>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</si>
  <si>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</si>
  <si>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</si>
  <si>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</si>
  <si>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</si>
  <si>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</si>
  <si>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</si>
  <si>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</si>
  <si>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</si>
  <si>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</si>
  <si>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</si>
  <si>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</si>
  <si>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</si>
  <si>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</si>
  <si>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</si>
  <si>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</si>
  <si>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</si>
  <si>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</si>
  <si>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</si>
  <si>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</si>
  <si>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</si>
  <si>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</si>
  <si>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</si>
  <si>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</si>
  <si>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</si>
  <si>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</si>
  <si>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</si>
  <si>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</si>
  <si>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</si>
  <si>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</si>
  <si>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</si>
  <si>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42011</t>
  </si>
  <si>
    <t>LEBBEKE</t>
  </si>
  <si>
    <t>referentietaak LNE (2017); Jaarverslag De Lijn</t>
  </si>
  <si>
    <t>BVBA Woon en Zorg</t>
  </si>
  <si>
    <t>Hoeksken 3 , 9280 Lebbeke</t>
  </si>
  <si>
    <t>WKK-0610 Woon en Zorg</t>
  </si>
  <si>
    <t>interne verbrandingsmotor</t>
  </si>
  <si>
    <t>WKK interne verbrandinsgmotor (gas)</t>
  </si>
  <si>
    <t>Aalstersestraat 40 , 9280 Lebbeke</t>
  </si>
  <si>
    <t>INTERGEM</t>
  </si>
  <si>
    <t>Barry Callebaut Belgium NV</t>
  </si>
  <si>
    <t>Aalstersestraat 122 , 9280 Lebbeke</t>
  </si>
  <si>
    <t>WKK-0621 Barry Callebaut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</si>
</sst>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146716.31976153489</c:v>
                </c:pt>
                <c:pt idx="1">
                  <c:v>31514.218351244199</c:v>
                </c:pt>
                <c:pt idx="2">
                  <c:v>1047.048</c:v>
                </c:pt>
                <c:pt idx="3">
                  <c:v>6145.7495305392013</c:v>
                </c:pt>
                <c:pt idx="4">
                  <c:v>130359.07037195978</c:v>
                </c:pt>
                <c:pt idx="5">
                  <c:v>100095.90439544729</c:v>
                </c:pt>
                <c:pt idx="6">
                  <c:v>763.52962303894753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146716.31976153489</c:v>
                </c:pt>
                <c:pt idx="1">
                  <c:v>31514.218351244199</c:v>
                </c:pt>
                <c:pt idx="2">
                  <c:v>1047.048</c:v>
                </c:pt>
                <c:pt idx="3">
                  <c:v>6145.7495305392013</c:v>
                </c:pt>
                <c:pt idx="4">
                  <c:v>130359.07037195978</c:v>
                </c:pt>
                <c:pt idx="5">
                  <c:v>100095.90439544729</c:v>
                </c:pt>
                <c:pt idx="6">
                  <c:v>763.52962303894753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27547.41419501523</c:v>
                </c:pt>
                <c:pt idx="1">
                  <c:v>6424.5093000583183</c:v>
                </c:pt>
                <c:pt idx="2">
                  <c:v>222.67426818367412</c:v>
                </c:pt>
                <c:pt idx="3">
                  <c:v>1554.3947767350226</c:v>
                </c:pt>
                <c:pt idx="4">
                  <c:v>26772.757945772522</c:v>
                </c:pt>
                <c:pt idx="5">
                  <c:v>24844.832427588386</c:v>
                </c:pt>
                <c:pt idx="6">
                  <c:v>193.12991605345897</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27547.41419501523</c:v>
                </c:pt>
                <c:pt idx="1">
                  <c:v>6424.5093000583183</c:v>
                </c:pt>
                <c:pt idx="2">
                  <c:v>222.67426818367412</c:v>
                </c:pt>
                <c:pt idx="3">
                  <c:v>1554.3947767350226</c:v>
                </c:pt>
                <c:pt idx="4">
                  <c:v>26772.757945772522</c:v>
                </c:pt>
                <c:pt idx="5">
                  <c:v>24844.832427588386</c:v>
                </c:pt>
                <c:pt idx="6">
                  <c:v>193.12991605345897</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42011</v>
      </c>
      <c r="B6" s="390"/>
      <c r="C6" s="391"/>
    </row>
    <row r="7" spans="1:7" s="388" customFormat="1" ht="15.75" customHeight="1">
      <c r="A7" s="392" t="str">
        <f>txtMunicipality</f>
        <v>LEBBEKE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0.21266863427815547</v>
      </c>
      <c r="C17" s="501">
        <f ca="1">'EF ele_warmte'!B22</f>
        <v>0.23764705882352946</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0.21266863427815547</v>
      </c>
      <c r="C29" s="502">
        <f ca="1">'EF ele_warmte'!B22</f>
        <v>0.23764705882352946</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8071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1360.19</v>
      </c>
      <c r="C14" s="330"/>
      <c r="D14" s="330"/>
      <c r="E14" s="330"/>
      <c r="F14" s="330"/>
    </row>
    <row r="15" spans="1:6">
      <c r="A15" s="1298" t="s">
        <v>183</v>
      </c>
      <c r="B15" s="1299">
        <v>14</v>
      </c>
      <c r="C15" s="330"/>
      <c r="D15" s="330"/>
      <c r="E15" s="330"/>
      <c r="F15" s="330"/>
    </row>
    <row r="16" spans="1:6">
      <c r="A16" s="1298" t="s">
        <v>6</v>
      </c>
      <c r="B16" s="1299">
        <v>421</v>
      </c>
      <c r="C16" s="330"/>
      <c r="D16" s="330"/>
      <c r="E16" s="330"/>
      <c r="F16" s="330"/>
    </row>
    <row r="17" spans="1:6">
      <c r="A17" s="1298" t="s">
        <v>7</v>
      </c>
      <c r="B17" s="1299">
        <v>394</v>
      </c>
      <c r="C17" s="330"/>
      <c r="D17" s="330"/>
      <c r="E17" s="330"/>
      <c r="F17" s="330"/>
    </row>
    <row r="18" spans="1:6">
      <c r="A18" s="1298" t="s">
        <v>8</v>
      </c>
      <c r="B18" s="1299">
        <v>487</v>
      </c>
      <c r="C18" s="330"/>
      <c r="D18" s="330"/>
      <c r="E18" s="330"/>
      <c r="F18" s="330"/>
    </row>
    <row r="19" spans="1:6">
      <c r="A19" s="1298" t="s">
        <v>9</v>
      </c>
      <c r="B19" s="1299">
        <v>496</v>
      </c>
      <c r="C19" s="330"/>
      <c r="D19" s="330"/>
      <c r="E19" s="330"/>
      <c r="F19" s="330"/>
    </row>
    <row r="20" spans="1:6">
      <c r="A20" s="1298" t="s">
        <v>10</v>
      </c>
      <c r="B20" s="1299">
        <v>352</v>
      </c>
      <c r="C20" s="330"/>
      <c r="D20" s="330"/>
      <c r="E20" s="330"/>
      <c r="F20" s="330"/>
    </row>
    <row r="21" spans="1:6">
      <c r="A21" s="1298" t="s">
        <v>11</v>
      </c>
      <c r="B21" s="1299">
        <v>587</v>
      </c>
      <c r="C21" s="330"/>
      <c r="D21" s="330"/>
      <c r="E21" s="330"/>
      <c r="F21" s="330"/>
    </row>
    <row r="22" spans="1:6">
      <c r="A22" s="1298" t="s">
        <v>12</v>
      </c>
      <c r="B22" s="1299">
        <v>1471</v>
      </c>
      <c r="C22" s="330"/>
      <c r="D22" s="330"/>
      <c r="E22" s="330"/>
      <c r="F22" s="330"/>
    </row>
    <row r="23" spans="1:6">
      <c r="A23" s="1298" t="s">
        <v>13</v>
      </c>
      <c r="B23" s="1299">
        <v>47</v>
      </c>
      <c r="C23" s="330"/>
      <c r="D23" s="330"/>
      <c r="E23" s="330"/>
      <c r="F23" s="330"/>
    </row>
    <row r="24" spans="1:6">
      <c r="A24" s="1298" t="s">
        <v>14</v>
      </c>
      <c r="B24" s="1299">
        <v>3</v>
      </c>
      <c r="C24" s="330"/>
      <c r="D24" s="330"/>
      <c r="E24" s="330"/>
      <c r="F24" s="330"/>
    </row>
    <row r="25" spans="1:6">
      <c r="A25" s="1298" t="s">
        <v>15</v>
      </c>
      <c r="B25" s="1299">
        <v>267</v>
      </c>
      <c r="C25" s="330"/>
      <c r="D25" s="330"/>
      <c r="E25" s="330"/>
      <c r="F25" s="330"/>
    </row>
    <row r="26" spans="1:6">
      <c r="A26" s="1298" t="s">
        <v>16</v>
      </c>
      <c r="B26" s="1299">
        <v>90</v>
      </c>
      <c r="C26" s="330"/>
      <c r="D26" s="330"/>
      <c r="E26" s="330"/>
      <c r="F26" s="330"/>
    </row>
    <row r="27" spans="1:6">
      <c r="A27" s="1298" t="s">
        <v>17</v>
      </c>
      <c r="B27" s="1299">
        <v>0</v>
      </c>
      <c r="C27" s="330"/>
      <c r="D27" s="330"/>
      <c r="E27" s="330"/>
      <c r="F27" s="330"/>
    </row>
    <row r="28" spans="1:6" s="43" customFormat="1">
      <c r="A28" s="1300" t="s">
        <v>18</v>
      </c>
      <c r="B28" s="1301">
        <v>0</v>
      </c>
      <c r="C28" s="336"/>
      <c r="D28" s="336"/>
      <c r="E28" s="336"/>
      <c r="F28" s="336"/>
    </row>
    <row r="29" spans="1:6">
      <c r="A29" s="1300" t="s">
        <v>705</v>
      </c>
      <c r="B29" s="1301">
        <v>92</v>
      </c>
      <c r="C29" s="336"/>
      <c r="D29" s="336"/>
      <c r="E29" s="336"/>
      <c r="F29" s="336"/>
    </row>
    <row r="30" spans="1:6">
      <c r="A30" s="1293" t="s">
        <v>706</v>
      </c>
      <c r="B30" s="1302">
        <v>14</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0</v>
      </c>
      <c r="F38" s="1299">
        <v>0</v>
      </c>
    </row>
    <row r="39" spans="1:6">
      <c r="A39" s="1298" t="s">
        <v>29</v>
      </c>
      <c r="B39" s="1298" t="s">
        <v>30</v>
      </c>
      <c r="C39" s="1299">
        <v>5388</v>
      </c>
      <c r="D39" s="1299">
        <v>80882010.780000001</v>
      </c>
      <c r="E39" s="1299">
        <v>7985</v>
      </c>
      <c r="F39" s="1299">
        <v>28106934.690000001</v>
      </c>
    </row>
    <row r="40" spans="1:6">
      <c r="A40" s="1298" t="s">
        <v>29</v>
      </c>
      <c r="B40" s="1298" t="s">
        <v>28</v>
      </c>
      <c r="C40" s="1299">
        <v>0</v>
      </c>
      <c r="D40" s="1299">
        <v>0</v>
      </c>
      <c r="E40" s="1299">
        <v>0</v>
      </c>
      <c r="F40" s="1299">
        <v>0</v>
      </c>
    </row>
    <row r="41" spans="1:6">
      <c r="A41" s="1298" t="s">
        <v>31</v>
      </c>
      <c r="B41" s="1298" t="s">
        <v>32</v>
      </c>
      <c r="C41" s="1299">
        <v>56</v>
      </c>
      <c r="D41" s="1299">
        <v>1202403.1070000001</v>
      </c>
      <c r="E41" s="1299">
        <v>144</v>
      </c>
      <c r="F41" s="1299">
        <v>1061051.9169999999</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3</v>
      </c>
      <c r="D44" s="1299">
        <v>74272.707999999999</v>
      </c>
      <c r="E44" s="1299">
        <v>8</v>
      </c>
      <c r="F44" s="1299">
        <v>90556.463000000003</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3</v>
      </c>
      <c r="D47" s="1299">
        <v>73418.694000000003</v>
      </c>
      <c r="E47" s="1299">
        <v>7</v>
      </c>
      <c r="F47" s="1299">
        <v>65483.008000000002</v>
      </c>
    </row>
    <row r="48" spans="1:6">
      <c r="A48" s="1298" t="s">
        <v>31</v>
      </c>
      <c r="B48" s="1298" t="s">
        <v>28</v>
      </c>
      <c r="C48" s="1299">
        <v>27</v>
      </c>
      <c r="D48" s="1299">
        <v>42076408.539999999</v>
      </c>
      <c r="E48" s="1299">
        <v>30</v>
      </c>
      <c r="F48" s="1299">
        <v>2842413.2570000002</v>
      </c>
    </row>
    <row r="49" spans="1:6">
      <c r="A49" s="1298" t="s">
        <v>31</v>
      </c>
      <c r="B49" s="1298" t="s">
        <v>39</v>
      </c>
      <c r="C49" s="1299">
        <v>0</v>
      </c>
      <c r="D49" s="1299">
        <v>0</v>
      </c>
      <c r="E49" s="1299">
        <v>3</v>
      </c>
      <c r="F49" s="1299">
        <v>27451.782999999999</v>
      </c>
    </row>
    <row r="50" spans="1:6">
      <c r="A50" s="1298" t="s">
        <v>31</v>
      </c>
      <c r="B50" s="1298" t="s">
        <v>40</v>
      </c>
      <c r="C50" s="1299">
        <v>8</v>
      </c>
      <c r="D50" s="1299">
        <v>270942.19699999999</v>
      </c>
      <c r="E50" s="1299">
        <v>14</v>
      </c>
      <c r="F50" s="1299">
        <v>77000343.760000005</v>
      </c>
    </row>
    <row r="51" spans="1:6">
      <c r="A51" s="1298" t="s">
        <v>41</v>
      </c>
      <c r="B51" s="1298" t="s">
        <v>42</v>
      </c>
      <c r="C51" s="1299">
        <v>21</v>
      </c>
      <c r="D51" s="1299">
        <v>843400.054</v>
      </c>
      <c r="E51" s="1299">
        <v>86</v>
      </c>
      <c r="F51" s="1299">
        <v>933852.09699999995</v>
      </c>
    </row>
    <row r="52" spans="1:6">
      <c r="A52" s="1298" t="s">
        <v>41</v>
      </c>
      <c r="B52" s="1298" t="s">
        <v>28</v>
      </c>
      <c r="C52" s="1299">
        <v>4</v>
      </c>
      <c r="D52" s="1299">
        <v>36171.523000000001</v>
      </c>
      <c r="E52" s="1299">
        <v>9</v>
      </c>
      <c r="F52" s="1299">
        <v>171821.69500000001</v>
      </c>
    </row>
    <row r="53" spans="1:6">
      <c r="A53" s="1298" t="s">
        <v>43</v>
      </c>
      <c r="B53" s="1298" t="s">
        <v>44</v>
      </c>
      <c r="C53" s="1299">
        <v>134</v>
      </c>
      <c r="D53" s="1299">
        <v>1579107.825</v>
      </c>
      <c r="E53" s="1299">
        <v>306</v>
      </c>
      <c r="F53" s="1299">
        <v>850676.03799999994</v>
      </c>
    </row>
    <row r="54" spans="1:6">
      <c r="A54" s="1298" t="s">
        <v>45</v>
      </c>
      <c r="B54" s="1298" t="s">
        <v>46</v>
      </c>
      <c r="C54" s="1299">
        <v>0</v>
      </c>
      <c r="D54" s="1299">
        <v>0</v>
      </c>
      <c r="E54" s="1299">
        <v>1</v>
      </c>
      <c r="F54" s="1299">
        <v>1047048</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54</v>
      </c>
      <c r="D57" s="1299">
        <v>3074085.4920000001</v>
      </c>
      <c r="E57" s="1299">
        <v>82</v>
      </c>
      <c r="F57" s="1299">
        <v>1046647.772</v>
      </c>
    </row>
    <row r="58" spans="1:6">
      <c r="A58" s="1298" t="s">
        <v>48</v>
      </c>
      <c r="B58" s="1298" t="s">
        <v>50</v>
      </c>
      <c r="C58" s="1299">
        <v>20</v>
      </c>
      <c r="D58" s="1299">
        <v>597464.11600000004</v>
      </c>
      <c r="E58" s="1299">
        <v>65</v>
      </c>
      <c r="F58" s="1299">
        <v>535066.53799999994</v>
      </c>
    </row>
    <row r="59" spans="1:6">
      <c r="A59" s="1298" t="s">
        <v>48</v>
      </c>
      <c r="B59" s="1298" t="s">
        <v>51</v>
      </c>
      <c r="C59" s="1299">
        <v>56</v>
      </c>
      <c r="D59" s="1299">
        <v>2259199.142</v>
      </c>
      <c r="E59" s="1299">
        <v>180</v>
      </c>
      <c r="F59" s="1299">
        <v>5149908.9050000003</v>
      </c>
    </row>
    <row r="60" spans="1:6">
      <c r="A60" s="1298" t="s">
        <v>48</v>
      </c>
      <c r="B60" s="1298" t="s">
        <v>52</v>
      </c>
      <c r="C60" s="1299">
        <v>60</v>
      </c>
      <c r="D60" s="1299">
        <v>2099048.4649999999</v>
      </c>
      <c r="E60" s="1299">
        <v>71</v>
      </c>
      <c r="F60" s="1299">
        <v>1364538.7409999999</v>
      </c>
    </row>
    <row r="61" spans="1:6">
      <c r="A61" s="1298" t="s">
        <v>48</v>
      </c>
      <c r="B61" s="1298" t="s">
        <v>53</v>
      </c>
      <c r="C61" s="1299">
        <v>121</v>
      </c>
      <c r="D61" s="1299">
        <v>5466006.4160000002</v>
      </c>
      <c r="E61" s="1299">
        <v>300</v>
      </c>
      <c r="F61" s="1299">
        <v>2428377.3089999999</v>
      </c>
    </row>
    <row r="62" spans="1:6">
      <c r="A62" s="1298" t="s">
        <v>48</v>
      </c>
      <c r="B62" s="1298" t="s">
        <v>54</v>
      </c>
      <c r="C62" s="1299">
        <v>4</v>
      </c>
      <c r="D62" s="1299">
        <v>355646.554</v>
      </c>
      <c r="E62" s="1299">
        <v>8</v>
      </c>
      <c r="F62" s="1299">
        <v>133762.68799999999</v>
      </c>
    </row>
    <row r="63" spans="1:6">
      <c r="A63" s="1298" t="s">
        <v>48</v>
      </c>
      <c r="B63" s="1298" t="s">
        <v>28</v>
      </c>
      <c r="C63" s="1299">
        <v>101</v>
      </c>
      <c r="D63" s="1299">
        <v>4802862.727</v>
      </c>
      <c r="E63" s="1299">
        <v>115</v>
      </c>
      <c r="F63" s="1299">
        <v>1648713.844</v>
      </c>
    </row>
    <row r="64" spans="1:6">
      <c r="A64" s="1298" t="s">
        <v>55</v>
      </c>
      <c r="B64" s="1298" t="s">
        <v>56</v>
      </c>
      <c r="C64" s="1299">
        <v>0</v>
      </c>
      <c r="D64" s="1299">
        <v>0</v>
      </c>
      <c r="E64" s="1299">
        <v>0</v>
      </c>
      <c r="F64" s="1299">
        <v>0</v>
      </c>
    </row>
    <row r="65" spans="1:6">
      <c r="A65" s="1298" t="s">
        <v>55</v>
      </c>
      <c r="B65" s="1298" t="s">
        <v>28</v>
      </c>
      <c r="C65" s="1299">
        <v>3</v>
      </c>
      <c r="D65" s="1299">
        <v>82932.294999999998</v>
      </c>
      <c r="E65" s="1299">
        <v>2</v>
      </c>
      <c r="F65" s="1299">
        <v>3063.8989999999999</v>
      </c>
    </row>
    <row r="66" spans="1:6">
      <c r="A66" s="1298" t="s">
        <v>55</v>
      </c>
      <c r="B66" s="1298" t="s">
        <v>57</v>
      </c>
      <c r="C66" s="1299">
        <v>0</v>
      </c>
      <c r="D66" s="1299">
        <v>0</v>
      </c>
      <c r="E66" s="1299">
        <v>3</v>
      </c>
      <c r="F66" s="1299">
        <v>10860</v>
      </c>
    </row>
    <row r="67" spans="1:6">
      <c r="A67" s="1300" t="s">
        <v>55</v>
      </c>
      <c r="B67" s="1300" t="s">
        <v>58</v>
      </c>
      <c r="C67" s="1299">
        <v>0</v>
      </c>
      <c r="D67" s="1299">
        <v>0</v>
      </c>
      <c r="E67" s="1299">
        <v>0</v>
      </c>
      <c r="F67" s="1299">
        <v>0</v>
      </c>
    </row>
    <row r="68" spans="1:6">
      <c r="A68" s="1293" t="s">
        <v>55</v>
      </c>
      <c r="B68" s="1293" t="s">
        <v>59</v>
      </c>
      <c r="C68" s="1302">
        <v>3</v>
      </c>
      <c r="D68" s="1302">
        <v>39770.173000000003</v>
      </c>
      <c r="E68" s="1302">
        <v>8</v>
      </c>
      <c r="F68" s="1302">
        <v>54995.873</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34701904</v>
      </c>
      <c r="E73" s="450"/>
      <c r="F73" s="330"/>
    </row>
    <row r="74" spans="1:6">
      <c r="A74" s="1298" t="s">
        <v>63</v>
      </c>
      <c r="B74" s="1298" t="s">
        <v>647</v>
      </c>
      <c r="C74" s="1312" t="s">
        <v>649</v>
      </c>
      <c r="D74" s="1313">
        <v>2588562.5</v>
      </c>
      <c r="E74" s="450"/>
      <c r="F74" s="330"/>
    </row>
    <row r="75" spans="1:6">
      <c r="A75" s="1298" t="s">
        <v>64</v>
      </c>
      <c r="B75" s="1298" t="s">
        <v>646</v>
      </c>
      <c r="C75" s="1312" t="s">
        <v>650</v>
      </c>
      <c r="D75" s="1313">
        <v>63074130</v>
      </c>
      <c r="E75" s="450"/>
      <c r="F75" s="330"/>
    </row>
    <row r="76" spans="1:6">
      <c r="A76" s="1298" t="s">
        <v>64</v>
      </c>
      <c r="B76" s="1298" t="s">
        <v>647</v>
      </c>
      <c r="C76" s="1312" t="s">
        <v>651</v>
      </c>
      <c r="D76" s="1313">
        <v>3505639.5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209595</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4396.3032339206866</v>
      </c>
      <c r="C91" s="330"/>
      <c r="D91" s="330"/>
      <c r="E91" s="330"/>
      <c r="F91" s="330"/>
    </row>
    <row r="92" spans="1:6">
      <c r="A92" s="1293" t="s">
        <v>68</v>
      </c>
      <c r="B92" s="1294">
        <v>723.71327120259434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2589</v>
      </c>
      <c r="C97" s="330"/>
      <c r="D97" s="330"/>
      <c r="E97" s="330"/>
      <c r="F97" s="330"/>
    </row>
    <row r="98" spans="1:6">
      <c r="A98" s="1298" t="s">
        <v>71</v>
      </c>
      <c r="B98" s="1299">
        <v>0</v>
      </c>
      <c r="C98" s="330"/>
      <c r="D98" s="330"/>
      <c r="E98" s="330"/>
      <c r="F98" s="330"/>
    </row>
    <row r="99" spans="1:6">
      <c r="A99" s="1298" t="s">
        <v>72</v>
      </c>
      <c r="B99" s="1299">
        <v>69</v>
      </c>
      <c r="C99" s="330"/>
      <c r="D99" s="330"/>
      <c r="E99" s="330"/>
      <c r="F99" s="330"/>
    </row>
    <row r="100" spans="1:6">
      <c r="A100" s="1298" t="s">
        <v>73</v>
      </c>
      <c r="B100" s="1299">
        <v>547</v>
      </c>
      <c r="C100" s="330"/>
      <c r="D100" s="330"/>
      <c r="E100" s="330"/>
      <c r="F100" s="330"/>
    </row>
    <row r="101" spans="1:6">
      <c r="A101" s="1298" t="s">
        <v>74</v>
      </c>
      <c r="B101" s="1299">
        <v>86</v>
      </c>
      <c r="C101" s="330"/>
      <c r="D101" s="330"/>
      <c r="E101" s="330"/>
      <c r="F101" s="330"/>
    </row>
    <row r="102" spans="1:6">
      <c r="A102" s="1298" t="s">
        <v>75</v>
      </c>
      <c r="B102" s="1299">
        <v>115</v>
      </c>
      <c r="C102" s="330"/>
      <c r="D102" s="330"/>
      <c r="E102" s="330"/>
      <c r="F102" s="330"/>
    </row>
    <row r="103" spans="1:6">
      <c r="A103" s="1298" t="s">
        <v>76</v>
      </c>
      <c r="B103" s="1299">
        <v>283</v>
      </c>
      <c r="C103" s="330"/>
      <c r="D103" s="330"/>
      <c r="E103" s="330"/>
      <c r="F103" s="330"/>
    </row>
    <row r="104" spans="1:6">
      <c r="A104" s="1298" t="s">
        <v>77</v>
      </c>
      <c r="B104" s="1299">
        <v>3142</v>
      </c>
      <c r="C104" s="330"/>
      <c r="D104" s="330"/>
      <c r="E104" s="330"/>
      <c r="F104" s="330"/>
    </row>
    <row r="105" spans="1:6">
      <c r="A105" s="1293" t="s">
        <v>78</v>
      </c>
      <c r="B105" s="1302">
        <v>8</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33</v>
      </c>
      <c r="C123" s="1299">
        <v>47</v>
      </c>
      <c r="D123" s="330"/>
      <c r="E123" s="330"/>
      <c r="F123" s="330"/>
    </row>
    <row r="124" spans="1:6" s="43" customFormat="1">
      <c r="A124" s="1300" t="s">
        <v>88</v>
      </c>
      <c r="B124" s="1321">
        <v>0</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143</v>
      </c>
      <c r="C129" s="330"/>
      <c r="D129" s="330"/>
      <c r="E129" s="330"/>
      <c r="F129" s="330"/>
    </row>
    <row r="130" spans="1:6">
      <c r="A130" s="1298" t="s">
        <v>294</v>
      </c>
      <c r="B130" s="1299">
        <v>3</v>
      </c>
      <c r="C130" s="330"/>
      <c r="D130" s="330"/>
      <c r="E130" s="330"/>
      <c r="F130" s="330"/>
    </row>
    <row r="131" spans="1:6">
      <c r="A131" s="1298" t="s">
        <v>295</v>
      </c>
      <c r="B131" s="1299">
        <v>0</v>
      </c>
      <c r="C131" s="330"/>
      <c r="D131" s="330"/>
      <c r="E131" s="330"/>
      <c r="F131" s="330"/>
    </row>
    <row r="132" spans="1:6">
      <c r="A132" s="1293" t="s">
        <v>296</v>
      </c>
      <c r="B132" s="1294">
        <v>18</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131238.21422580356</v>
      </c>
      <c r="C3" s="43" t="s">
        <v>169</v>
      </c>
      <c r="D3" s="43"/>
      <c r="E3" s="154"/>
      <c r="F3" s="43"/>
      <c r="G3" s="43"/>
      <c r="H3" s="43"/>
      <c r="I3" s="43"/>
      <c r="J3" s="43"/>
      <c r="K3" s="96"/>
    </row>
    <row r="4" spans="1:11">
      <c r="A4" s="358" t="s">
        <v>170</v>
      </c>
      <c r="B4" s="49">
        <f>IF(ISERROR('SEAP template'!B78+'SEAP template'!C78),0,'SEAP template'!B78+'SEAP template'!C78)</f>
        <v>7410.5165051232807</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544.33058823529416</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0.21266863427815547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777.61512605042037</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3272.1428571428573</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0.23764705882352946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1047.048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1047.048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0.21266863427815547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222.67426818367412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28106.934690000002</v>
      </c>
      <c r="C5" s="17">
        <f>IF(ISERROR('Eigen informatie GS &amp; warmtenet'!B59),0,'Eigen informatie GS &amp; warmtenet'!B59)</f>
        <v>0</v>
      </c>
      <c r="D5" s="30">
        <f>(SUM(HH_hh_gas_kWh,HH_rest_gas_kWh)/1000)*0.902</f>
        <v>72955.573723559995</v>
      </c>
      <c r="E5" s="17">
        <f>B46*B57</f>
        <v>10712.998406679273</v>
      </c>
      <c r="F5" s="17">
        <f>B51*B62</f>
        <v>12927.590529081726</v>
      </c>
      <c r="G5" s="18"/>
      <c r="H5" s="17"/>
      <c r="I5" s="17"/>
      <c r="J5" s="17">
        <f>B50*B61+C50*C61</f>
        <v>40.824221403759132</v>
      </c>
      <c r="K5" s="17"/>
      <c r="L5" s="17"/>
      <c r="M5" s="17"/>
      <c r="N5" s="17">
        <f>B48*B59+C48*C59</f>
        <v>16659.927012294578</v>
      </c>
      <c r="O5" s="17">
        <f>B69*B70*B71</f>
        <v>378.93601990292308</v>
      </c>
      <c r="P5" s="17">
        <f>B77*B78*B79/1000-B77*B78*B79/1000/B80</f>
        <v>537.23192469193623</v>
      </c>
    </row>
    <row r="6" spans="1:16">
      <c r="A6" s="16" t="s">
        <v>611</v>
      </c>
      <c r="B6" s="783">
        <f>kWh_PV_kleiner_dan_10kW</f>
        <v>4396.3032339206866</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32503.237923920689</v>
      </c>
      <c r="C8" s="21">
        <f>C5</f>
        <v>0</v>
      </c>
      <c r="D8" s="21">
        <f>D5</f>
        <v>72955.573723559995</v>
      </c>
      <c r="E8" s="21">
        <f>E5</f>
        <v>10712.998406679273</v>
      </c>
      <c r="F8" s="21">
        <f>F5</f>
        <v>12927.590529081726</v>
      </c>
      <c r="G8" s="21"/>
      <c r="H8" s="21"/>
      <c r="I8" s="21"/>
      <c r="J8" s="21">
        <f>J5</f>
        <v>40.824221403759132</v>
      </c>
      <c r="K8" s="21"/>
      <c r="L8" s="21">
        <f>L5</f>
        <v>0</v>
      </c>
      <c r="M8" s="21">
        <f>M5</f>
        <v>0</v>
      </c>
      <c r="N8" s="21">
        <f>N5</f>
        <v>16659.927012294578</v>
      </c>
      <c r="O8" s="21">
        <f>O5</f>
        <v>378.93601990292308</v>
      </c>
      <c r="P8" s="21">
        <f>P5</f>
        <v>537.23192469193623</v>
      </c>
    </row>
    <row r="9" spans="1:16">
      <c r="B9" s="19"/>
      <c r="C9" s="19"/>
      <c r="D9" s="258"/>
      <c r="E9" s="19"/>
      <c r="F9" s="19"/>
      <c r="G9" s="19"/>
      <c r="H9" s="19"/>
      <c r="I9" s="19"/>
      <c r="J9" s="19"/>
      <c r="K9" s="19"/>
      <c r="L9" s="19"/>
      <c r="M9" s="19"/>
      <c r="N9" s="19"/>
      <c r="O9" s="19"/>
      <c r="P9" s="19"/>
    </row>
    <row r="10" spans="1:16">
      <c r="A10" s="24" t="s">
        <v>213</v>
      </c>
      <c r="B10" s="25">
        <f ca="1">'EF ele_warmte'!B12</f>
        <v>0.21266863427815547</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6912.4192188981624</v>
      </c>
      <c r="C12" s="23">
        <f ca="1">C10*C8</f>
        <v>0</v>
      </c>
      <c r="D12" s="23">
        <f>D8*D10</f>
        <v>14737.025892159119</v>
      </c>
      <c r="E12" s="23">
        <f>E10*E8</f>
        <v>2431.8506383161953</v>
      </c>
      <c r="F12" s="23">
        <f>F10*F8</f>
        <v>3451.6666712648212</v>
      </c>
      <c r="G12" s="23"/>
      <c r="H12" s="23"/>
      <c r="I12" s="23"/>
      <c r="J12" s="23">
        <f>J10*J8</f>
        <v>14.451774376930732</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2589</v>
      </c>
      <c r="C18" s="166" t="s">
        <v>110</v>
      </c>
      <c r="D18" s="228"/>
      <c r="E18" s="15"/>
    </row>
    <row r="19" spans="1:7">
      <c r="A19" s="171" t="s">
        <v>71</v>
      </c>
      <c r="B19" s="37">
        <f>aantalw2001_ander</f>
        <v>0</v>
      </c>
      <c r="C19" s="166" t="s">
        <v>110</v>
      </c>
      <c r="D19" s="229"/>
      <c r="E19" s="15"/>
    </row>
    <row r="20" spans="1:7">
      <c r="A20" s="171" t="s">
        <v>72</v>
      </c>
      <c r="B20" s="37">
        <f>aantalw2001_propaan</f>
        <v>69</v>
      </c>
      <c r="C20" s="167">
        <f>IF(ISERROR(B20/SUM($B$20,$B$21,$B$22)*100),0,B20/SUM($B$20,$B$21,$B$22)*100)</f>
        <v>9.8290598290598297</v>
      </c>
      <c r="D20" s="229"/>
      <c r="E20" s="15"/>
    </row>
    <row r="21" spans="1:7">
      <c r="A21" s="171" t="s">
        <v>73</v>
      </c>
      <c r="B21" s="37">
        <f>aantalw2001_elektriciteit</f>
        <v>547</v>
      </c>
      <c r="C21" s="167">
        <f>IF(ISERROR(B21/SUM($B$20,$B$21,$B$22)*100),0,B21/SUM($B$20,$B$21,$B$22)*100)</f>
        <v>77.92022792022793</v>
      </c>
      <c r="D21" s="229"/>
      <c r="E21" s="15"/>
    </row>
    <row r="22" spans="1:7">
      <c r="A22" s="171" t="s">
        <v>74</v>
      </c>
      <c r="B22" s="37">
        <f>aantalw2001_hout</f>
        <v>86</v>
      </c>
      <c r="C22" s="167">
        <f>IF(ISERROR(B22/SUM($B$20,$B$21,$B$22)*100),0,B22/SUM($B$20,$B$21,$B$22)*100)</f>
        <v>12.250712250712251</v>
      </c>
      <c r="D22" s="229"/>
      <c r="E22" s="15"/>
    </row>
    <row r="23" spans="1:7">
      <c r="A23" s="171" t="s">
        <v>75</v>
      </c>
      <c r="B23" s="37">
        <f>aantalw2001_niet_gespec</f>
        <v>115</v>
      </c>
      <c r="C23" s="166" t="s">
        <v>110</v>
      </c>
      <c r="D23" s="228"/>
      <c r="E23" s="15"/>
    </row>
    <row r="24" spans="1:7">
      <c r="A24" s="171" t="s">
        <v>76</v>
      </c>
      <c r="B24" s="37">
        <f>aantalw2001_steenkool</f>
        <v>283</v>
      </c>
      <c r="C24" s="166" t="s">
        <v>110</v>
      </c>
      <c r="D24" s="229"/>
      <c r="E24" s="15"/>
    </row>
    <row r="25" spans="1:7">
      <c r="A25" s="171" t="s">
        <v>77</v>
      </c>
      <c r="B25" s="37">
        <f>aantalw2001_stookolie</f>
        <v>3142</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818</v>
      </c>
      <c r="B28" s="37">
        <f>aantalHuishoudens</f>
        <v>8071</v>
      </c>
      <c r="C28" s="36"/>
      <c r="D28" s="228"/>
    </row>
    <row r="29" spans="1:7" s="15" customFormat="1">
      <c r="A29" s="230" t="s">
        <v>819</v>
      </c>
      <c r="B29" s="37">
        <f>SUM(HH_hh_gas_aantal,HH_rest_gas_aantal)</f>
        <v>5388</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5388</v>
      </c>
      <c r="C32" s="167">
        <f>IF(ISERROR(B32/SUM($B$32,$B$34,$B$35,$B$36,$B$38,$B$39)*100),0,B32/SUM($B$32,$B$34,$B$35,$B$36,$B$38,$B$39)*100)</f>
        <v>67.182044887780549</v>
      </c>
      <c r="D32" s="233"/>
      <c r="G32" s="15"/>
    </row>
    <row r="33" spans="1:7">
      <c r="A33" s="171" t="s">
        <v>71</v>
      </c>
      <c r="B33" s="34" t="s">
        <v>110</v>
      </c>
      <c r="C33" s="167"/>
      <c r="D33" s="233"/>
      <c r="G33" s="15"/>
    </row>
    <row r="34" spans="1:7">
      <c r="A34" s="171" t="s">
        <v>72</v>
      </c>
      <c r="B34" s="33">
        <f>IF((($B$28-$B$32-$B$39-$B$77-$B$38)*C20/100)&lt;0,0,($B$28-$B$32-$B$39-$B$77-$B$38)*C20/100)</f>
        <v>197.17094017094018</v>
      </c>
      <c r="C34" s="167">
        <f>IF(ISERROR(B34/SUM($B$32,$B$34,$B$35,$B$36,$B$38,$B$39)*100),0,B34/SUM($B$32,$B$34,$B$35,$B$36,$B$38,$B$39)*100)</f>
        <v>2.4584905258221967</v>
      </c>
      <c r="D34" s="233"/>
      <c r="G34" s="15"/>
    </row>
    <row r="35" spans="1:7">
      <c r="A35" s="171" t="s">
        <v>73</v>
      </c>
      <c r="B35" s="33">
        <f>IF((($B$28-$B$32-$B$39-$B$77-$B$38)*C21/100)&lt;0,0,($B$28-$B$32-$B$39-$B$77-$B$38)*C21/100)</f>
        <v>1563.0797720797723</v>
      </c>
      <c r="C35" s="167">
        <f>IF(ISERROR(B35/SUM($B$32,$B$34,$B$35,$B$36,$B$38,$B$39)*100),0,B35/SUM($B$32,$B$34,$B$35,$B$36,$B$38,$B$39)*100)</f>
        <v>19.489772719199156</v>
      </c>
      <c r="D35" s="233"/>
      <c r="G35" s="15"/>
    </row>
    <row r="36" spans="1:7">
      <c r="A36" s="171" t="s">
        <v>74</v>
      </c>
      <c r="B36" s="33">
        <f>IF((($B$28-$B$32-$B$39-$B$77-$B$38)*C22/100)&lt;0,0,($B$28-$B$32-$B$39-$B$77-$B$38)*C22/100)</f>
        <v>245.74928774928776</v>
      </c>
      <c r="C36" s="167">
        <f>IF(ISERROR(B36/SUM($B$32,$B$34,$B$35,$B$36,$B$38,$B$39)*100),0,B36/SUM($B$32,$B$34,$B$35,$B$36,$B$38,$B$39)*100)</f>
        <v>3.0642055829088251</v>
      </c>
      <c r="D36" s="233"/>
      <c r="G36" s="15"/>
    </row>
    <row r="37" spans="1:7">
      <c r="A37" s="171" t="s">
        <v>75</v>
      </c>
      <c r="B37" s="34" t="s">
        <v>110</v>
      </c>
      <c r="C37" s="167"/>
      <c r="D37" s="173"/>
      <c r="G37" s="15"/>
    </row>
    <row r="38" spans="1:7">
      <c r="A38" s="171" t="s">
        <v>76</v>
      </c>
      <c r="B38" s="33">
        <f>IF((B24-(B29-B18)*0.1)&lt;0,0,B24-(B29-B18)*0.1)</f>
        <v>3.0999999999999659</v>
      </c>
      <c r="C38" s="167">
        <f>IF(ISERROR(B38/SUM($B$32,$B$34,$B$35,$B$36,$B$38,$B$39)*100),0,B38/SUM($B$32,$B$34,$B$35,$B$36,$B$38,$B$39)*100)</f>
        <v>3.8653366583540717E-2</v>
      </c>
      <c r="D38" s="234"/>
      <c r="G38" s="15"/>
    </row>
    <row r="39" spans="1:7">
      <c r="A39" s="171" t="s">
        <v>77</v>
      </c>
      <c r="B39" s="33">
        <f>IF((B25-(B29-B18))&lt;0,0,B25-(B29-B18)*0.9)</f>
        <v>622.90000000000009</v>
      </c>
      <c r="C39" s="167">
        <f>IF(ISERROR(B39/SUM($B$32,$B$34,$B$35,$B$36,$B$38,$B$39)*100),0,B39/SUM($B$32,$B$34,$B$35,$B$36,$B$38,$B$39)*100)</f>
        <v>7.7668329177057363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5388</v>
      </c>
      <c r="C44" s="34" t="s">
        <v>110</v>
      </c>
      <c r="D44" s="174"/>
    </row>
    <row r="45" spans="1:7">
      <c r="A45" s="171" t="s">
        <v>71</v>
      </c>
      <c r="B45" s="33" t="str">
        <f t="shared" si="0"/>
        <v>-</v>
      </c>
      <c r="C45" s="34" t="s">
        <v>110</v>
      </c>
      <c r="D45" s="174"/>
    </row>
    <row r="46" spans="1:7">
      <c r="A46" s="171" t="s">
        <v>72</v>
      </c>
      <c r="B46" s="33">
        <f t="shared" si="0"/>
        <v>197.17094017094018</v>
      </c>
      <c r="C46" s="34" t="s">
        <v>110</v>
      </c>
      <c r="D46" s="174"/>
    </row>
    <row r="47" spans="1:7">
      <c r="A47" s="171" t="s">
        <v>73</v>
      </c>
      <c r="B47" s="33">
        <f t="shared" si="0"/>
        <v>1563.0797720797723</v>
      </c>
      <c r="C47" s="34" t="s">
        <v>110</v>
      </c>
      <c r="D47" s="174"/>
    </row>
    <row r="48" spans="1:7">
      <c r="A48" s="171" t="s">
        <v>74</v>
      </c>
      <c r="B48" s="33">
        <f t="shared" si="0"/>
        <v>245.74928774928776</v>
      </c>
      <c r="C48" s="33">
        <f>B48*10</f>
        <v>2457.4928774928776</v>
      </c>
      <c r="D48" s="234"/>
    </row>
    <row r="49" spans="1:6">
      <c r="A49" s="171" t="s">
        <v>75</v>
      </c>
      <c r="B49" s="33" t="str">
        <f t="shared" si="0"/>
        <v>-</v>
      </c>
      <c r="C49" s="34" t="s">
        <v>110</v>
      </c>
      <c r="D49" s="234"/>
    </row>
    <row r="50" spans="1:6">
      <c r="A50" s="171" t="s">
        <v>76</v>
      </c>
      <c r="B50" s="33">
        <f t="shared" si="0"/>
        <v>3.0999999999999659</v>
      </c>
      <c r="C50" s="33">
        <f>B50*2</f>
        <v>6.1999999999999318</v>
      </c>
      <c r="D50" s="234"/>
    </row>
    <row r="51" spans="1:6">
      <c r="A51" s="171" t="s">
        <v>77</v>
      </c>
      <c r="B51" s="33">
        <f t="shared" si="0"/>
        <v>622.90000000000009</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191</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51</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12307.015797</v>
      </c>
      <c r="C5" s="17">
        <f>IF(ISERROR('Eigen informatie GS &amp; warmtenet'!B60),0,'Eigen informatie GS &amp; warmtenet'!B60)</f>
        <v>0</v>
      </c>
      <c r="D5" s="30">
        <f>SUM(D6:D12)</f>
        <v>16826.190246623999</v>
      </c>
      <c r="E5" s="17">
        <f>SUM(E6:E12)</f>
        <v>199.71036453272265</v>
      </c>
      <c r="F5" s="17">
        <f>SUM(F6:F12)</f>
        <v>1364.4561889539964</v>
      </c>
      <c r="G5" s="18"/>
      <c r="H5" s="17"/>
      <c r="I5" s="17"/>
      <c r="J5" s="17">
        <f>SUM(J6:J12)</f>
        <v>2.0927622601569929E-2</v>
      </c>
      <c r="K5" s="17"/>
      <c r="L5" s="17"/>
      <c r="M5" s="17"/>
      <c r="N5" s="17">
        <f>SUM(N6:N12)</f>
        <v>825.27590135621108</v>
      </c>
      <c r="O5" s="17">
        <f>B38*B39*B40</f>
        <v>14.691782297523464</v>
      </c>
      <c r="P5" s="17">
        <f>B46*B47*B48/1000-B46*B47*B48/1000/B49</f>
        <v>0</v>
      </c>
      <c r="R5" s="32"/>
    </row>
    <row r="6" spans="1:18">
      <c r="A6" s="32" t="s">
        <v>53</v>
      </c>
      <c r="B6" s="37">
        <f>B26</f>
        <v>2428.377309</v>
      </c>
      <c r="C6" s="33"/>
      <c r="D6" s="37">
        <f>IF(ISERROR(TER_kantoor_gas_kWh/1000),0,TER_kantoor_gas_kWh/1000)*0.902</f>
        <v>4930.3377872320007</v>
      </c>
      <c r="E6" s="33">
        <f>$C$26*'E Balans VL '!I12/100/3.6*1000000</f>
        <v>19.540373606417837</v>
      </c>
      <c r="F6" s="33">
        <f>$C$26*('E Balans VL '!L12+'E Balans VL '!N12)/100/3.6*1000000</f>
        <v>296.89467173667805</v>
      </c>
      <c r="G6" s="34"/>
      <c r="H6" s="33"/>
      <c r="I6" s="33"/>
      <c r="J6" s="33">
        <f>$C$26*('E Balans VL '!D12+'E Balans VL '!E12)/100/3.6*1000000</f>
        <v>0</v>
      </c>
      <c r="K6" s="33"/>
      <c r="L6" s="33"/>
      <c r="M6" s="33"/>
      <c r="N6" s="33">
        <f>$C$26*'E Balans VL '!Y12/100/3.6*1000000</f>
        <v>1.3051332189482152</v>
      </c>
      <c r="O6" s="33"/>
      <c r="P6" s="33"/>
      <c r="R6" s="32"/>
    </row>
    <row r="7" spans="1:18">
      <c r="A7" s="32" t="s">
        <v>52</v>
      </c>
      <c r="B7" s="37">
        <f t="shared" ref="B7:B12" si="0">B27</f>
        <v>1364.5387409999998</v>
      </c>
      <c r="C7" s="33"/>
      <c r="D7" s="37">
        <f>IF(ISERROR(TER_horeca_gas_kWh/1000),0,TER_horeca_gas_kWh/1000)*0.902</f>
        <v>1893.34171543</v>
      </c>
      <c r="E7" s="33">
        <f>$C$27*'E Balans VL '!I9/100/3.6*1000000</f>
        <v>14.651795356992912</v>
      </c>
      <c r="F7" s="33">
        <f>$C$27*('E Balans VL '!L9+'E Balans VL '!N9)/100/3.6*1000000</f>
        <v>164.12092226168483</v>
      </c>
      <c r="G7" s="34"/>
      <c r="H7" s="33"/>
      <c r="I7" s="33"/>
      <c r="J7" s="33">
        <f>$C$27*('E Balans VL '!D9+'E Balans VL '!E9)/100/3.6*1000000</f>
        <v>0</v>
      </c>
      <c r="K7" s="33"/>
      <c r="L7" s="33"/>
      <c r="M7" s="33"/>
      <c r="N7" s="33">
        <f>$C$27*'E Balans VL '!Y9/100/3.6*1000000</f>
        <v>0.2045720132653602</v>
      </c>
      <c r="O7" s="33"/>
      <c r="P7" s="33"/>
      <c r="R7" s="32"/>
    </row>
    <row r="8" spans="1:18">
      <c r="A8" s="6" t="s">
        <v>51</v>
      </c>
      <c r="B8" s="37">
        <f t="shared" si="0"/>
        <v>5149.9089050000002</v>
      </c>
      <c r="C8" s="33"/>
      <c r="D8" s="37">
        <f>IF(ISERROR(TER_handel_gas_kWh/1000),0,TER_handel_gas_kWh/1000)*0.902</f>
        <v>2037.7976260840001</v>
      </c>
      <c r="E8" s="33">
        <f>$C$28*'E Balans VL '!I13/100/3.6*1000000</f>
        <v>138.20778871703291</v>
      </c>
      <c r="F8" s="33">
        <f>$C$28*('E Balans VL '!L13+'E Balans VL '!N13)/100/3.6*1000000</f>
        <v>491.4600338221187</v>
      </c>
      <c r="G8" s="34"/>
      <c r="H8" s="33"/>
      <c r="I8" s="33"/>
      <c r="J8" s="33">
        <f>$C$28*('E Balans VL '!D13+'E Balans VL '!E13)/100/3.6*1000000</f>
        <v>0</v>
      </c>
      <c r="K8" s="33"/>
      <c r="L8" s="33"/>
      <c r="M8" s="33"/>
      <c r="N8" s="33">
        <f>$C$28*'E Balans VL '!Y13/100/3.6*1000000</f>
        <v>2.0414824463914401</v>
      </c>
      <c r="O8" s="33"/>
      <c r="P8" s="33"/>
      <c r="R8" s="32"/>
    </row>
    <row r="9" spans="1:18">
      <c r="A9" s="32" t="s">
        <v>50</v>
      </c>
      <c r="B9" s="37">
        <f t="shared" si="0"/>
        <v>535.06653799999992</v>
      </c>
      <c r="C9" s="33"/>
      <c r="D9" s="37">
        <f>IF(ISERROR(TER_gezond_gas_kWh/1000),0,TER_gezond_gas_kWh/1000)*0.902</f>
        <v>538.91263263200005</v>
      </c>
      <c r="E9" s="33">
        <f>$C$29*'E Balans VL '!I10/100/3.6*1000000</f>
        <v>1.0028889174422939</v>
      </c>
      <c r="F9" s="33">
        <f>$C$29*('E Balans VL '!L10+'E Balans VL '!N10)/100/3.6*1000000</f>
        <v>43.987351529576799</v>
      </c>
      <c r="G9" s="34"/>
      <c r="H9" s="33"/>
      <c r="I9" s="33"/>
      <c r="J9" s="33">
        <f>$C$29*('E Balans VL '!D10+'E Balans VL '!E10)/100/3.6*1000000</f>
        <v>0</v>
      </c>
      <c r="K9" s="33"/>
      <c r="L9" s="33"/>
      <c r="M9" s="33"/>
      <c r="N9" s="33">
        <f>$C$29*'E Balans VL '!Y10/100/3.6*1000000</f>
        <v>4.1632168826396221</v>
      </c>
      <c r="O9" s="33"/>
      <c r="P9" s="33"/>
      <c r="R9" s="32"/>
    </row>
    <row r="10" spans="1:18">
      <c r="A10" s="32" t="s">
        <v>49</v>
      </c>
      <c r="B10" s="37">
        <f t="shared" si="0"/>
        <v>1046.647772</v>
      </c>
      <c r="C10" s="33"/>
      <c r="D10" s="37">
        <f>IF(ISERROR(TER_ander_gas_kWh/1000),0,TER_ander_gas_kWh/1000)*0.902</f>
        <v>2772.8251137840002</v>
      </c>
      <c r="E10" s="33">
        <f>$C$30*'E Balans VL '!I14/100/3.6*1000000</f>
        <v>1.6134181460560051</v>
      </c>
      <c r="F10" s="33">
        <f>$C$30*('E Balans VL '!L14+'E Balans VL '!N14)/100/3.6*1000000</f>
        <v>162.49235554600321</v>
      </c>
      <c r="G10" s="34"/>
      <c r="H10" s="33"/>
      <c r="I10" s="33"/>
      <c r="J10" s="33">
        <f>$C$30*('E Balans VL '!D14+'E Balans VL '!E14)/100/3.6*1000000</f>
        <v>1.7767949750397041E-2</v>
      </c>
      <c r="K10" s="33"/>
      <c r="L10" s="33"/>
      <c r="M10" s="33"/>
      <c r="N10" s="33">
        <f>$C$30*'E Balans VL '!Y14/100/3.6*1000000</f>
        <v>692.4286211459073</v>
      </c>
      <c r="O10" s="33"/>
      <c r="P10" s="33"/>
      <c r="R10" s="32"/>
    </row>
    <row r="11" spans="1:18">
      <c r="A11" s="32" t="s">
        <v>54</v>
      </c>
      <c r="B11" s="37">
        <f t="shared" si="0"/>
        <v>133.762688</v>
      </c>
      <c r="C11" s="33"/>
      <c r="D11" s="37">
        <f>IF(ISERROR(TER_onderwijs_gas_kWh/1000),0,TER_onderwijs_gas_kWh/1000)*0.902</f>
        <v>320.79319170799999</v>
      </c>
      <c r="E11" s="33">
        <f>$C$31*'E Balans VL '!I11/100/3.6*1000000</f>
        <v>3.4118621507077167</v>
      </c>
      <c r="F11" s="33">
        <f>$C$31*('E Balans VL '!L11+'E Balans VL '!N11)/100/3.6*1000000</f>
        <v>16.086222254364706</v>
      </c>
      <c r="G11" s="34"/>
      <c r="H11" s="33"/>
      <c r="I11" s="33"/>
      <c r="J11" s="33">
        <f>$C$31*('E Balans VL '!D11+'E Balans VL '!E11)/100/3.6*1000000</f>
        <v>0</v>
      </c>
      <c r="K11" s="33"/>
      <c r="L11" s="33"/>
      <c r="M11" s="33"/>
      <c r="N11" s="33">
        <f>$C$31*'E Balans VL '!Y11/100/3.6*1000000</f>
        <v>0.29748495427428939</v>
      </c>
      <c r="O11" s="33"/>
      <c r="P11" s="33"/>
      <c r="R11" s="32"/>
    </row>
    <row r="12" spans="1:18">
      <c r="A12" s="32" t="s">
        <v>259</v>
      </c>
      <c r="B12" s="37">
        <f t="shared" si="0"/>
        <v>1648.7138440000001</v>
      </c>
      <c r="C12" s="33"/>
      <c r="D12" s="37">
        <f>IF(ISERROR(TER_rest_gas_kWh/1000),0,TER_rest_gas_kWh/1000)*0.902</f>
        <v>4332.1821797539997</v>
      </c>
      <c r="E12" s="33">
        <f>$C$32*'E Balans VL '!I8/100/3.6*1000000</f>
        <v>21.282237638072946</v>
      </c>
      <c r="F12" s="33">
        <f>$C$32*('E Balans VL '!L8+'E Balans VL '!N8)/100/3.6*1000000</f>
        <v>189.41463180356993</v>
      </c>
      <c r="G12" s="34"/>
      <c r="H12" s="33"/>
      <c r="I12" s="33"/>
      <c r="J12" s="33">
        <f>$C$32*('E Balans VL '!D8+'E Balans VL '!E8)/100/3.6*1000000</f>
        <v>3.1596728511728875E-3</v>
      </c>
      <c r="K12" s="33"/>
      <c r="L12" s="33"/>
      <c r="M12" s="33"/>
      <c r="N12" s="33">
        <f>$C$32*'E Balans VL '!Y8/100/3.6*1000000</f>
        <v>124.83539069478485</v>
      </c>
      <c r="O12" s="33"/>
      <c r="P12" s="33"/>
      <c r="R12" s="32"/>
    </row>
    <row r="13" spans="1:18">
      <c r="A13" s="16" t="s">
        <v>478</v>
      </c>
      <c r="B13" s="247">
        <f ca="1">'lokale energieproductie'!N39+'lokale energieproductie'!N32</f>
        <v>54</v>
      </c>
      <c r="C13" s="247">
        <f ca="1">'lokale energieproductie'!O39+'lokale energieproductie'!O32</f>
        <v>77.142857142857139</v>
      </c>
      <c r="D13" s="308">
        <f ca="1">('lokale energieproductie'!P32+'lokale energieproductie'!P39)*(-1)</f>
        <v>-154.28571428571431</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12361.015797</v>
      </c>
      <c r="C16" s="21">
        <f t="shared" ca="1" si="1"/>
        <v>77.142857142857139</v>
      </c>
      <c r="D16" s="21">
        <f t="shared" ca="1" si="1"/>
        <v>16671.904532338285</v>
      </c>
      <c r="E16" s="21">
        <f t="shared" si="1"/>
        <v>199.71036453272265</v>
      </c>
      <c r="F16" s="21">
        <f t="shared" ca="1" si="1"/>
        <v>1364.4561889539964</v>
      </c>
      <c r="G16" s="21">
        <f t="shared" si="1"/>
        <v>0</v>
      </c>
      <c r="H16" s="21">
        <f t="shared" si="1"/>
        <v>0</v>
      </c>
      <c r="I16" s="21">
        <f t="shared" si="1"/>
        <v>0</v>
      </c>
      <c r="J16" s="21">
        <f t="shared" si="1"/>
        <v>2.0927622601569929E-2</v>
      </c>
      <c r="K16" s="21">
        <f t="shared" si="1"/>
        <v>0</v>
      </c>
      <c r="L16" s="21">
        <f t="shared" ca="1" si="1"/>
        <v>0</v>
      </c>
      <c r="M16" s="21">
        <f t="shared" si="1"/>
        <v>0</v>
      </c>
      <c r="N16" s="21">
        <f t="shared" ca="1" si="1"/>
        <v>825.27590135621108</v>
      </c>
      <c r="O16" s="21">
        <f>O5</f>
        <v>14.691782297523464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0.21266863427815547</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2628.8003478386954</v>
      </c>
      <c r="C20" s="23">
        <f t="shared" ref="C20:P20" ca="1" si="2">C16*C18</f>
        <v>18.3327731092437</v>
      </c>
      <c r="D20" s="23">
        <f t="shared" ca="1" si="2"/>
        <v>3367.7247155323339</v>
      </c>
      <c r="E20" s="23">
        <f t="shared" si="2"/>
        <v>45.334252748928044</v>
      </c>
      <c r="F20" s="23">
        <f t="shared" ca="1" si="2"/>
        <v>364.30980245071703</v>
      </c>
      <c r="G20" s="23">
        <f t="shared" si="2"/>
        <v>0</v>
      </c>
      <c r="H20" s="23">
        <f t="shared" si="2"/>
        <v>0</v>
      </c>
      <c r="I20" s="23">
        <f t="shared" si="2"/>
        <v>0</v>
      </c>
      <c r="J20" s="23">
        <f t="shared" si="2"/>
        <v>7.4083784009557549E-3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2428.377309</v>
      </c>
      <c r="C26" s="39">
        <f>IF(ISERROR(B26*3.6/1000000/'E Balans VL '!Z12*100),0,B26*3.6/1000000/'E Balans VL '!Z12*100)</f>
        <v>5.1515802900324398E-2</v>
      </c>
      <c r="D26" s="237" t="s">
        <v>708</v>
      </c>
      <c r="F26" s="6"/>
    </row>
    <row r="27" spans="1:18">
      <c r="A27" s="231" t="s">
        <v>52</v>
      </c>
      <c r="B27" s="33">
        <f>IF(ISERROR(TER_horeca_ele_kWh/1000),0,TER_horeca_ele_kWh/1000)</f>
        <v>1364.5387409999998</v>
      </c>
      <c r="C27" s="39">
        <f>IF(ISERROR(B27*3.6/1000000/'E Balans VL '!Z9*100),0,B27*3.6/1000000/'E Balans VL '!Z9*100)</f>
        <v>0.10276185497268522</v>
      </c>
      <c r="D27" s="237" t="s">
        <v>708</v>
      </c>
      <c r="F27" s="6"/>
    </row>
    <row r="28" spans="1:18">
      <c r="A28" s="171" t="s">
        <v>51</v>
      </c>
      <c r="B28" s="33">
        <f>IF(ISERROR(TER_handel_ele_kWh/1000),0,TER_handel_ele_kWh/1000)</f>
        <v>5149.9089050000002</v>
      </c>
      <c r="C28" s="39">
        <f>IF(ISERROR(B28*3.6/1000000/'E Balans VL '!Z13*100),0,B28*3.6/1000000/'E Balans VL '!Z13*100)</f>
        <v>0.14948360796119275</v>
      </c>
      <c r="D28" s="237" t="s">
        <v>708</v>
      </c>
      <c r="F28" s="6"/>
    </row>
    <row r="29" spans="1:18">
      <c r="A29" s="231" t="s">
        <v>50</v>
      </c>
      <c r="B29" s="33">
        <f>IF(ISERROR(TER_gezond_ele_kWh/1000),0,TER_gezond_ele_kWh/1000)</f>
        <v>535.06653799999992</v>
      </c>
      <c r="C29" s="39">
        <f>IF(ISERROR(B29*3.6/1000000/'E Balans VL '!Z10*100),0,B29*3.6/1000000/'E Balans VL '!Z10*100)</f>
        <v>5.3962098450135512E-2</v>
      </c>
      <c r="D29" s="237" t="s">
        <v>708</v>
      </c>
      <c r="F29" s="6"/>
    </row>
    <row r="30" spans="1:18">
      <c r="A30" s="231" t="s">
        <v>49</v>
      </c>
      <c r="B30" s="33">
        <f>IF(ISERROR(TER_ander_ele_kWh/1000),0,TER_ander_ele_kWh/1000)</f>
        <v>1046.647772</v>
      </c>
      <c r="C30" s="39">
        <f>IF(ISERROR(B30*3.6/1000000/'E Balans VL '!Z14*100),0,B30*3.6/1000000/'E Balans VL '!Z14*100)</f>
        <v>7.5948574752317838E-2</v>
      </c>
      <c r="D30" s="237" t="s">
        <v>708</v>
      </c>
      <c r="F30" s="6"/>
    </row>
    <row r="31" spans="1:18">
      <c r="A31" s="231" t="s">
        <v>54</v>
      </c>
      <c r="B31" s="33">
        <f>IF(ISERROR(TER_onderwijs_ele_kWh/1000),0,TER_onderwijs_ele_kWh/1000)</f>
        <v>133.762688</v>
      </c>
      <c r="C31" s="39">
        <f>IF(ISERROR(B31*3.6/1000000/'E Balans VL '!Z11*100),0,B31*3.6/1000000/'E Balans VL '!Z11*100)</f>
        <v>3.8127813150290707E-2</v>
      </c>
      <c r="D31" s="237" t="s">
        <v>708</v>
      </c>
    </row>
    <row r="32" spans="1:18">
      <c r="A32" s="231" t="s">
        <v>259</v>
      </c>
      <c r="B32" s="33">
        <f>IF(ISERROR(TER_rest_ele_kWh/1000),0,TER_rest_ele_kWh/1000)</f>
        <v>1648.7138440000001</v>
      </c>
      <c r="C32" s="39">
        <f>IF(ISERROR(B32*3.6/1000000/'E Balans VL '!Z8*100),0,B32*3.6/1000000/'E Balans VL '!Z8*100)</f>
        <v>1.3505927982760693E-2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81087.300187999994</v>
      </c>
      <c r="C5" s="17">
        <f>IF(ISERROR('Eigen informatie GS &amp; warmtenet'!B61),0,'Eigen informatie GS &amp; warmtenet'!B61)</f>
        <v>0</v>
      </c>
      <c r="D5" s="30">
        <f>SUM(D6:D15)</f>
        <v>39415.095611892</v>
      </c>
      <c r="E5" s="17">
        <f>SUM(E6:E15)</f>
        <v>565.52888435839657</v>
      </c>
      <c r="F5" s="17">
        <f>SUM(F6:F15)</f>
        <v>5553.5262535181555</v>
      </c>
      <c r="G5" s="18"/>
      <c r="H5" s="17"/>
      <c r="I5" s="17"/>
      <c r="J5" s="17">
        <f>SUM(J6:J15)</f>
        <v>30.737073284141964</v>
      </c>
      <c r="K5" s="17"/>
      <c r="L5" s="17"/>
      <c r="M5" s="17"/>
      <c r="N5" s="17">
        <f>SUM(N6:N15)</f>
        <v>4665.3823609070987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90.556463000000008</v>
      </c>
      <c r="C8" s="33"/>
      <c r="D8" s="37">
        <f>IF( ISERROR(IND_metaal_Gas_kWH/1000),0,IND_metaal_Gas_kWH/1000)*0.902</f>
        <v>66.993982615999997</v>
      </c>
      <c r="E8" s="33">
        <f>C30*'E Balans VL '!I18/100/3.6*1000000</f>
        <v>0.65330132207912028</v>
      </c>
      <c r="F8" s="33">
        <f>C30*'E Balans VL '!L18/100/3.6*1000000+C30*'E Balans VL '!N18/100/3.6*1000000</f>
        <v>8.5649716555882183</v>
      </c>
      <c r="G8" s="34"/>
      <c r="H8" s="33"/>
      <c r="I8" s="33"/>
      <c r="J8" s="40">
        <f>C30*'E Balans VL '!D18/100/3.6*1000000+C30*'E Balans VL '!E18/100/3.6*1000000</f>
        <v>9.1082216726947302E-2</v>
      </c>
      <c r="K8" s="33"/>
      <c r="L8" s="33"/>
      <c r="M8" s="33"/>
      <c r="N8" s="33">
        <f>C30*'E Balans VL '!Y18/100/3.6*1000000</f>
        <v>1.1448732810673514</v>
      </c>
      <c r="O8" s="33"/>
      <c r="P8" s="33"/>
      <c r="R8" s="32"/>
    </row>
    <row r="9" spans="1:18">
      <c r="A9" s="6" t="s">
        <v>32</v>
      </c>
      <c r="B9" s="37">
        <f t="shared" si="0"/>
        <v>1061.051917</v>
      </c>
      <c r="C9" s="33"/>
      <c r="D9" s="37">
        <f>IF( ISERROR(IND_andere_gas_kWh/1000),0,IND_andere_gas_kWh/1000)*0.902</f>
        <v>1084.5676025140001</v>
      </c>
      <c r="E9" s="33">
        <f>C31*'E Balans VL '!I19/100/3.6*1000000</f>
        <v>294.03167424233982</v>
      </c>
      <c r="F9" s="33">
        <f>C31*'E Balans VL '!L19/100/3.6*1000000+C31*'E Balans VL '!N19/100/3.6*1000000</f>
        <v>879.40212176046441</v>
      </c>
      <c r="G9" s="34"/>
      <c r="H9" s="33"/>
      <c r="I9" s="33"/>
      <c r="J9" s="40">
        <f>C31*'E Balans VL '!D19/100/3.6*1000000+C31*'E Balans VL '!E19/100/3.6*1000000</f>
        <v>0</v>
      </c>
      <c r="K9" s="33"/>
      <c r="L9" s="33"/>
      <c r="M9" s="33"/>
      <c r="N9" s="33">
        <f>C31*'E Balans VL '!Y19/100/3.6*1000000</f>
        <v>77.019391104271776</v>
      </c>
      <c r="O9" s="33"/>
      <c r="P9" s="33"/>
      <c r="R9" s="32"/>
    </row>
    <row r="10" spans="1:18">
      <c r="A10" s="6" t="s">
        <v>40</v>
      </c>
      <c r="B10" s="37">
        <f t="shared" si="0"/>
        <v>77000.343760000003</v>
      </c>
      <c r="C10" s="33"/>
      <c r="D10" s="37">
        <f>IF( ISERROR(IND_voed_gas_kWh/1000),0,IND_voed_gas_kWh/1000)*0.902</f>
        <v>244.38986169399996</v>
      </c>
      <c r="E10" s="33">
        <f>C32*'E Balans VL '!I20/100/3.6*1000000</f>
        <v>136.3166901438033</v>
      </c>
      <c r="F10" s="33">
        <f>C32*'E Balans VL '!L20/100/3.6*1000000+C32*'E Balans VL '!N20/100/3.6*1000000</f>
        <v>4158.7010109650864</v>
      </c>
      <c r="G10" s="34"/>
      <c r="H10" s="33"/>
      <c r="I10" s="33"/>
      <c r="J10" s="40">
        <f>C32*'E Balans VL '!D20/100/3.6*1000000+C32*'E Balans VL '!E20/100/3.6*1000000</f>
        <v>0</v>
      </c>
      <c r="K10" s="33"/>
      <c r="L10" s="33"/>
      <c r="M10" s="33"/>
      <c r="N10" s="33">
        <f>C32*'E Balans VL '!Y20/100/3.6*1000000</f>
        <v>4474.3080314090321</v>
      </c>
      <c r="O10" s="33"/>
      <c r="P10" s="33"/>
      <c r="R10" s="32"/>
    </row>
    <row r="11" spans="1:18">
      <c r="A11" s="6" t="s">
        <v>39</v>
      </c>
      <c r="B11" s="37">
        <f t="shared" si="0"/>
        <v>27.451782999999999</v>
      </c>
      <c r="C11" s="33"/>
      <c r="D11" s="37">
        <f>IF( ISERROR(IND_textiel_gas_kWh/1000),0,IND_textiel_gas_kWh/1000)*0.902</f>
        <v>0</v>
      </c>
      <c r="E11" s="33">
        <f>C33*'E Balans VL '!I21/100/3.6*1000000</f>
        <v>9.6770384431995565E-2</v>
      </c>
      <c r="F11" s="33">
        <f>C33*'E Balans VL '!L21/100/3.6*1000000+C33*'E Balans VL '!N21/100/3.6*1000000</f>
        <v>0.80575088138503304</v>
      </c>
      <c r="G11" s="34"/>
      <c r="H11" s="33"/>
      <c r="I11" s="33"/>
      <c r="J11" s="40">
        <f>C33*'E Balans VL '!D21/100/3.6*1000000+C33*'E Balans VL '!E21/100/3.6*1000000</f>
        <v>0</v>
      </c>
      <c r="K11" s="33"/>
      <c r="L11" s="33"/>
      <c r="M11" s="33"/>
      <c r="N11" s="33">
        <f>C33*'E Balans VL '!Y21/100/3.6*1000000</f>
        <v>1.2095216293594795</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65.483007999999998</v>
      </c>
      <c r="C13" s="33"/>
      <c r="D13" s="37">
        <f>IF( ISERROR(IND_papier_gas_kWh/1000),0,IND_papier_gas_kWh/1000)*0.902</f>
        <v>66.223661988000003</v>
      </c>
      <c r="E13" s="33">
        <f>C35*'E Balans VL '!I23/100/3.6*1000000</f>
        <v>9.6347990334817571E-2</v>
      </c>
      <c r="F13" s="33">
        <f>C35*'E Balans VL '!L23/100/3.6*1000000+C35*'E Balans VL '!N23/100/3.6*1000000</f>
        <v>0.70114663900219099</v>
      </c>
      <c r="G13" s="34"/>
      <c r="H13" s="33"/>
      <c r="I13" s="33"/>
      <c r="J13" s="40">
        <f>C35*'E Balans VL '!D23/100/3.6*1000000+C35*'E Balans VL '!E23/100/3.6*1000000</f>
        <v>7.1642082846930997</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2842.4132570000002</v>
      </c>
      <c r="C15" s="33"/>
      <c r="D15" s="37">
        <f>IF( ISERROR(IND_rest_gas_kWh/1000),0,IND_rest_gas_kWh/1000)*0.902</f>
        <v>37952.92050308</v>
      </c>
      <c r="E15" s="33">
        <f>C37*'E Balans VL '!I15/100/3.6*1000000</f>
        <v>134.33410027540745</v>
      </c>
      <c r="F15" s="33">
        <f>C37*'E Balans VL '!L15/100/3.6*1000000+C37*'E Balans VL '!N15/100/3.6*1000000</f>
        <v>505.35125161662961</v>
      </c>
      <c r="G15" s="34"/>
      <c r="H15" s="33"/>
      <c r="I15" s="33"/>
      <c r="J15" s="40">
        <f>C37*'E Balans VL '!D15/100/3.6*1000000+C37*'E Balans VL '!E15/100/3.6*1000000</f>
        <v>23.481782782721915</v>
      </c>
      <c r="K15" s="33"/>
      <c r="L15" s="33"/>
      <c r="M15" s="33"/>
      <c r="N15" s="33">
        <f>C37*'E Balans VL '!Y15/100/3.6*1000000</f>
        <v>111.70054348336861</v>
      </c>
      <c r="O15" s="33"/>
      <c r="P15" s="33"/>
      <c r="R15" s="32"/>
    </row>
    <row r="16" spans="1:18">
      <c r="A16" s="16" t="s">
        <v>478</v>
      </c>
      <c r="B16" s="247">
        <f>'lokale energieproductie'!N38+'lokale energieproductie'!N31</f>
        <v>2236.5</v>
      </c>
      <c r="C16" s="247">
        <f>'lokale energieproductie'!O38+'lokale energieproductie'!O31</f>
        <v>3195</v>
      </c>
      <c r="D16" s="308">
        <f>('lokale energieproductie'!P31+'lokale energieproductie'!P38)*(-1)</f>
        <v>-6390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83323.800187999994</v>
      </c>
      <c r="C18" s="21">
        <f>C5+C16</f>
        <v>3195</v>
      </c>
      <c r="D18" s="21">
        <f>MAX((D5+D16),0)</f>
        <v>33025.095611892</v>
      </c>
      <c r="E18" s="21">
        <f>MAX((E5+E16),0)</f>
        <v>565.52888435839657</v>
      </c>
      <c r="F18" s="21">
        <f>MAX((F5+F16),0)</f>
        <v>5553.5262535181555</v>
      </c>
      <c r="G18" s="21"/>
      <c r="H18" s="21"/>
      <c r="I18" s="21"/>
      <c r="J18" s="21">
        <f>MAX((J5+J16),0)</f>
        <v>30.737073284141964</v>
      </c>
      <c r="K18" s="21"/>
      <c r="L18" s="21">
        <f>MAX((L5+L16),0)</f>
        <v>0</v>
      </c>
      <c r="M18" s="21"/>
      <c r="N18" s="21">
        <f>MAX((N5+N16),0)</f>
        <v>4665.3823609070987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0.21266863427815547</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17720.358788847872</v>
      </c>
      <c r="C22" s="23">
        <f ca="1">C18*C20</f>
        <v>759.28235294117667</v>
      </c>
      <c r="D22" s="23">
        <f>D18*D20</f>
        <v>6671.0693136021846</v>
      </c>
      <c r="E22" s="23">
        <f>E18*E20</f>
        <v>128.37505674935602</v>
      </c>
      <c r="F22" s="23">
        <f>F18*F20</f>
        <v>1482.7915096893475</v>
      </c>
      <c r="G22" s="23"/>
      <c r="H22" s="23"/>
      <c r="I22" s="23"/>
      <c r="J22" s="23">
        <f>J18*J20</f>
        <v>10.880923942586255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90.556463000000008</v>
      </c>
      <c r="C30" s="39">
        <f>IF(ISERROR(B30*3.6/1000000/'E Balans VL '!Z18*100),0,B30*3.6/1000000/'E Balans VL '!Z18*100)</f>
        <v>5.227683309424155E-3</v>
      </c>
      <c r="D30" s="237" t="s">
        <v>708</v>
      </c>
    </row>
    <row r="31" spans="1:18">
      <c r="A31" s="6" t="s">
        <v>32</v>
      </c>
      <c r="B31" s="37">
        <f>IF( ISERROR(IND_ander_ele_kWh/1000),0,IND_ander_ele_kWh/1000)</f>
        <v>1061.051917</v>
      </c>
      <c r="C31" s="39">
        <f>IF(ISERROR(B31*3.6/1000000/'E Balans VL '!Z19*100),0,B31*3.6/1000000/'E Balans VL '!Z19*100)</f>
        <v>5.3367472158482809E-2</v>
      </c>
      <c r="D31" s="237" t="s">
        <v>708</v>
      </c>
    </row>
    <row r="32" spans="1:18">
      <c r="A32" s="171" t="s">
        <v>40</v>
      </c>
      <c r="B32" s="37">
        <f>IF( ISERROR(IND_voed_ele_kWh/1000),0,IND_voed_ele_kWh/1000)</f>
        <v>77000.343760000003</v>
      </c>
      <c r="C32" s="39">
        <f>IF(ISERROR(B32*3.6/1000000/'E Balans VL '!Z20*100),0,B32*3.6/1000000/'E Balans VL '!Z20*100)</f>
        <v>2.5645686943519057</v>
      </c>
      <c r="D32" s="237" t="s">
        <v>708</v>
      </c>
    </row>
    <row r="33" spans="1:5">
      <c r="A33" s="171" t="s">
        <v>39</v>
      </c>
      <c r="B33" s="37">
        <f>IF( ISERROR(IND_textiel_ele_kWh/1000),0,IND_textiel_ele_kWh/1000)</f>
        <v>27.451782999999999</v>
      </c>
      <c r="C33" s="39">
        <f>IF(ISERROR(B33*3.6/1000000/'E Balans VL '!Z21*100),0,B33*3.6/1000000/'E Balans VL '!Z21*100)</f>
        <v>4.2800823603883703E-3</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65.483007999999998</v>
      </c>
      <c r="C35" s="39">
        <f>IF(ISERROR(B35*3.6/1000000/'E Balans VL '!Z22*100),0,B35*3.6/1000000/'E Balans VL '!Z22*100)</f>
        <v>1.2214792769539001E-2</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2842.4132570000002</v>
      </c>
      <c r="C37" s="39">
        <f>IF(ISERROR(B37*3.6/1000000/'E Balans VL '!Z15*100),0,B37*3.6/1000000/'E Balans VL '!Z15*100)</f>
        <v>2.2178596356556304E-2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1105.6737919999998</v>
      </c>
      <c r="C5" s="17">
        <f>'Eigen informatie GS &amp; warmtenet'!B62</f>
        <v>0</v>
      </c>
      <c r="D5" s="30">
        <f>IF(ISERROR(SUM(LB_lb_gas_kWh,LB_rest_gas_kWh)/1000),0,SUM(LB_lb_gas_kWh,LB_rest_gas_kWh)/1000)*0.902</f>
        <v>793.37356245400008</v>
      </c>
      <c r="E5" s="17">
        <f>B17*'E Balans VL '!I25/3.6*1000000/100</f>
        <v>34.507714442084094</v>
      </c>
      <c r="F5" s="17">
        <f>B17*('E Balans VL '!L25/3.6*1000000+'E Balans VL '!N25/3.6*1000000)/100</f>
        <v>3907.5736641665694</v>
      </c>
      <c r="G5" s="18"/>
      <c r="H5" s="17"/>
      <c r="I5" s="17"/>
      <c r="J5" s="17">
        <f>('E Balans VL '!D25+'E Balans VL '!E25)/3.6*1000000*landbouw!B17/100</f>
        <v>304.62079747654752</v>
      </c>
      <c r="K5" s="17"/>
      <c r="L5" s="17">
        <f>L6*(-1)</f>
        <v>0</v>
      </c>
      <c r="M5" s="17"/>
      <c r="N5" s="17">
        <f>N6*(-1)</f>
        <v>0</v>
      </c>
      <c r="O5" s="17"/>
      <c r="P5" s="17"/>
      <c r="R5" s="32"/>
    </row>
    <row r="6" spans="1:18">
      <c r="A6" s="16" t="s">
        <v>478</v>
      </c>
      <c r="B6" s="17" t="s">
        <v>210</v>
      </c>
      <c r="C6" s="17">
        <f>'lokale energieproductie'!O40+'lokale energieproductie'!O33</f>
        <v>0</v>
      </c>
      <c r="D6" s="308">
        <f>('lokale energieproductie'!P33+'lokale energieproductie'!P40)*(-1)</f>
        <v>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1105.6737919999998</v>
      </c>
      <c r="C8" s="21">
        <f>C5+C6</f>
        <v>0</v>
      </c>
      <c r="D8" s="21">
        <f>MAX((D5+D6),0)</f>
        <v>793.37356245400008</v>
      </c>
      <c r="E8" s="21">
        <f>MAX((E5+E6),0)</f>
        <v>34.507714442084094</v>
      </c>
      <c r="F8" s="21">
        <f>MAX((F5+F6),0)</f>
        <v>3907.5736641665694</v>
      </c>
      <c r="G8" s="21"/>
      <c r="H8" s="21"/>
      <c r="I8" s="21"/>
      <c r="J8" s="21">
        <f>MAX((J5+J6),0)</f>
        <v>304.62079747654752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0.21266863427815547</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235.1421353017893</v>
      </c>
      <c r="C12" s="23">
        <f ca="1">C8*C10</f>
        <v>0</v>
      </c>
      <c r="D12" s="23">
        <f>D8*D10</f>
        <v>160.26145961570802</v>
      </c>
      <c r="E12" s="23">
        <f>E8*E10</f>
        <v>7.8332511783530894</v>
      </c>
      <c r="F12" s="23">
        <f>F8*F10</f>
        <v>1043.3221683324741</v>
      </c>
      <c r="G12" s="23"/>
      <c r="H12" s="23"/>
      <c r="I12" s="23"/>
      <c r="J12" s="23">
        <f>J8*J10</f>
        <v>107.83576230669782</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0.16436633540132989</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164.6008576477586</v>
      </c>
      <c r="C26" s="247">
        <f>B26*'GWP N2O_CH4'!B5</f>
        <v>3456.6180106029306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33.591468238041848</v>
      </c>
      <c r="C27" s="247">
        <f>B27*'GWP N2O_CH4'!B5</f>
        <v>705.42083299887884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2.0319446759282318</v>
      </c>
      <c r="C28" s="247">
        <f>B28*'GWP N2O_CH4'!B4</f>
        <v>629.90284953775188</v>
      </c>
      <c r="D28" s="50"/>
    </row>
    <row r="29" spans="1:4">
      <c r="A29" s="41" t="s">
        <v>276</v>
      </c>
      <c r="B29" s="247">
        <f>B34*'ha_N2O bodem landbouw'!B4</f>
        <v>9.1838105903127172</v>
      </c>
      <c r="C29" s="247">
        <f>B29*'GWP N2O_CH4'!B4</f>
        <v>2846.9812829969424</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2.0138443116637823E-3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1.6834495277837531E-4</v>
      </c>
      <c r="C5" s="437" t="s">
        <v>210</v>
      </c>
      <c r="D5" s="422">
        <f>SUM(D6:D11)</f>
        <v>7.8519154500197451E-4</v>
      </c>
      <c r="E5" s="422">
        <f>SUM(E6:E11)</f>
        <v>6.4621704851507676E-4</v>
      </c>
      <c r="F5" s="435" t="s">
        <v>210</v>
      </c>
      <c r="G5" s="422">
        <f>SUM(G6:G11)</f>
        <v>0.26597585081052477</v>
      </c>
      <c r="H5" s="422">
        <f>SUM(H6:H11)</f>
        <v>7.2629489636986969E-2</v>
      </c>
      <c r="I5" s="437" t="s">
        <v>210</v>
      </c>
      <c r="J5" s="437" t="s">
        <v>210</v>
      </c>
      <c r="K5" s="437" t="s">
        <v>210</v>
      </c>
      <c r="L5" s="437" t="s">
        <v>210</v>
      </c>
      <c r="M5" s="422">
        <f>SUM(M6:M11)</f>
        <v>2.014016182980307E-2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5.9747671808816797E-5</v>
      </c>
      <c r="C6" s="423"/>
      <c r="D6" s="890">
        <f>vkm_GW_PW*SUMIFS(TableVerdeelsleutelVkm[CNG],TableVerdeelsleutelVkm[Voertuigtype],"Lichte voertuigen")*SUMIFS(TableECFTransport[EnergieConsumptieFactor (PJ per km)],TableECFTransport[Index],CONCATENATE($A6,"_CNG_CNG"))</f>
        <v>1.9247129362976392E-4</v>
      </c>
      <c r="E6" s="890">
        <f>vkm_GW_PW*SUMIFS(TableVerdeelsleutelVkm[LPG],TableVerdeelsleutelVkm[Voertuigtype],"Lichte voertuigen")*SUMIFS(TableECFTransport[EnergieConsumptieFactor (PJ per km)],TableECFTransport[Index],CONCATENATE($A6,"_LPG_LPG"))</f>
        <v>1.6459694790659096E-4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5.3172951738959515E-2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1.8030621824325029E-2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4.2588055648896637E-3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2.4574171456244555E-2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3.5138858699442285E-7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1.4165143759054303E-3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1.0859728096955851E-4</v>
      </c>
      <c r="C8" s="423"/>
      <c r="D8" s="425">
        <f>vkm_NGW_PW*SUMIFS(TableVerdeelsleutelVkm[CNG],TableVerdeelsleutelVkm[Voertuigtype],"Lichte voertuigen")*SUMIFS(TableECFTransport[EnergieConsumptieFactor (PJ per km)],TableECFTransport[Index],CONCATENATE($A8,"_CNG_CNG"))</f>
        <v>5.9272025137221062E-4</v>
      </c>
      <c r="E8" s="425">
        <f>vkm_NGW_PW*SUMIFS(TableVerdeelsleutelVkm[LPG],TableVerdeelsleutelVkm[Voertuigtype],"Lichte voertuigen")*SUMIFS(TableECFTransport[EnergieConsumptieFactor (PJ per km)],TableECFTransport[Index],CONCATENATE($A8,"_LPG_LPG"))</f>
        <v>4.8162010060848583E-4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0.1453867137129855</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5.4597739704490569E-2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1.1995314249858349E-2</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4.2842013902335212E-2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7.76719584377755E-7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2.4695276391496299E-3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46.76248688288203</v>
      </c>
      <c r="C14" s="21"/>
      <c r="D14" s="21">
        <f t="shared" ref="D14:M14" si="0">((D5)*10^9/3600)+D12</f>
        <v>218.10876250054849</v>
      </c>
      <c r="E14" s="21">
        <f t="shared" si="0"/>
        <v>179.50473569863243</v>
      </c>
      <c r="F14" s="21"/>
      <c r="G14" s="21">
        <f t="shared" si="0"/>
        <v>73882.180780701325</v>
      </c>
      <c r="H14" s="21">
        <f t="shared" si="0"/>
        <v>20174.858232496379</v>
      </c>
      <c r="I14" s="21"/>
      <c r="J14" s="21"/>
      <c r="K14" s="21"/>
      <c r="L14" s="21"/>
      <c r="M14" s="21">
        <f t="shared" si="0"/>
        <v>5594.4893971675201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0.21266863427815547</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9.9449142208326808</v>
      </c>
      <c r="C18" s="23"/>
      <c r="D18" s="23">
        <f t="shared" ref="D18:M18" si="1">D14*D16</f>
        <v>44.057970025110798</v>
      </c>
      <c r="E18" s="23">
        <f t="shared" si="1"/>
        <v>40.74757500358956</v>
      </c>
      <c r="F18" s="23"/>
      <c r="G18" s="23">
        <f t="shared" si="1"/>
        <v>19726.542268447254</v>
      </c>
      <c r="H18" s="23">
        <f t="shared" si="1"/>
        <v>5023.5396998915985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2.6039988681365251E-3</v>
      </c>
      <c r="H50" s="319">
        <f t="shared" si="2"/>
        <v>0</v>
      </c>
      <c r="I50" s="319">
        <f t="shared" si="2"/>
        <v>0</v>
      </c>
      <c r="J50" s="319">
        <f t="shared" si="2"/>
        <v>0</v>
      </c>
      <c r="K50" s="319">
        <f t="shared" si="2"/>
        <v>0</v>
      </c>
      <c r="L50" s="319">
        <f t="shared" si="2"/>
        <v>0</v>
      </c>
      <c r="M50" s="319">
        <f t="shared" si="2"/>
        <v>1.4470777480368599E-4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2.6039988681365251E-3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1.4470777480368599E-4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723.33301892681254</v>
      </c>
      <c r="H54" s="21">
        <f t="shared" si="3"/>
        <v>0</v>
      </c>
      <c r="I54" s="21">
        <f t="shared" si="3"/>
        <v>0</v>
      </c>
      <c r="J54" s="21">
        <f t="shared" si="3"/>
        <v>0</v>
      </c>
      <c r="K54" s="21">
        <f t="shared" si="3"/>
        <v>0</v>
      </c>
      <c r="L54" s="21">
        <f t="shared" si="3"/>
        <v>0</v>
      </c>
      <c r="M54" s="21">
        <f t="shared" si="3"/>
        <v>40.196604112134999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0.21266863427815547</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193.12991605345897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13408.063797000001</v>
      </c>
      <c r="D10" s="686">
        <f ca="1">tertiair!C16</f>
        <v>77.142857142857139</v>
      </c>
      <c r="E10" s="686">
        <f ca="1">tertiair!D16</f>
        <v>16671.904532338285</v>
      </c>
      <c r="F10" s="686">
        <f>tertiair!E16</f>
        <v>199.71036453272265</v>
      </c>
      <c r="G10" s="686">
        <f ca="1">tertiair!F16</f>
        <v>1364.4561889539964</v>
      </c>
      <c r="H10" s="686">
        <f>tertiair!G16</f>
        <v>0</v>
      </c>
      <c r="I10" s="686">
        <f>tertiair!H16</f>
        <v>0</v>
      </c>
      <c r="J10" s="686">
        <f>tertiair!I16</f>
        <v>0</v>
      </c>
      <c r="K10" s="686">
        <f>tertiair!J16</f>
        <v>2.0927622601569929E-2</v>
      </c>
      <c r="L10" s="686">
        <f>tertiair!K16</f>
        <v>0</v>
      </c>
      <c r="M10" s="686">
        <f ca="1">tertiair!L16</f>
        <v>0</v>
      </c>
      <c r="N10" s="686">
        <f>tertiair!M16</f>
        <v>0</v>
      </c>
      <c r="O10" s="686">
        <f ca="1">tertiair!N16</f>
        <v>825.27590135621108</v>
      </c>
      <c r="P10" s="686">
        <f>tertiair!O16</f>
        <v>14.691782297523464</v>
      </c>
      <c r="Q10" s="687">
        <f>tertiair!P16</f>
        <v>0</v>
      </c>
      <c r="R10" s="689">
        <f ca="1">SUM(C10:Q10)</f>
        <v>32561.266351244194</v>
      </c>
      <c r="S10" s="67"/>
    </row>
    <row r="11" spans="1:19" s="448" customFormat="1">
      <c r="A11" s="808" t="s">
        <v>224</v>
      </c>
      <c r="B11" s="813"/>
      <c r="C11" s="686">
        <f>huishoudens!B8</f>
        <v>32503.237923920689</v>
      </c>
      <c r="D11" s="686">
        <f>huishoudens!C8</f>
        <v>0</v>
      </c>
      <c r="E11" s="686">
        <f>huishoudens!D8</f>
        <v>72955.573723559995</v>
      </c>
      <c r="F11" s="686">
        <f>huishoudens!E8</f>
        <v>10712.998406679273</v>
      </c>
      <c r="G11" s="686">
        <f>huishoudens!F8</f>
        <v>12927.590529081726</v>
      </c>
      <c r="H11" s="686">
        <f>huishoudens!G8</f>
        <v>0</v>
      </c>
      <c r="I11" s="686">
        <f>huishoudens!H8</f>
        <v>0</v>
      </c>
      <c r="J11" s="686">
        <f>huishoudens!I8</f>
        <v>0</v>
      </c>
      <c r="K11" s="686">
        <f>huishoudens!J8</f>
        <v>40.824221403759132</v>
      </c>
      <c r="L11" s="686">
        <f>huishoudens!K8</f>
        <v>0</v>
      </c>
      <c r="M11" s="686">
        <f>huishoudens!L8</f>
        <v>0</v>
      </c>
      <c r="N11" s="686">
        <f>huishoudens!M8</f>
        <v>0</v>
      </c>
      <c r="O11" s="686">
        <f>huishoudens!N8</f>
        <v>16659.927012294578</v>
      </c>
      <c r="P11" s="686">
        <f>huishoudens!O8</f>
        <v>378.93601990292308</v>
      </c>
      <c r="Q11" s="687">
        <f>huishoudens!P8</f>
        <v>537.23192469193623</v>
      </c>
      <c r="R11" s="689">
        <f>SUM(C11:Q11)</f>
        <v>146716.31976153489</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83323.800187999994</v>
      </c>
      <c r="D13" s="686">
        <f>industrie!C18</f>
        <v>3195</v>
      </c>
      <c r="E13" s="686">
        <f>industrie!D18</f>
        <v>33025.095611892</v>
      </c>
      <c r="F13" s="686">
        <f>industrie!E18</f>
        <v>565.52888435839657</v>
      </c>
      <c r="G13" s="686">
        <f>industrie!F18</f>
        <v>5553.5262535181555</v>
      </c>
      <c r="H13" s="686">
        <f>industrie!G18</f>
        <v>0</v>
      </c>
      <c r="I13" s="686">
        <f>industrie!H18</f>
        <v>0</v>
      </c>
      <c r="J13" s="686">
        <f>industrie!I18</f>
        <v>0</v>
      </c>
      <c r="K13" s="686">
        <f>industrie!J18</f>
        <v>30.737073284141964</v>
      </c>
      <c r="L13" s="686">
        <f>industrie!K18</f>
        <v>0</v>
      </c>
      <c r="M13" s="686">
        <f>industrie!L18</f>
        <v>0</v>
      </c>
      <c r="N13" s="686">
        <f>industrie!M18</f>
        <v>0</v>
      </c>
      <c r="O13" s="686">
        <f>industrie!N18</f>
        <v>4665.3823609070987</v>
      </c>
      <c r="P13" s="686">
        <f>industrie!O18</f>
        <v>0</v>
      </c>
      <c r="Q13" s="687">
        <f>industrie!P18</f>
        <v>0</v>
      </c>
      <c r="R13" s="689">
        <f>SUM(C13:Q13)</f>
        <v>130359.07037195978</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129235.10190892068</v>
      </c>
      <c r="D16" s="722">
        <f t="shared" ref="D16:R16" ca="1" si="0">SUM(D9:D15)</f>
        <v>3272.1428571428573</v>
      </c>
      <c r="E16" s="722">
        <f t="shared" ca="1" si="0"/>
        <v>122652.57386779028</v>
      </c>
      <c r="F16" s="722">
        <f t="shared" si="0"/>
        <v>11478.237655570392</v>
      </c>
      <c r="G16" s="722">
        <f t="shared" ca="1" si="0"/>
        <v>19845.572971553876</v>
      </c>
      <c r="H16" s="722">
        <f t="shared" si="0"/>
        <v>0</v>
      </c>
      <c r="I16" s="722">
        <f t="shared" si="0"/>
        <v>0</v>
      </c>
      <c r="J16" s="722">
        <f t="shared" si="0"/>
        <v>0</v>
      </c>
      <c r="K16" s="722">
        <f t="shared" si="0"/>
        <v>71.582222310502658</v>
      </c>
      <c r="L16" s="722">
        <f t="shared" si="0"/>
        <v>0</v>
      </c>
      <c r="M16" s="722">
        <f t="shared" ca="1" si="0"/>
        <v>0</v>
      </c>
      <c r="N16" s="722">
        <f t="shared" si="0"/>
        <v>0</v>
      </c>
      <c r="O16" s="722">
        <f t="shared" ca="1" si="0"/>
        <v>22150.585274557889</v>
      </c>
      <c r="P16" s="722">
        <f t="shared" si="0"/>
        <v>393.62780220044652</v>
      </c>
      <c r="Q16" s="722">
        <f t="shared" si="0"/>
        <v>537.23192469193623</v>
      </c>
      <c r="R16" s="722">
        <f t="shared" ca="1" si="0"/>
        <v>309636.65648473887</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723.33301892681254</v>
      </c>
      <c r="I19" s="686">
        <f>transport!H54</f>
        <v>0</v>
      </c>
      <c r="J19" s="686">
        <f>transport!I54</f>
        <v>0</v>
      </c>
      <c r="K19" s="686">
        <f>transport!J54</f>
        <v>0</v>
      </c>
      <c r="L19" s="686">
        <f>transport!K54</f>
        <v>0</v>
      </c>
      <c r="M19" s="686">
        <f>transport!L54</f>
        <v>0</v>
      </c>
      <c r="N19" s="686">
        <f>transport!M54</f>
        <v>40.196604112134999</v>
      </c>
      <c r="O19" s="686">
        <f>transport!N54</f>
        <v>0</v>
      </c>
      <c r="P19" s="686">
        <f>transport!O54</f>
        <v>0</v>
      </c>
      <c r="Q19" s="687">
        <f>transport!P54</f>
        <v>0</v>
      </c>
      <c r="R19" s="689">
        <f>SUM(C19:Q19)</f>
        <v>763.52962303894753</v>
      </c>
      <c r="S19" s="67"/>
    </row>
    <row r="20" spans="1:19" s="448" customFormat="1">
      <c r="A20" s="808" t="s">
        <v>306</v>
      </c>
      <c r="B20" s="813"/>
      <c r="C20" s="686">
        <f>transport!B14</f>
        <v>46.76248688288203</v>
      </c>
      <c r="D20" s="686">
        <f>transport!C14</f>
        <v>0</v>
      </c>
      <c r="E20" s="686">
        <f>transport!D14</f>
        <v>218.10876250054849</v>
      </c>
      <c r="F20" s="686">
        <f>transport!E14</f>
        <v>179.50473569863243</v>
      </c>
      <c r="G20" s="686">
        <f>transport!F14</f>
        <v>0</v>
      </c>
      <c r="H20" s="686">
        <f>transport!G14</f>
        <v>73882.180780701325</v>
      </c>
      <c r="I20" s="686">
        <f>transport!H14</f>
        <v>20174.858232496379</v>
      </c>
      <c r="J20" s="686">
        <f>transport!I14</f>
        <v>0</v>
      </c>
      <c r="K20" s="686">
        <f>transport!J14</f>
        <v>0</v>
      </c>
      <c r="L20" s="686">
        <f>transport!K14</f>
        <v>0</v>
      </c>
      <c r="M20" s="686">
        <f>transport!L14</f>
        <v>0</v>
      </c>
      <c r="N20" s="686">
        <f>transport!M14</f>
        <v>5594.4893971675201</v>
      </c>
      <c r="O20" s="686">
        <f>transport!N14</f>
        <v>0</v>
      </c>
      <c r="P20" s="686">
        <f>transport!O14</f>
        <v>0</v>
      </c>
      <c r="Q20" s="687">
        <f>transport!P14</f>
        <v>0</v>
      </c>
      <c r="R20" s="689">
        <f>SUM(C20:Q20)</f>
        <v>100095.90439544729</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46.76248688288203</v>
      </c>
      <c r="D22" s="811">
        <f t="shared" ref="D22:R22" si="1">SUM(D18:D21)</f>
        <v>0</v>
      </c>
      <c r="E22" s="811">
        <f t="shared" si="1"/>
        <v>218.10876250054849</v>
      </c>
      <c r="F22" s="811">
        <f t="shared" si="1"/>
        <v>179.50473569863243</v>
      </c>
      <c r="G22" s="811">
        <f t="shared" si="1"/>
        <v>0</v>
      </c>
      <c r="H22" s="811">
        <f t="shared" si="1"/>
        <v>74605.513799628141</v>
      </c>
      <c r="I22" s="811">
        <f t="shared" si="1"/>
        <v>20174.858232496379</v>
      </c>
      <c r="J22" s="811">
        <f t="shared" si="1"/>
        <v>0</v>
      </c>
      <c r="K22" s="811">
        <f t="shared" si="1"/>
        <v>0</v>
      </c>
      <c r="L22" s="811">
        <f t="shared" si="1"/>
        <v>0</v>
      </c>
      <c r="M22" s="811">
        <f t="shared" si="1"/>
        <v>0</v>
      </c>
      <c r="N22" s="811">
        <f t="shared" si="1"/>
        <v>5634.6860012796551</v>
      </c>
      <c r="O22" s="811">
        <f t="shared" si="1"/>
        <v>0</v>
      </c>
      <c r="P22" s="811">
        <f t="shared" si="1"/>
        <v>0</v>
      </c>
      <c r="Q22" s="811">
        <f t="shared" si="1"/>
        <v>0</v>
      </c>
      <c r="R22" s="811">
        <f t="shared" si="1"/>
        <v>100859.43401848624</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1105.6737919999998</v>
      </c>
      <c r="D24" s="686">
        <f>+landbouw!C8</f>
        <v>0</v>
      </c>
      <c r="E24" s="686">
        <f>+landbouw!D8</f>
        <v>793.37356245400008</v>
      </c>
      <c r="F24" s="686">
        <f>+landbouw!E8</f>
        <v>34.507714442084094</v>
      </c>
      <c r="G24" s="686">
        <f>+landbouw!F8</f>
        <v>3907.5736641665694</v>
      </c>
      <c r="H24" s="686">
        <f>+landbouw!G8</f>
        <v>0</v>
      </c>
      <c r="I24" s="686">
        <f>+landbouw!H8</f>
        <v>0</v>
      </c>
      <c r="J24" s="686">
        <f>+landbouw!I8</f>
        <v>0</v>
      </c>
      <c r="K24" s="686">
        <f>+landbouw!J8</f>
        <v>304.62079747654752</v>
      </c>
      <c r="L24" s="686">
        <f>+landbouw!K8</f>
        <v>0</v>
      </c>
      <c r="M24" s="686">
        <f>+landbouw!L8</f>
        <v>0</v>
      </c>
      <c r="N24" s="686">
        <f>+landbouw!M8</f>
        <v>0</v>
      </c>
      <c r="O24" s="686">
        <f>+landbouw!N8</f>
        <v>0</v>
      </c>
      <c r="P24" s="686">
        <f>+landbouw!O8</f>
        <v>0</v>
      </c>
      <c r="Q24" s="687">
        <f>+landbouw!P8</f>
        <v>0</v>
      </c>
      <c r="R24" s="689">
        <f>SUM(C24:Q24)</f>
        <v>6145.7495305392013</v>
      </c>
      <c r="S24" s="67"/>
    </row>
    <row r="25" spans="1:19" s="448" customFormat="1" ht="15" thickBot="1">
      <c r="A25" s="830" t="s">
        <v>724</v>
      </c>
      <c r="B25" s="949"/>
      <c r="C25" s="950">
        <f>IF(Onbekend_ele_kWh="---",0,Onbekend_ele_kWh)/1000+IF(REST_rest_ele_kWh="---",0,REST_rest_ele_kWh)/1000</f>
        <v>850.67603799999995</v>
      </c>
      <c r="D25" s="950"/>
      <c r="E25" s="950">
        <f>IF(onbekend_gas_kWh="---",0,onbekend_gas_kWh)/1000+IF(REST_rest_gas_kWh="---",0,REST_rest_gas_kWh)/1000</f>
        <v>1579.107825</v>
      </c>
      <c r="F25" s="950"/>
      <c r="G25" s="950"/>
      <c r="H25" s="950"/>
      <c r="I25" s="950"/>
      <c r="J25" s="950"/>
      <c r="K25" s="950"/>
      <c r="L25" s="950"/>
      <c r="M25" s="950"/>
      <c r="N25" s="950"/>
      <c r="O25" s="950"/>
      <c r="P25" s="950"/>
      <c r="Q25" s="951"/>
      <c r="R25" s="689">
        <f>SUM(C25:Q25)</f>
        <v>2429.7838630000001</v>
      </c>
      <c r="S25" s="67"/>
    </row>
    <row r="26" spans="1:19" s="448" customFormat="1" ht="15.75" thickBot="1">
      <c r="A26" s="694" t="s">
        <v>725</v>
      </c>
      <c r="B26" s="816"/>
      <c r="C26" s="811">
        <f>SUM(C24:C25)</f>
        <v>1956.3498299999997</v>
      </c>
      <c r="D26" s="811">
        <f t="shared" ref="D26:R26" si="2">SUM(D24:D25)</f>
        <v>0</v>
      </c>
      <c r="E26" s="811">
        <f t="shared" si="2"/>
        <v>2372.481387454</v>
      </c>
      <c r="F26" s="811">
        <f t="shared" si="2"/>
        <v>34.507714442084094</v>
      </c>
      <c r="G26" s="811">
        <f t="shared" si="2"/>
        <v>3907.5736641665694</v>
      </c>
      <c r="H26" s="811">
        <f t="shared" si="2"/>
        <v>0</v>
      </c>
      <c r="I26" s="811">
        <f t="shared" si="2"/>
        <v>0</v>
      </c>
      <c r="J26" s="811">
        <f t="shared" si="2"/>
        <v>0</v>
      </c>
      <c r="K26" s="811">
        <f t="shared" si="2"/>
        <v>304.62079747654752</v>
      </c>
      <c r="L26" s="811">
        <f t="shared" si="2"/>
        <v>0</v>
      </c>
      <c r="M26" s="811">
        <f t="shared" si="2"/>
        <v>0</v>
      </c>
      <c r="N26" s="811">
        <f t="shared" si="2"/>
        <v>0</v>
      </c>
      <c r="O26" s="811">
        <f t="shared" si="2"/>
        <v>0</v>
      </c>
      <c r="P26" s="811">
        <f t="shared" si="2"/>
        <v>0</v>
      </c>
      <c r="Q26" s="811">
        <f t="shared" si="2"/>
        <v>0</v>
      </c>
      <c r="R26" s="811">
        <f t="shared" si="2"/>
        <v>8575.5333935392009</v>
      </c>
      <c r="S26" s="67"/>
    </row>
    <row r="27" spans="1:19" s="448" customFormat="1" ht="17.25" thickTop="1" thickBot="1">
      <c r="A27" s="695" t="s">
        <v>115</v>
      </c>
      <c r="B27" s="803"/>
      <c r="C27" s="696">
        <f ca="1">C22+C16+C26</f>
        <v>131238.21422580356</v>
      </c>
      <c r="D27" s="696">
        <f t="shared" ref="D27:R27" ca="1" si="3">D22+D16+D26</f>
        <v>3272.1428571428573</v>
      </c>
      <c r="E27" s="696">
        <f t="shared" ca="1" si="3"/>
        <v>125243.16401774483</v>
      </c>
      <c r="F27" s="696">
        <f t="shared" si="3"/>
        <v>11692.250105711109</v>
      </c>
      <c r="G27" s="696">
        <f t="shared" ca="1" si="3"/>
        <v>23753.146635720444</v>
      </c>
      <c r="H27" s="696">
        <f t="shared" si="3"/>
        <v>74605.513799628141</v>
      </c>
      <c r="I27" s="696">
        <f t="shared" si="3"/>
        <v>20174.858232496379</v>
      </c>
      <c r="J27" s="696">
        <f t="shared" si="3"/>
        <v>0</v>
      </c>
      <c r="K27" s="696">
        <f t="shared" si="3"/>
        <v>376.20301978705015</v>
      </c>
      <c r="L27" s="696">
        <f t="shared" si="3"/>
        <v>0</v>
      </c>
      <c r="M27" s="696">
        <f t="shared" ca="1" si="3"/>
        <v>0</v>
      </c>
      <c r="N27" s="696">
        <f t="shared" si="3"/>
        <v>5634.6860012796551</v>
      </c>
      <c r="O27" s="696">
        <f t="shared" ca="1" si="3"/>
        <v>22150.585274557889</v>
      </c>
      <c r="P27" s="696">
        <f t="shared" si="3"/>
        <v>393.62780220044652</v>
      </c>
      <c r="Q27" s="696">
        <f t="shared" si="3"/>
        <v>537.23192469193623</v>
      </c>
      <c r="R27" s="696">
        <f t="shared" ca="1" si="3"/>
        <v>419071.6238967643</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2851.4746160223694</v>
      </c>
      <c r="D40" s="686">
        <f ca="1">tertiair!C20</f>
        <v>18.3327731092437</v>
      </c>
      <c r="E40" s="686">
        <f ca="1">tertiair!D20</f>
        <v>3367.7247155323339</v>
      </c>
      <c r="F40" s="686">
        <f>tertiair!E20</f>
        <v>45.334252748928044</v>
      </c>
      <c r="G40" s="686">
        <f ca="1">tertiair!F20</f>
        <v>364.30980245071703</v>
      </c>
      <c r="H40" s="686">
        <f>tertiair!G20</f>
        <v>0</v>
      </c>
      <c r="I40" s="686">
        <f>tertiair!H20</f>
        <v>0</v>
      </c>
      <c r="J40" s="686">
        <f>tertiair!I20</f>
        <v>0</v>
      </c>
      <c r="K40" s="686">
        <f>tertiair!J20</f>
        <v>7.4083784009557549E-3</v>
      </c>
      <c r="L40" s="686">
        <f>tertiair!K20</f>
        <v>0</v>
      </c>
      <c r="M40" s="686">
        <f ca="1">tertiair!L20</f>
        <v>0</v>
      </c>
      <c r="N40" s="686">
        <f>tertiair!M20</f>
        <v>0</v>
      </c>
      <c r="O40" s="686">
        <f ca="1">tertiair!N20</f>
        <v>0</v>
      </c>
      <c r="P40" s="686">
        <f>tertiair!O20</f>
        <v>0</v>
      </c>
      <c r="Q40" s="769">
        <f>tertiair!P20</f>
        <v>0</v>
      </c>
      <c r="R40" s="849">
        <f t="shared" ca="1" si="4"/>
        <v>6647.1835682419933</v>
      </c>
    </row>
    <row r="41" spans="1:18">
      <c r="A41" s="821" t="s">
        <v>224</v>
      </c>
      <c r="B41" s="828"/>
      <c r="C41" s="686">
        <f ca="1">huishoudens!B12</f>
        <v>6912.4192188981624</v>
      </c>
      <c r="D41" s="686">
        <f ca="1">huishoudens!C12</f>
        <v>0</v>
      </c>
      <c r="E41" s="686">
        <f>huishoudens!D12</f>
        <v>14737.025892159119</v>
      </c>
      <c r="F41" s="686">
        <f>huishoudens!E12</f>
        <v>2431.8506383161953</v>
      </c>
      <c r="G41" s="686">
        <f>huishoudens!F12</f>
        <v>3451.6666712648212</v>
      </c>
      <c r="H41" s="686">
        <f>huishoudens!G12</f>
        <v>0</v>
      </c>
      <c r="I41" s="686">
        <f>huishoudens!H12</f>
        <v>0</v>
      </c>
      <c r="J41" s="686">
        <f>huishoudens!I12</f>
        <v>0</v>
      </c>
      <c r="K41" s="686">
        <f>huishoudens!J12</f>
        <v>14.451774376930732</v>
      </c>
      <c r="L41" s="686">
        <f>huishoudens!K12</f>
        <v>0</v>
      </c>
      <c r="M41" s="686">
        <f>huishoudens!L12</f>
        <v>0</v>
      </c>
      <c r="N41" s="686">
        <f>huishoudens!M12</f>
        <v>0</v>
      </c>
      <c r="O41" s="686">
        <f>huishoudens!N12</f>
        <v>0</v>
      </c>
      <c r="P41" s="686">
        <f>huishoudens!O12</f>
        <v>0</v>
      </c>
      <c r="Q41" s="769">
        <f>huishoudens!P12</f>
        <v>0</v>
      </c>
      <c r="R41" s="849">
        <f t="shared" ca="1" si="4"/>
        <v>27547.41419501523</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17720.358788847872</v>
      </c>
      <c r="D43" s="686">
        <f ca="1">industrie!C22</f>
        <v>759.28235294117667</v>
      </c>
      <c r="E43" s="686">
        <f>industrie!D22</f>
        <v>6671.0693136021846</v>
      </c>
      <c r="F43" s="686">
        <f>industrie!E22</f>
        <v>128.37505674935602</v>
      </c>
      <c r="G43" s="686">
        <f>industrie!F22</f>
        <v>1482.7915096893475</v>
      </c>
      <c r="H43" s="686">
        <f>industrie!G22</f>
        <v>0</v>
      </c>
      <c r="I43" s="686">
        <f>industrie!H22</f>
        <v>0</v>
      </c>
      <c r="J43" s="686">
        <f>industrie!I22</f>
        <v>0</v>
      </c>
      <c r="K43" s="686">
        <f>industrie!J22</f>
        <v>10.880923942586255</v>
      </c>
      <c r="L43" s="686">
        <f>industrie!K22</f>
        <v>0</v>
      </c>
      <c r="M43" s="686">
        <f>industrie!L22</f>
        <v>0</v>
      </c>
      <c r="N43" s="686">
        <f>industrie!M22</f>
        <v>0</v>
      </c>
      <c r="O43" s="686">
        <f>industrie!N22</f>
        <v>0</v>
      </c>
      <c r="P43" s="686">
        <f>industrie!O22</f>
        <v>0</v>
      </c>
      <c r="Q43" s="769">
        <f>industrie!P22</f>
        <v>0</v>
      </c>
      <c r="R43" s="848">
        <f t="shared" ca="1" si="4"/>
        <v>26772.757945772522</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27484.252623768403</v>
      </c>
      <c r="D46" s="722">
        <f t="shared" ref="D46:Q46" ca="1" si="5">SUM(D39:D45)</f>
        <v>777.61512605042037</v>
      </c>
      <c r="E46" s="722">
        <f t="shared" ca="1" si="5"/>
        <v>24775.819921293638</v>
      </c>
      <c r="F46" s="722">
        <f t="shared" si="5"/>
        <v>2605.5599478144795</v>
      </c>
      <c r="G46" s="722">
        <f t="shared" ca="1" si="5"/>
        <v>5298.7679834048859</v>
      </c>
      <c r="H46" s="722">
        <f t="shared" si="5"/>
        <v>0</v>
      </c>
      <c r="I46" s="722">
        <f t="shared" si="5"/>
        <v>0</v>
      </c>
      <c r="J46" s="722">
        <f t="shared" si="5"/>
        <v>0</v>
      </c>
      <c r="K46" s="722">
        <f t="shared" si="5"/>
        <v>25.340106697917943</v>
      </c>
      <c r="L46" s="722">
        <f t="shared" si="5"/>
        <v>0</v>
      </c>
      <c r="M46" s="722">
        <f t="shared" ca="1" si="5"/>
        <v>0</v>
      </c>
      <c r="N46" s="722">
        <f t="shared" si="5"/>
        <v>0</v>
      </c>
      <c r="O46" s="722">
        <f t="shared" ca="1" si="5"/>
        <v>0</v>
      </c>
      <c r="P46" s="722">
        <f t="shared" si="5"/>
        <v>0</v>
      </c>
      <c r="Q46" s="722">
        <f t="shared" si="5"/>
        <v>0</v>
      </c>
      <c r="R46" s="722">
        <f ca="1">SUM(R39:R45)</f>
        <v>60967.355709029747</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193.12991605345897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193.12991605345897</v>
      </c>
    </row>
    <row r="50" spans="1:18">
      <c r="A50" s="824" t="s">
        <v>306</v>
      </c>
      <c r="B50" s="834"/>
      <c r="C50" s="692">
        <f ca="1">transport!B18</f>
        <v>9.9449142208326808</v>
      </c>
      <c r="D50" s="692">
        <f>transport!C18</f>
        <v>0</v>
      </c>
      <c r="E50" s="692">
        <f>transport!D18</f>
        <v>44.057970025110798</v>
      </c>
      <c r="F50" s="692">
        <f>transport!E18</f>
        <v>40.74757500358956</v>
      </c>
      <c r="G50" s="692">
        <f>transport!F18</f>
        <v>0</v>
      </c>
      <c r="H50" s="692">
        <f>transport!G18</f>
        <v>19726.542268447254</v>
      </c>
      <c r="I50" s="692">
        <f>transport!H18</f>
        <v>5023.5396998915985</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24844.832427588386</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9.9449142208326808</v>
      </c>
      <c r="D52" s="722">
        <f t="shared" ref="D52:Q52" ca="1" si="6">SUM(D48:D51)</f>
        <v>0</v>
      </c>
      <c r="E52" s="722">
        <f t="shared" si="6"/>
        <v>44.057970025110798</v>
      </c>
      <c r="F52" s="722">
        <f t="shared" si="6"/>
        <v>40.74757500358956</v>
      </c>
      <c r="G52" s="722">
        <f t="shared" si="6"/>
        <v>0</v>
      </c>
      <c r="H52" s="722">
        <f t="shared" si="6"/>
        <v>19919.672184500712</v>
      </c>
      <c r="I52" s="722">
        <f t="shared" si="6"/>
        <v>5023.5396998915985</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25037.962343641844</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235.1421353017893</v>
      </c>
      <c r="D54" s="692">
        <f ca="1">+landbouw!C12</f>
        <v>0</v>
      </c>
      <c r="E54" s="692">
        <f>+landbouw!D12</f>
        <v>160.26145961570802</v>
      </c>
      <c r="F54" s="692">
        <f>+landbouw!E12</f>
        <v>7.8332511783530894</v>
      </c>
      <c r="G54" s="692">
        <f>+landbouw!F12</f>
        <v>1043.3221683324741</v>
      </c>
      <c r="H54" s="692">
        <f>+landbouw!G12</f>
        <v>0</v>
      </c>
      <c r="I54" s="692">
        <f>+landbouw!H12</f>
        <v>0</v>
      </c>
      <c r="J54" s="692">
        <f>+landbouw!I12</f>
        <v>0</v>
      </c>
      <c r="K54" s="692">
        <f>+landbouw!J12</f>
        <v>107.83576230669782</v>
      </c>
      <c r="L54" s="692">
        <f>+landbouw!K12</f>
        <v>0</v>
      </c>
      <c r="M54" s="692">
        <f>+landbouw!L12</f>
        <v>0</v>
      </c>
      <c r="N54" s="692">
        <f>+landbouw!M12</f>
        <v>0</v>
      </c>
      <c r="O54" s="692">
        <f>+landbouw!N12</f>
        <v>0</v>
      </c>
      <c r="P54" s="692">
        <f>+landbouw!O12</f>
        <v>0</v>
      </c>
      <c r="Q54" s="693">
        <f>+landbouw!P12</f>
        <v>0</v>
      </c>
      <c r="R54" s="721">
        <f ca="1">SUM(C54:Q54)</f>
        <v>1554.3947767350226</v>
      </c>
    </row>
    <row r="55" spans="1:18" ht="15" thickBot="1">
      <c r="A55" s="824" t="s">
        <v>724</v>
      </c>
      <c r="B55" s="834"/>
      <c r="C55" s="692">
        <f ca="1">C25*'EF ele_warmte'!B12</f>
        <v>180.91211121461228</v>
      </c>
      <c r="D55" s="692"/>
      <c r="E55" s="692">
        <f>E25*EF_CO2_aardgas</f>
        <v>318.97978065000001</v>
      </c>
      <c r="F55" s="692"/>
      <c r="G55" s="692"/>
      <c r="H55" s="692"/>
      <c r="I55" s="692"/>
      <c r="J55" s="692"/>
      <c r="K55" s="692"/>
      <c r="L55" s="692"/>
      <c r="M55" s="692"/>
      <c r="N55" s="692"/>
      <c r="O55" s="692"/>
      <c r="P55" s="692"/>
      <c r="Q55" s="693"/>
      <c r="R55" s="721">
        <f ca="1">SUM(C55:Q55)</f>
        <v>499.89189186461226</v>
      </c>
    </row>
    <row r="56" spans="1:18" ht="15.75" thickBot="1">
      <c r="A56" s="822" t="s">
        <v>725</v>
      </c>
      <c r="B56" s="835"/>
      <c r="C56" s="722">
        <f ca="1">SUM(C54:C55)</f>
        <v>416.05424651640158</v>
      </c>
      <c r="D56" s="722">
        <f t="shared" ref="D56:Q56" ca="1" si="7">SUM(D54:D55)</f>
        <v>0</v>
      </c>
      <c r="E56" s="722">
        <f t="shared" si="7"/>
        <v>479.24124026570803</v>
      </c>
      <c r="F56" s="722">
        <f t="shared" si="7"/>
        <v>7.8332511783530894</v>
      </c>
      <c r="G56" s="722">
        <f t="shared" si="7"/>
        <v>1043.3221683324741</v>
      </c>
      <c r="H56" s="722">
        <f t="shared" si="7"/>
        <v>0</v>
      </c>
      <c r="I56" s="722">
        <f t="shared" si="7"/>
        <v>0</v>
      </c>
      <c r="J56" s="722">
        <f t="shared" si="7"/>
        <v>0</v>
      </c>
      <c r="K56" s="722">
        <f t="shared" si="7"/>
        <v>107.83576230669782</v>
      </c>
      <c r="L56" s="722">
        <f t="shared" si="7"/>
        <v>0</v>
      </c>
      <c r="M56" s="722">
        <f t="shared" si="7"/>
        <v>0</v>
      </c>
      <c r="N56" s="722">
        <f t="shared" si="7"/>
        <v>0</v>
      </c>
      <c r="O56" s="722">
        <f t="shared" si="7"/>
        <v>0</v>
      </c>
      <c r="P56" s="722">
        <f t="shared" si="7"/>
        <v>0</v>
      </c>
      <c r="Q56" s="723">
        <f t="shared" si="7"/>
        <v>0</v>
      </c>
      <c r="R56" s="724">
        <f ca="1">SUM(R54:R55)</f>
        <v>2054.286668599635</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27910.251784505635</v>
      </c>
      <c r="D61" s="730">
        <f t="shared" ref="D61:Q61" ca="1" si="8">D46+D52+D56</f>
        <v>777.61512605042037</v>
      </c>
      <c r="E61" s="730">
        <f t="shared" ca="1" si="8"/>
        <v>25299.119131584455</v>
      </c>
      <c r="F61" s="730">
        <f t="shared" si="8"/>
        <v>2654.1407739964225</v>
      </c>
      <c r="G61" s="730">
        <f t="shared" ca="1" si="8"/>
        <v>6342.0901517373604</v>
      </c>
      <c r="H61" s="730">
        <f t="shared" si="8"/>
        <v>19919.672184500712</v>
      </c>
      <c r="I61" s="730">
        <f t="shared" si="8"/>
        <v>5023.5396998915985</v>
      </c>
      <c r="J61" s="730">
        <f t="shared" si="8"/>
        <v>0</v>
      </c>
      <c r="K61" s="730">
        <f t="shared" si="8"/>
        <v>133.17586900461575</v>
      </c>
      <c r="L61" s="730">
        <f t="shared" si="8"/>
        <v>0</v>
      </c>
      <c r="M61" s="730">
        <f t="shared" ca="1" si="8"/>
        <v>0</v>
      </c>
      <c r="N61" s="730">
        <f t="shared" si="8"/>
        <v>0</v>
      </c>
      <c r="O61" s="730">
        <f t="shared" ca="1" si="8"/>
        <v>0</v>
      </c>
      <c r="P61" s="730">
        <f t="shared" si="8"/>
        <v>0</v>
      </c>
      <c r="Q61" s="730">
        <f t="shared" si="8"/>
        <v>0</v>
      </c>
      <c r="R61" s="730">
        <f ca="1">R46+R52+R56</f>
        <v>88059.604721271229</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0.21266863427815544</v>
      </c>
      <c r="D63" s="776">
        <f t="shared" ca="1" si="9"/>
        <v>0.23764705882352946</v>
      </c>
      <c r="E63" s="975">
        <f t="shared" ca="1" si="9"/>
        <v>0.20200000000000001</v>
      </c>
      <c r="F63" s="776">
        <f t="shared" si="9"/>
        <v>0.22700000000000006</v>
      </c>
      <c r="G63" s="776">
        <f t="shared" ca="1" si="9"/>
        <v>0.26700000000000007</v>
      </c>
      <c r="H63" s="776">
        <f t="shared" si="9"/>
        <v>0.26699999999999996</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5120.0165051232807</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2290.5</v>
      </c>
      <c r="D76" s="958">
        <f>'lokale energieproductie'!C8</f>
        <v>2694.7058823529414</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544.33058823529416</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5120.0165051232807</v>
      </c>
      <c r="C78" s="748">
        <f>SUM(C72:C77)</f>
        <v>2290.5</v>
      </c>
      <c r="D78" s="749">
        <f t="shared" ref="D78:H78" si="10">SUM(D76:D77)</f>
        <v>2694.7058823529414</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544.33058823529416</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3272.1428571428573</v>
      </c>
      <c r="D87" s="772">
        <f>'lokale energieproductie'!C17</f>
        <v>3849.5798319327737</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777.61512605042037</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3272.1428571428573</v>
      </c>
      <c r="D90" s="748">
        <f t="shared" ref="D90:H90" si="12">SUM(D87:D89)</f>
        <v>3849.5798319327737</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777.61512605042037</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9" zoomScale="65" zoomScaleNormal="65" workbookViewId="0">
      <selection activeCell="M29" sqref="M2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5120.0165051232807</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N30</f>
        <v>2290.5</v>
      </c>
      <c r="C8" s="548">
        <f>B49</f>
        <v>2694.7058823529414</v>
      </c>
      <c r="D8" s="549"/>
      <c r="E8" s="549">
        <f>E49</f>
        <v>0</v>
      </c>
      <c r="F8" s="550"/>
      <c r="G8" s="551"/>
      <c r="H8" s="549">
        <f>I49</f>
        <v>0</v>
      </c>
      <c r="I8" s="549">
        <f>G49+F49</f>
        <v>0</v>
      </c>
      <c r="J8" s="549">
        <f>H49+D49+C49</f>
        <v>0</v>
      </c>
      <c r="K8" s="549"/>
      <c r="L8" s="549"/>
      <c r="M8" s="549"/>
      <c r="N8" s="552"/>
      <c r="O8" s="553">
        <f>C8*$C$12+D8*$D$12+E8*$E$12+F8*$F$12+G8*$G$12+H8*$H$12+I8*$I$12+J8*$J$12</f>
        <v>544.33058823529416</v>
      </c>
      <c r="P8" s="1244"/>
      <c r="Q8" s="1245"/>
      <c r="S8" s="543"/>
      <c r="T8" s="1232"/>
      <c r="U8" s="1232"/>
    </row>
    <row r="9" spans="1:21" s="534" customFormat="1" ht="17.45" customHeight="1" thickBot="1">
      <c r="A9" s="554" t="s">
        <v>247</v>
      </c>
      <c r="B9" s="555">
        <f>N37+'Eigen informatie GS &amp; warmtenet'!B12</f>
        <v>0</v>
      </c>
      <c r="C9" s="556">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7410.5165051232807</v>
      </c>
      <c r="C10" s="563">
        <f t="shared" ref="C10:L10" si="0">SUM(C8:C9)</f>
        <v>2694.7058823529414</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544.33058823529416</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O30</f>
        <v>3272.1428571428573</v>
      </c>
      <c r="C17" s="579">
        <f>B50</f>
        <v>3849.5798319327737</v>
      </c>
      <c r="D17" s="580"/>
      <c r="E17" s="580">
        <f>E50</f>
        <v>0</v>
      </c>
      <c r="F17" s="581"/>
      <c r="G17" s="582"/>
      <c r="H17" s="579">
        <f>I50</f>
        <v>0</v>
      </c>
      <c r="I17" s="580">
        <f>G50+F50</f>
        <v>0</v>
      </c>
      <c r="J17" s="580">
        <f>H50+D50+C50</f>
        <v>0</v>
      </c>
      <c r="K17" s="580"/>
      <c r="L17" s="580"/>
      <c r="M17" s="580"/>
      <c r="N17" s="972"/>
      <c r="O17" s="583">
        <f>C17*$C$22+E17*$E$22+H17*$H$22+I17*$I$22+J17*$J$22+D17*$D$22+F17*$F$22+G17*$G$22+K17*$K$22+L17*$L$22</f>
        <v>777.61512605042037</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3272.1428571428573</v>
      </c>
      <c r="C20" s="562">
        <f>SUM(C17:C19)</f>
        <v>3849.5798319327737</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777.61512605042037</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51">
      <c r="A28" s="592"/>
      <c r="B28" s="791">
        <v>42011</v>
      </c>
      <c r="C28" s="791">
        <v>9280</v>
      </c>
      <c r="D28" s="640" t="s">
        <v>888</v>
      </c>
      <c r="E28" s="639" t="s">
        <v>889</v>
      </c>
      <c r="F28" s="639" t="s">
        <v>890</v>
      </c>
      <c r="G28" s="639" t="s">
        <v>891</v>
      </c>
      <c r="H28" s="639" t="s">
        <v>892</v>
      </c>
      <c r="I28" s="639" t="s">
        <v>893</v>
      </c>
      <c r="J28" s="790">
        <v>41149</v>
      </c>
      <c r="K28" s="790">
        <v>41809</v>
      </c>
      <c r="L28" s="639" t="s">
        <v>894</v>
      </c>
      <c r="M28" s="639">
        <v>12</v>
      </c>
      <c r="N28" s="639">
        <v>54</v>
      </c>
      <c r="O28" s="639">
        <v>77.142857142857139</v>
      </c>
      <c r="P28" s="639">
        <v>154.28571428571431</v>
      </c>
      <c r="Q28" s="639">
        <v>0</v>
      </c>
      <c r="R28" s="639">
        <v>0</v>
      </c>
      <c r="S28" s="639">
        <v>0</v>
      </c>
      <c r="T28" s="639">
        <v>0</v>
      </c>
      <c r="U28" s="639">
        <v>0</v>
      </c>
      <c r="V28" s="639">
        <v>0</v>
      </c>
      <c r="W28" s="639">
        <v>0</v>
      </c>
      <c r="X28" s="639">
        <v>1500</v>
      </c>
      <c r="Y28" s="639" t="s">
        <v>50</v>
      </c>
      <c r="Z28" s="641" t="s">
        <v>155</v>
      </c>
    </row>
    <row r="29" spans="1:26" s="593" customFormat="1" ht="25.5">
      <c r="A29" s="592"/>
      <c r="B29" s="791">
        <v>42011</v>
      </c>
      <c r="C29" s="791">
        <v>9280</v>
      </c>
      <c r="D29" s="640" t="s">
        <v>895</v>
      </c>
      <c r="E29" s="639" t="s">
        <v>896</v>
      </c>
      <c r="F29" s="639" t="s">
        <v>897</v>
      </c>
      <c r="G29" s="639" t="s">
        <v>891</v>
      </c>
      <c r="H29" s="639" t="s">
        <v>892</v>
      </c>
      <c r="I29" s="639" t="s">
        <v>896</v>
      </c>
      <c r="J29" s="790">
        <v>42072</v>
      </c>
      <c r="K29" s="790">
        <v>42075</v>
      </c>
      <c r="L29" s="639" t="s">
        <v>894</v>
      </c>
      <c r="M29" s="639">
        <v>497</v>
      </c>
      <c r="N29" s="639">
        <v>2236.5</v>
      </c>
      <c r="O29" s="639">
        <v>3195</v>
      </c>
      <c r="P29" s="639">
        <v>6390</v>
      </c>
      <c r="Q29" s="639">
        <v>0</v>
      </c>
      <c r="R29" s="639">
        <v>0</v>
      </c>
      <c r="S29" s="639">
        <v>0</v>
      </c>
      <c r="T29" s="639">
        <v>0</v>
      </c>
      <c r="U29" s="639">
        <v>0</v>
      </c>
      <c r="V29" s="639">
        <v>0</v>
      </c>
      <c r="W29" s="639">
        <v>0</v>
      </c>
      <c r="X29" s="639">
        <v>500</v>
      </c>
      <c r="Y29" s="639" t="s">
        <v>40</v>
      </c>
      <c r="Z29" s="641" t="s">
        <v>384</v>
      </c>
    </row>
    <row r="30" spans="1:26" s="573" customFormat="1">
      <c r="A30" s="595" t="s">
        <v>279</v>
      </c>
      <c r="B30" s="596"/>
      <c r="C30" s="596"/>
      <c r="D30" s="596"/>
      <c r="E30" s="596"/>
      <c r="F30" s="596"/>
      <c r="G30" s="596"/>
      <c r="H30" s="596"/>
      <c r="I30" s="596"/>
      <c r="J30" s="596"/>
      <c r="K30" s="596"/>
      <c r="L30" s="597"/>
      <c r="M30" s="597">
        <f>SUM(M28:M29)</f>
        <v>509</v>
      </c>
      <c r="N30" s="597">
        <f>SUM(N28:N29)</f>
        <v>2290.5</v>
      </c>
      <c r="O30" s="597">
        <f>SUM(O28:O29)</f>
        <v>3272.1428571428573</v>
      </c>
      <c r="P30" s="597">
        <f>SUM(P28:P29)</f>
        <v>6544.2857142857147</v>
      </c>
      <c r="Q30" s="597">
        <f>SUM(Q28:Q29)</f>
        <v>0</v>
      </c>
      <c r="R30" s="597">
        <f>SUM(R28:R29)</f>
        <v>0</v>
      </c>
      <c r="S30" s="597">
        <f>SUM(S28:S29)</f>
        <v>0</v>
      </c>
      <c r="T30" s="597">
        <f>SUM(T28:T29)</f>
        <v>0</v>
      </c>
      <c r="U30" s="597">
        <f>SUM(U28:U29)</f>
        <v>0</v>
      </c>
      <c r="V30" s="597">
        <f>SUM(V28:V29)</f>
        <v>0</v>
      </c>
      <c r="W30" s="597">
        <f>SUM(W28:W29)</f>
        <v>0</v>
      </c>
      <c r="X30" s="598"/>
      <c r="Y30" s="598"/>
      <c r="Z30" s="599"/>
    </row>
    <row r="31" spans="1:26" s="573" customFormat="1">
      <c r="A31" s="595" t="s">
        <v>286</v>
      </c>
      <c r="B31" s="596"/>
      <c r="C31" s="596"/>
      <c r="D31" s="596"/>
      <c r="E31" s="596"/>
      <c r="F31" s="596"/>
      <c r="G31" s="596"/>
      <c r="H31" s="596"/>
      <c r="I31" s="596"/>
      <c r="J31" s="596"/>
      <c r="K31" s="596"/>
      <c r="L31" s="597"/>
      <c r="M31" s="597">
        <f>SUMIF($Z$28:$Z$29,"industrie",M28:M29)</f>
        <v>497</v>
      </c>
      <c r="N31" s="597">
        <f>SUMIF($Z$28:$Z$29,"industrie",N28:N29)</f>
        <v>2236.5</v>
      </c>
      <c r="O31" s="597">
        <f>SUMIF($Z$28:$Z$29,"industrie",O28:O29)</f>
        <v>3195</v>
      </c>
      <c r="P31" s="597">
        <f>SUMIF($Z$28:$Z$29,"industrie",P28:P29)</f>
        <v>6390</v>
      </c>
      <c r="Q31" s="597">
        <f>SUMIF($Z$28:$Z$29,"industrie",Q28:Q29)</f>
        <v>0</v>
      </c>
      <c r="R31" s="597">
        <f>SUMIF($Z$28:$Z$29,"industrie",R28:R29)</f>
        <v>0</v>
      </c>
      <c r="S31" s="597">
        <f>SUMIF($Z$28:$Z$29,"industrie",S28:S29)</f>
        <v>0</v>
      </c>
      <c r="T31" s="597">
        <f>SUMIF($Z$28:$Z$29,"industrie",T28:T29)</f>
        <v>0</v>
      </c>
      <c r="U31" s="597">
        <f>SUMIF($Z$28:$Z$29,"industrie",U28:U29)</f>
        <v>0</v>
      </c>
      <c r="V31" s="597">
        <f>SUMIF($Z$28:$Z$29,"industrie",V28:V29)</f>
        <v>0</v>
      </c>
      <c r="W31" s="597">
        <f>SUMIF($Z$28:$Z$29,"industrie",W28:W29)</f>
        <v>0</v>
      </c>
      <c r="X31" s="598"/>
      <c r="Y31" s="598"/>
      <c r="Z31" s="599"/>
    </row>
    <row r="32" spans="1:26" s="573" customFormat="1">
      <c r="A32" s="595" t="s">
        <v>287</v>
      </c>
      <c r="B32" s="596"/>
      <c r="C32" s="596"/>
      <c r="D32" s="596"/>
      <c r="E32" s="596"/>
      <c r="F32" s="596"/>
      <c r="G32" s="596"/>
      <c r="H32" s="596"/>
      <c r="I32" s="596"/>
      <c r="J32" s="596"/>
      <c r="K32" s="596"/>
      <c r="L32" s="597"/>
      <c r="M32" s="597">
        <f ca="1">SUMIF($Z$28:AC29,"tertiair",M28:M29)</f>
        <v>12</v>
      </c>
      <c r="N32" s="597">
        <f ca="1">SUMIF($Z$28:AD29,"tertiair",N28:N29)</f>
        <v>54</v>
      </c>
      <c r="O32" s="597">
        <f ca="1">SUMIF($Z$28:AE29,"tertiair",O28:O29)</f>
        <v>77.142857142857139</v>
      </c>
      <c r="P32" s="597">
        <f ca="1">SUMIF($Z$28:AF29,"tertiair",P28:P29)</f>
        <v>154.28571428571431</v>
      </c>
      <c r="Q32" s="597">
        <f ca="1">SUMIF($Z$28:AG29,"tertiair",Q28:Q29)</f>
        <v>0</v>
      </c>
      <c r="R32" s="597">
        <f ca="1">SUMIF($Z$28:AH29,"tertiair",R28:R29)</f>
        <v>0</v>
      </c>
      <c r="S32" s="597">
        <f ca="1">SUMIF($Z$28:AI29,"tertiair",S28:S29)</f>
        <v>0</v>
      </c>
      <c r="T32" s="597">
        <f ca="1">SUMIF($Z$28:AJ29,"tertiair",T28:T29)</f>
        <v>0</v>
      </c>
      <c r="U32" s="597">
        <f ca="1">SUMIF($Z$28:AK29,"tertiair",U28:U29)</f>
        <v>0</v>
      </c>
      <c r="V32" s="597">
        <f ca="1">SUMIF($Z$28:AL29,"tertiair",V28:V29)</f>
        <v>0</v>
      </c>
      <c r="W32" s="597">
        <f ca="1">SUMIF($Z$28:AM29,"tertiair",W28:W29)</f>
        <v>0</v>
      </c>
      <c r="X32" s="598"/>
      <c r="Y32" s="598"/>
      <c r="Z32" s="599"/>
    </row>
    <row r="33" spans="1:27" s="573" customFormat="1" ht="15.75" thickBot="1">
      <c r="A33" s="600" t="s">
        <v>288</v>
      </c>
      <c r="B33" s="601"/>
      <c r="C33" s="601"/>
      <c r="D33" s="601"/>
      <c r="E33" s="601"/>
      <c r="F33" s="601"/>
      <c r="G33" s="601"/>
      <c r="H33" s="601"/>
      <c r="I33" s="601"/>
      <c r="J33" s="601"/>
      <c r="K33" s="601"/>
      <c r="L33" s="602"/>
      <c r="M33" s="602">
        <f>SUMIF($Z$28:$Z$29,"landbouw",M28:M29)</f>
        <v>0</v>
      </c>
      <c r="N33" s="602">
        <f>SUMIF($Z$28:$Z$29,"landbouw",N28:N29)</f>
        <v>0</v>
      </c>
      <c r="O33" s="602">
        <f>SUMIF($Z$28:$Z$29,"landbouw",O28:O29)</f>
        <v>0</v>
      </c>
      <c r="P33" s="602">
        <f>SUMIF($Z$28:$Z$29,"landbouw",P28:P29)</f>
        <v>0</v>
      </c>
      <c r="Q33" s="602">
        <f>SUMIF($Z$28:$Z$29,"landbouw",Q28:Q29)</f>
        <v>0</v>
      </c>
      <c r="R33" s="602">
        <f>SUMIF($Z$28:$Z$29,"landbouw",R28:R29)</f>
        <v>0</v>
      </c>
      <c r="S33" s="602">
        <f>SUMIF($Z$28:$Z$29,"landbouw",S28:S29)</f>
        <v>0</v>
      </c>
      <c r="T33" s="602">
        <f>SUMIF($Z$28:$Z$29,"landbouw",T28:T29)</f>
        <v>0</v>
      </c>
      <c r="U33" s="602">
        <f>SUMIF($Z$28:$Z$29,"landbouw",U28:U29)</f>
        <v>0</v>
      </c>
      <c r="V33" s="602">
        <f>SUMIF($Z$28:$Z$29,"landbouw",V28:V29)</f>
        <v>0</v>
      </c>
      <c r="W33" s="602">
        <f>SUMIF($Z$28:$Z$29,"landbouw",W28:W29)</f>
        <v>0</v>
      </c>
      <c r="X33" s="603"/>
      <c r="Y33" s="603"/>
      <c r="Z33" s="604"/>
    </row>
    <row r="34" spans="1:27" s="534" customFormat="1" ht="15.75" thickBot="1">
      <c r="A34" s="605"/>
      <c r="B34" s="606"/>
      <c r="C34" s="606"/>
      <c r="D34" s="606"/>
      <c r="E34" s="606"/>
      <c r="F34" s="606"/>
      <c r="G34" s="606"/>
      <c r="H34" s="606"/>
      <c r="I34" s="606"/>
      <c r="J34" s="606"/>
      <c r="K34" s="606"/>
      <c r="L34" s="589"/>
      <c r="M34" s="589"/>
      <c r="N34" s="589"/>
      <c r="O34" s="590"/>
      <c r="P34" s="590"/>
    </row>
    <row r="35" spans="1:27" s="534" customFormat="1" ht="45">
      <c r="A35" s="607" t="s">
        <v>280</v>
      </c>
      <c r="B35" s="636" t="s">
        <v>89</v>
      </c>
      <c r="C35" s="636" t="s">
        <v>90</v>
      </c>
      <c r="D35" s="636" t="s">
        <v>91</v>
      </c>
      <c r="E35" s="636" t="s">
        <v>92</v>
      </c>
      <c r="F35" s="636" t="s">
        <v>93</v>
      </c>
      <c r="G35" s="636" t="s">
        <v>94</v>
      </c>
      <c r="H35" s="636" t="s">
        <v>95</v>
      </c>
      <c r="I35" s="636" t="s">
        <v>96</v>
      </c>
      <c r="J35" s="636" t="s">
        <v>97</v>
      </c>
      <c r="K35" s="636" t="s">
        <v>98</v>
      </c>
      <c r="L35" s="636" t="s">
        <v>99</v>
      </c>
      <c r="M35" s="637" t="s">
        <v>297</v>
      </c>
      <c r="N35" s="637" t="s">
        <v>100</v>
      </c>
      <c r="O35" s="637" t="s">
        <v>101</v>
      </c>
      <c r="P35" s="637" t="s">
        <v>524</v>
      </c>
      <c r="Q35" s="637" t="s">
        <v>102</v>
      </c>
      <c r="R35" s="637" t="s">
        <v>103</v>
      </c>
      <c r="S35" s="637" t="s">
        <v>104</v>
      </c>
      <c r="T35" s="637" t="s">
        <v>105</v>
      </c>
      <c r="U35" s="637" t="s">
        <v>106</v>
      </c>
      <c r="V35" s="637" t="s">
        <v>107</v>
      </c>
      <c r="W35" s="636" t="s">
        <v>108</v>
      </c>
      <c r="X35" s="636" t="s">
        <v>298</v>
      </c>
      <c r="Y35" s="636" t="s">
        <v>109</v>
      </c>
      <c r="Z35" s="638" t="s">
        <v>299</v>
      </c>
    </row>
    <row r="36" spans="1:27" s="608" customFormat="1" ht="12.75">
      <c r="A36" s="594"/>
      <c r="B36" s="791"/>
      <c r="C36" s="791"/>
      <c r="D36" s="642"/>
      <c r="E36" s="642"/>
      <c r="F36" s="642"/>
      <c r="G36" s="642"/>
      <c r="H36" s="642"/>
      <c r="I36" s="642"/>
      <c r="J36" s="790"/>
      <c r="K36" s="790"/>
      <c r="L36" s="642"/>
      <c r="M36" s="642"/>
      <c r="N36" s="642"/>
      <c r="O36" s="642"/>
      <c r="P36" s="642"/>
      <c r="Q36" s="642"/>
      <c r="R36" s="642"/>
      <c r="S36" s="642"/>
      <c r="T36" s="642"/>
      <c r="U36" s="642"/>
      <c r="V36" s="642"/>
      <c r="W36" s="642"/>
      <c r="X36" s="642"/>
      <c r="Y36" s="642"/>
      <c r="Z36" s="643"/>
    </row>
    <row r="37" spans="1:27" s="573" customFormat="1">
      <c r="A37" s="595" t="s">
        <v>279</v>
      </c>
      <c r="B37" s="596"/>
      <c r="C37" s="596"/>
      <c r="D37" s="596"/>
      <c r="E37" s="596"/>
      <c r="F37" s="596"/>
      <c r="G37" s="596"/>
      <c r="H37" s="596"/>
      <c r="I37" s="596"/>
      <c r="J37" s="596"/>
      <c r="K37" s="596"/>
      <c r="L37" s="597"/>
      <c r="M37" s="597">
        <f>SUM(M36:M36)</f>
        <v>0</v>
      </c>
      <c r="N37" s="597">
        <f>SUM(N36:N36)</f>
        <v>0</v>
      </c>
      <c r="O37" s="597">
        <f>SUM(O36:O36)</f>
        <v>0</v>
      </c>
      <c r="P37" s="597">
        <f>SUM(P36:P36)</f>
        <v>0</v>
      </c>
      <c r="Q37" s="597">
        <f>SUM(Q36:Q36)</f>
        <v>0</v>
      </c>
      <c r="R37" s="597">
        <f>SUM(R36:R36)</f>
        <v>0</v>
      </c>
      <c r="S37" s="597">
        <f>SUM(S36:S36)</f>
        <v>0</v>
      </c>
      <c r="T37" s="597">
        <f>SUM(T36:T36)</f>
        <v>0</v>
      </c>
      <c r="U37" s="597">
        <f>SUM(U36:U36)</f>
        <v>0</v>
      </c>
      <c r="V37" s="597">
        <f>SUM(V36:V36)</f>
        <v>0</v>
      </c>
      <c r="W37" s="597">
        <f>SUM(W36:W36)</f>
        <v>0</v>
      </c>
      <c r="X37" s="598"/>
      <c r="Y37" s="598"/>
      <c r="Z37" s="599"/>
    </row>
    <row r="38" spans="1:27" s="573" customFormat="1">
      <c r="A38" s="595" t="s">
        <v>286</v>
      </c>
      <c r="B38" s="596"/>
      <c r="C38" s="596"/>
      <c r="D38" s="596"/>
      <c r="E38" s="596"/>
      <c r="F38" s="596"/>
      <c r="G38" s="596"/>
      <c r="H38" s="596"/>
      <c r="I38" s="596"/>
      <c r="J38" s="596"/>
      <c r="K38" s="596"/>
      <c r="L38" s="597"/>
      <c r="M38" s="597">
        <f>SUMIF($Z$36:$Z$36,"industrie",M36:M36)</f>
        <v>0</v>
      </c>
      <c r="N38" s="597">
        <f>SUMIF($Z$36:$Z$36,"industrie",N36:N36)</f>
        <v>0</v>
      </c>
      <c r="O38" s="597">
        <f>SUMIF($Z$36:$Z$36,"industrie",O36:O36)</f>
        <v>0</v>
      </c>
      <c r="P38" s="597">
        <f>SUMIF($Z$36:$Z$36,"industrie",P36:P36)</f>
        <v>0</v>
      </c>
      <c r="Q38" s="597">
        <f>SUMIF($Z$36:$Z$36,"industrie",Q36:Q36)</f>
        <v>0</v>
      </c>
      <c r="R38" s="597">
        <f>SUMIF($Z$36:$Z$36,"industrie",R36:R36)</f>
        <v>0</v>
      </c>
      <c r="S38" s="597">
        <f>SUMIF($Z$36:$Z$36,"industrie",S36:S36)</f>
        <v>0</v>
      </c>
      <c r="T38" s="597">
        <f>SUMIF($Z$36:$Z$36,"industrie",T36:T36)</f>
        <v>0</v>
      </c>
      <c r="U38" s="597">
        <f>SUMIF($Z$36:$Z$36,"industrie",U36:U36)</f>
        <v>0</v>
      </c>
      <c r="V38" s="597">
        <f>SUMIF($Z$36:$Z$36,"industrie",V36:V36)</f>
        <v>0</v>
      </c>
      <c r="W38" s="597">
        <f>SUMIF($Z$36:$Z$36,"industrie",W36:W36)</f>
        <v>0</v>
      </c>
      <c r="X38" s="598"/>
      <c r="Y38" s="598"/>
      <c r="Z38" s="599"/>
    </row>
    <row r="39" spans="1:27" s="573" customFormat="1">
      <c r="A39" s="595" t="s">
        <v>287</v>
      </c>
      <c r="B39" s="596"/>
      <c r="C39" s="596"/>
      <c r="D39" s="596"/>
      <c r="E39" s="596"/>
      <c r="F39" s="596"/>
      <c r="G39" s="596"/>
      <c r="H39" s="596"/>
      <c r="I39" s="596"/>
      <c r="J39" s="596"/>
      <c r="K39" s="596"/>
      <c r="L39" s="597"/>
      <c r="M39" s="597">
        <f>SUMIF($Z$36:$Z$37,"tertiair",M36:M37)</f>
        <v>0</v>
      </c>
      <c r="N39" s="597">
        <f>SUMIF($Z$36:$Z$37,"tertiair",N36:N37)</f>
        <v>0</v>
      </c>
      <c r="O39" s="597">
        <f>SUMIF($Z$36:$Z$37,"tertiair",O36:O37)</f>
        <v>0</v>
      </c>
      <c r="P39" s="597">
        <f>SUMIF($Z$36:$Z$37,"tertiair",P36:P37)</f>
        <v>0</v>
      </c>
      <c r="Q39" s="597">
        <f>SUMIF($Z$36:$Z$37,"tertiair",Q36:Q37)</f>
        <v>0</v>
      </c>
      <c r="R39" s="597">
        <f>SUMIF($Z$36:$Z$37,"tertiair",R36:R37)</f>
        <v>0</v>
      </c>
      <c r="S39" s="597">
        <f>SUMIF($Z$36:$Z$37,"tertiair",S36:S37)</f>
        <v>0</v>
      </c>
      <c r="T39" s="597">
        <f>SUMIF($Z$36:$Z$37,"tertiair",T36:T37)</f>
        <v>0</v>
      </c>
      <c r="U39" s="597">
        <f>SUMIF($Z$36:$Z$37,"tertiair",U36:U37)</f>
        <v>0</v>
      </c>
      <c r="V39" s="597">
        <f>SUMIF($Z$36:$Z$37,"tertiair",V36:V37)</f>
        <v>0</v>
      </c>
      <c r="W39" s="597">
        <f>SUMIF($Z$36:$Z$37,"tertiair",W36:W37)</f>
        <v>0</v>
      </c>
      <c r="X39" s="598"/>
      <c r="Y39" s="598"/>
      <c r="Z39" s="599"/>
    </row>
    <row r="40" spans="1:27" s="573" customFormat="1" ht="15.75" thickBot="1">
      <c r="A40" s="600" t="s">
        <v>288</v>
      </c>
      <c r="B40" s="601"/>
      <c r="C40" s="601"/>
      <c r="D40" s="601"/>
      <c r="E40" s="601"/>
      <c r="F40" s="601"/>
      <c r="G40" s="601"/>
      <c r="H40" s="601"/>
      <c r="I40" s="601"/>
      <c r="J40" s="601"/>
      <c r="K40" s="601"/>
      <c r="L40" s="602"/>
      <c r="M40" s="602">
        <f>SUMIF($Z$36:$Z$38,"landbouw",M36:M38)</f>
        <v>0</v>
      </c>
      <c r="N40" s="602">
        <f>SUMIF($Z$36:$Z$38,"landbouw",N36:N38)</f>
        <v>0</v>
      </c>
      <c r="O40" s="602">
        <f>SUMIF($Z$36:$Z$38,"landbouw",O36:O38)</f>
        <v>0</v>
      </c>
      <c r="P40" s="602">
        <f>SUMIF($Z$36:$Z$38,"landbouw",P36:P38)</f>
        <v>0</v>
      </c>
      <c r="Q40" s="602">
        <f>SUMIF($Z$36:$Z$38,"landbouw",Q36:Q38)</f>
        <v>0</v>
      </c>
      <c r="R40" s="602">
        <f>SUMIF($Z$36:$Z$38,"landbouw",R36:R38)</f>
        <v>0</v>
      </c>
      <c r="S40" s="602">
        <f>SUMIF($Z$36:$Z$38,"landbouw",S36:S38)</f>
        <v>0</v>
      </c>
      <c r="T40" s="602">
        <f>SUMIF($Z$36:$Z$38,"landbouw",T36:T38)</f>
        <v>0</v>
      </c>
      <c r="U40" s="602">
        <f>SUMIF($Z$36:$Z$38,"landbouw",U36:U38)</f>
        <v>0</v>
      </c>
      <c r="V40" s="602">
        <f>SUMIF($Z$36:$Z$38,"landbouw",V36:V38)</f>
        <v>0</v>
      </c>
      <c r="W40" s="602">
        <f>SUMIF($Z$36:$Z$38,"landbouw",W36:W38)</f>
        <v>0</v>
      </c>
      <c r="X40" s="603"/>
      <c r="Y40" s="603"/>
      <c r="Z40" s="604"/>
    </row>
    <row r="41" spans="1:27" s="609" customForma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row>
    <row r="42" spans="1:27" s="609" customFormat="1" ht="15.75" thickBo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c r="Z42" s="589"/>
      <c r="AA42" s="589"/>
    </row>
    <row r="43" spans="1:27">
      <c r="A43" s="610" t="s">
        <v>281</v>
      </c>
      <c r="B43" s="611"/>
      <c r="C43" s="611"/>
      <c r="D43" s="611"/>
      <c r="E43" s="611"/>
      <c r="F43" s="611"/>
      <c r="G43" s="611"/>
      <c r="H43" s="611"/>
      <c r="I43" s="612"/>
      <c r="J43" s="613"/>
      <c r="K43" s="613"/>
      <c r="L43" s="614"/>
      <c r="M43" s="614"/>
      <c r="N43" s="614"/>
      <c r="O43" s="614"/>
      <c r="P43" s="614"/>
    </row>
    <row r="44" spans="1:27">
      <c r="A44" s="616"/>
      <c r="B44" s="606"/>
      <c r="C44" s="606"/>
      <c r="D44" s="606"/>
      <c r="E44" s="606"/>
      <c r="F44" s="606"/>
      <c r="G44" s="606"/>
      <c r="H44" s="606"/>
      <c r="I44" s="617"/>
      <c r="J44" s="606"/>
      <c r="K44" s="606"/>
      <c r="L44" s="614"/>
      <c r="M44" s="614"/>
      <c r="N44" s="614"/>
      <c r="O44" s="614"/>
      <c r="P44" s="614"/>
    </row>
    <row r="45" spans="1:27">
      <c r="A45" s="618"/>
      <c r="B45" s="619" t="s">
        <v>282</v>
      </c>
      <c r="C45" s="619" t="s">
        <v>283</v>
      </c>
      <c r="D45" s="619"/>
      <c r="E45" s="619"/>
      <c r="F45" s="619"/>
      <c r="G45" s="619"/>
      <c r="H45" s="619"/>
      <c r="I45" s="620"/>
      <c r="J45" s="619"/>
      <c r="K45" s="619"/>
      <c r="L45" s="619"/>
      <c r="M45" s="619"/>
      <c r="N45" s="619"/>
      <c r="O45" s="619"/>
      <c r="P45" s="614"/>
    </row>
    <row r="46" spans="1:27">
      <c r="A46" s="616" t="s">
        <v>279</v>
      </c>
      <c r="B46" s="621">
        <f>IF(ISERROR(O30/(O30+N30)),0,O30/(O30+N30))</f>
        <v>0.58823529411764708</v>
      </c>
      <c r="C46" s="622">
        <f>IF(ISERROR(N30/(O30+N30)),0,N30/(N30+O30))</f>
        <v>0.41176470588235298</v>
      </c>
      <c r="D46" s="589"/>
      <c r="E46" s="589"/>
      <c r="F46" s="589"/>
      <c r="G46" s="589"/>
      <c r="H46" s="589"/>
      <c r="I46" s="623"/>
      <c r="J46" s="589"/>
      <c r="K46" s="589"/>
      <c r="L46" s="624"/>
      <c r="M46" s="624"/>
      <c r="N46" s="624"/>
      <c r="O46" s="624"/>
      <c r="P46" s="614"/>
    </row>
    <row r="47" spans="1:27">
      <c r="A47" s="616"/>
      <c r="B47" s="625"/>
      <c r="C47" s="625"/>
      <c r="D47" s="625"/>
      <c r="E47" s="625"/>
      <c r="F47" s="625"/>
      <c r="G47" s="625"/>
      <c r="H47" s="625"/>
      <c r="I47" s="626"/>
      <c r="J47" s="625"/>
      <c r="K47" s="625"/>
      <c r="L47" s="627"/>
      <c r="M47" s="627"/>
      <c r="N47" s="627"/>
      <c r="O47" s="627"/>
      <c r="P47" s="614"/>
    </row>
    <row r="48" spans="1:27" ht="30">
      <c r="A48" s="628"/>
      <c r="B48" s="629" t="s">
        <v>524</v>
      </c>
      <c r="C48" s="629" t="s">
        <v>102</v>
      </c>
      <c r="D48" s="629" t="s">
        <v>103</v>
      </c>
      <c r="E48" s="629" t="s">
        <v>104</v>
      </c>
      <c r="F48" s="629" t="s">
        <v>105</v>
      </c>
      <c r="G48" s="629" t="s">
        <v>106</v>
      </c>
      <c r="H48" s="629" t="s">
        <v>107</v>
      </c>
      <c r="I48" s="630" t="s">
        <v>108</v>
      </c>
      <c r="J48" s="619"/>
      <c r="K48" s="619"/>
      <c r="L48" s="627"/>
      <c r="M48" s="627"/>
      <c r="N48" s="627"/>
      <c r="O48" s="614"/>
      <c r="P48" s="614"/>
    </row>
    <row r="49" spans="1:16">
      <c r="A49" s="618" t="s">
        <v>284</v>
      </c>
      <c r="B49" s="631">
        <f t="shared" ref="B49:I49" si="2">$C$46*P30</f>
        <v>2694.7058823529414</v>
      </c>
      <c r="C49" s="631">
        <f t="shared" si="2"/>
        <v>0</v>
      </c>
      <c r="D49" s="631">
        <f t="shared" si="2"/>
        <v>0</v>
      </c>
      <c r="E49" s="631">
        <f t="shared" si="2"/>
        <v>0</v>
      </c>
      <c r="F49" s="631">
        <f t="shared" si="2"/>
        <v>0</v>
      </c>
      <c r="G49" s="631">
        <f t="shared" si="2"/>
        <v>0</v>
      </c>
      <c r="H49" s="631">
        <f t="shared" si="2"/>
        <v>0</v>
      </c>
      <c r="I49" s="632">
        <f t="shared" si="2"/>
        <v>0</v>
      </c>
      <c r="J49" s="589"/>
      <c r="K49" s="589"/>
      <c r="L49" s="627"/>
      <c r="M49" s="627"/>
      <c r="N49" s="627"/>
      <c r="O49" s="614"/>
      <c r="P49" s="614"/>
    </row>
    <row r="50" spans="1:16" ht="15.75" thickBot="1">
      <c r="A50" s="633" t="s">
        <v>285</v>
      </c>
      <c r="B50" s="634">
        <f t="shared" ref="B50:I50" si="3">$B$46*P30</f>
        <v>3849.5798319327737</v>
      </c>
      <c r="C50" s="634">
        <f t="shared" si="3"/>
        <v>0</v>
      </c>
      <c r="D50" s="634">
        <f t="shared" si="3"/>
        <v>0</v>
      </c>
      <c r="E50" s="634">
        <f t="shared" si="3"/>
        <v>0</v>
      </c>
      <c r="F50" s="634">
        <f t="shared" si="3"/>
        <v>0</v>
      </c>
      <c r="G50" s="634">
        <f t="shared" si="3"/>
        <v>0</v>
      </c>
      <c r="H50" s="634">
        <f t="shared" si="3"/>
        <v>0</v>
      </c>
      <c r="I50" s="635">
        <f t="shared" si="3"/>
        <v>0</v>
      </c>
      <c r="J50" s="589"/>
      <c r="K50" s="589"/>
      <c r="L50" s="627"/>
      <c r="M50" s="627"/>
      <c r="N50" s="627"/>
      <c r="O50" s="614"/>
      <c r="P50" s="614"/>
    </row>
    <row r="51" spans="1:16">
      <c r="J51" s="569"/>
      <c r="K51" s="569"/>
      <c r="L51" s="569"/>
      <c r="M51" s="569"/>
      <c r="N51" s="569"/>
    </row>
    <row r="52" spans="1:16">
      <c r="J52" s="569"/>
      <c r="K52" s="569"/>
      <c r="L52" s="569"/>
      <c r="M52" s="569"/>
      <c r="N52"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32503.237923920689</v>
      </c>
      <c r="C4" s="452">
        <f>huishoudens!C8</f>
        <v>0</v>
      </c>
      <c r="D4" s="452">
        <f>huishoudens!D8</f>
        <v>72955.573723559995</v>
      </c>
      <c r="E4" s="452">
        <f>huishoudens!E8</f>
        <v>10712.998406679273</v>
      </c>
      <c r="F4" s="452">
        <f>huishoudens!F8</f>
        <v>12927.590529081726</v>
      </c>
      <c r="G4" s="452">
        <f>huishoudens!G8</f>
        <v>0</v>
      </c>
      <c r="H4" s="452">
        <f>huishoudens!H8</f>
        <v>0</v>
      </c>
      <c r="I4" s="452">
        <f>huishoudens!I8</f>
        <v>0</v>
      </c>
      <c r="J4" s="452">
        <f>huishoudens!J8</f>
        <v>40.824221403759132</v>
      </c>
      <c r="K4" s="452">
        <f>huishoudens!K8</f>
        <v>0</v>
      </c>
      <c r="L4" s="452">
        <f>huishoudens!L8</f>
        <v>0</v>
      </c>
      <c r="M4" s="452">
        <f>huishoudens!M8</f>
        <v>0</v>
      </c>
      <c r="N4" s="452">
        <f>huishoudens!N8</f>
        <v>16659.927012294578</v>
      </c>
      <c r="O4" s="452">
        <f>huishoudens!O8</f>
        <v>378.93601990292308</v>
      </c>
      <c r="P4" s="453">
        <f>huishoudens!P8</f>
        <v>537.23192469193623</v>
      </c>
      <c r="Q4" s="454">
        <f>SUM(B4:P4)</f>
        <v>146716.31976153489</v>
      </c>
    </row>
    <row r="5" spans="1:17">
      <c r="A5" s="451" t="s">
        <v>155</v>
      </c>
      <c r="B5" s="452">
        <f ca="1">tertiair!B16</f>
        <v>12361.015797</v>
      </c>
      <c r="C5" s="452">
        <f ca="1">tertiair!C16</f>
        <v>77.142857142857139</v>
      </c>
      <c r="D5" s="452">
        <f ca="1">tertiair!D16</f>
        <v>16671.904532338285</v>
      </c>
      <c r="E5" s="452">
        <f>tertiair!E16</f>
        <v>199.71036453272265</v>
      </c>
      <c r="F5" s="452">
        <f ca="1">tertiair!F16</f>
        <v>1364.4561889539964</v>
      </c>
      <c r="G5" s="452">
        <f>tertiair!G16</f>
        <v>0</v>
      </c>
      <c r="H5" s="452">
        <f>tertiair!H16</f>
        <v>0</v>
      </c>
      <c r="I5" s="452">
        <f>tertiair!I16</f>
        <v>0</v>
      </c>
      <c r="J5" s="452">
        <f>tertiair!J16</f>
        <v>2.0927622601569929E-2</v>
      </c>
      <c r="K5" s="452">
        <f>tertiair!K16</f>
        <v>0</v>
      </c>
      <c r="L5" s="452">
        <f ca="1">tertiair!L16</f>
        <v>0</v>
      </c>
      <c r="M5" s="452">
        <f>tertiair!M16</f>
        <v>0</v>
      </c>
      <c r="N5" s="452">
        <f ca="1">tertiair!N16</f>
        <v>825.27590135621108</v>
      </c>
      <c r="O5" s="452">
        <f>tertiair!O16</f>
        <v>14.691782297523464</v>
      </c>
      <c r="P5" s="453">
        <f>tertiair!P16</f>
        <v>0</v>
      </c>
      <c r="Q5" s="451">
        <f t="shared" ref="Q5:Q14" ca="1" si="0">SUM(B5:P5)</f>
        <v>31514.218351244199</v>
      </c>
    </row>
    <row r="6" spans="1:17">
      <c r="A6" s="451" t="s">
        <v>193</v>
      </c>
      <c r="B6" s="452">
        <f>'openbare verlichting'!B8</f>
        <v>1047.048</v>
      </c>
      <c r="C6" s="452"/>
      <c r="D6" s="452"/>
      <c r="E6" s="452"/>
      <c r="F6" s="452"/>
      <c r="G6" s="452"/>
      <c r="H6" s="452"/>
      <c r="I6" s="452"/>
      <c r="J6" s="452"/>
      <c r="K6" s="452"/>
      <c r="L6" s="452"/>
      <c r="M6" s="452"/>
      <c r="N6" s="452"/>
      <c r="O6" s="452"/>
      <c r="P6" s="453"/>
      <c r="Q6" s="451">
        <f t="shared" si="0"/>
        <v>1047.048</v>
      </c>
    </row>
    <row r="7" spans="1:17">
      <c r="A7" s="451" t="s">
        <v>111</v>
      </c>
      <c r="B7" s="452">
        <f>landbouw!B8</f>
        <v>1105.6737919999998</v>
      </c>
      <c r="C7" s="452">
        <f>landbouw!C8</f>
        <v>0</v>
      </c>
      <c r="D7" s="452">
        <f>landbouw!D8</f>
        <v>793.37356245400008</v>
      </c>
      <c r="E7" s="452">
        <f>landbouw!E8</f>
        <v>34.507714442084094</v>
      </c>
      <c r="F7" s="452">
        <f>landbouw!F8</f>
        <v>3907.5736641665694</v>
      </c>
      <c r="G7" s="452">
        <f>landbouw!G8</f>
        <v>0</v>
      </c>
      <c r="H7" s="452">
        <f>landbouw!H8</f>
        <v>0</v>
      </c>
      <c r="I7" s="452">
        <f>landbouw!I8</f>
        <v>0</v>
      </c>
      <c r="J7" s="452">
        <f>landbouw!J8</f>
        <v>304.62079747654752</v>
      </c>
      <c r="K7" s="452">
        <f>landbouw!K8</f>
        <v>0</v>
      </c>
      <c r="L7" s="452">
        <f>landbouw!L8</f>
        <v>0</v>
      </c>
      <c r="M7" s="452">
        <f>landbouw!M8</f>
        <v>0</v>
      </c>
      <c r="N7" s="452">
        <f>landbouw!N8</f>
        <v>0</v>
      </c>
      <c r="O7" s="452">
        <f>landbouw!O8</f>
        <v>0</v>
      </c>
      <c r="P7" s="453">
        <f>landbouw!P8</f>
        <v>0</v>
      </c>
      <c r="Q7" s="451">
        <f t="shared" si="0"/>
        <v>6145.7495305392013</v>
      </c>
    </row>
    <row r="8" spans="1:17">
      <c r="A8" s="451" t="s">
        <v>625</v>
      </c>
      <c r="B8" s="452">
        <f>industrie!B18</f>
        <v>83323.800187999994</v>
      </c>
      <c r="C8" s="452">
        <f>industrie!C18</f>
        <v>3195</v>
      </c>
      <c r="D8" s="452">
        <f>industrie!D18</f>
        <v>33025.095611892</v>
      </c>
      <c r="E8" s="452">
        <f>industrie!E18</f>
        <v>565.52888435839657</v>
      </c>
      <c r="F8" s="452">
        <f>industrie!F18</f>
        <v>5553.5262535181555</v>
      </c>
      <c r="G8" s="452">
        <f>industrie!G18</f>
        <v>0</v>
      </c>
      <c r="H8" s="452">
        <f>industrie!H18</f>
        <v>0</v>
      </c>
      <c r="I8" s="452">
        <f>industrie!I18</f>
        <v>0</v>
      </c>
      <c r="J8" s="452">
        <f>industrie!J18</f>
        <v>30.737073284141964</v>
      </c>
      <c r="K8" s="452">
        <f>industrie!K18</f>
        <v>0</v>
      </c>
      <c r="L8" s="452">
        <f>industrie!L18</f>
        <v>0</v>
      </c>
      <c r="M8" s="452">
        <f>industrie!M18</f>
        <v>0</v>
      </c>
      <c r="N8" s="452">
        <f>industrie!N18</f>
        <v>4665.3823609070987</v>
      </c>
      <c r="O8" s="452">
        <f>industrie!O18</f>
        <v>0</v>
      </c>
      <c r="P8" s="453">
        <f>industrie!P18</f>
        <v>0</v>
      </c>
      <c r="Q8" s="451">
        <f t="shared" si="0"/>
        <v>130359.07037195978</v>
      </c>
    </row>
    <row r="9" spans="1:17" s="457" customFormat="1">
      <c r="A9" s="455" t="s">
        <v>551</v>
      </c>
      <c r="B9" s="456">
        <f>transport!B14</f>
        <v>46.76248688288203</v>
      </c>
      <c r="C9" s="456">
        <f>transport!C14</f>
        <v>0</v>
      </c>
      <c r="D9" s="456">
        <f>transport!D14</f>
        <v>218.10876250054849</v>
      </c>
      <c r="E9" s="456">
        <f>transport!E14</f>
        <v>179.50473569863243</v>
      </c>
      <c r="F9" s="456">
        <f>transport!F14</f>
        <v>0</v>
      </c>
      <c r="G9" s="456">
        <f>transport!G14</f>
        <v>73882.180780701325</v>
      </c>
      <c r="H9" s="456">
        <f>transport!H14</f>
        <v>20174.858232496379</v>
      </c>
      <c r="I9" s="456">
        <f>transport!I14</f>
        <v>0</v>
      </c>
      <c r="J9" s="456">
        <f>transport!J14</f>
        <v>0</v>
      </c>
      <c r="K9" s="456">
        <f>transport!K14</f>
        <v>0</v>
      </c>
      <c r="L9" s="456">
        <f>transport!L14</f>
        <v>0</v>
      </c>
      <c r="M9" s="456">
        <f>transport!M14</f>
        <v>5594.4893971675201</v>
      </c>
      <c r="N9" s="456">
        <f>transport!N14</f>
        <v>0</v>
      </c>
      <c r="O9" s="456">
        <f>transport!O14</f>
        <v>0</v>
      </c>
      <c r="P9" s="456">
        <f>transport!P14</f>
        <v>0</v>
      </c>
      <c r="Q9" s="455">
        <f>SUM(B9:P9)</f>
        <v>100095.90439544729</v>
      </c>
    </row>
    <row r="10" spans="1:17">
      <c r="A10" s="451" t="s">
        <v>541</v>
      </c>
      <c r="B10" s="452">
        <f>transport!B54</f>
        <v>0</v>
      </c>
      <c r="C10" s="452">
        <f>transport!C54</f>
        <v>0</v>
      </c>
      <c r="D10" s="452">
        <f>transport!D54</f>
        <v>0</v>
      </c>
      <c r="E10" s="452">
        <f>transport!E54</f>
        <v>0</v>
      </c>
      <c r="F10" s="452">
        <f>transport!F54</f>
        <v>0</v>
      </c>
      <c r="G10" s="452">
        <f>transport!G54</f>
        <v>723.33301892681254</v>
      </c>
      <c r="H10" s="452">
        <f>transport!H54</f>
        <v>0</v>
      </c>
      <c r="I10" s="452">
        <f>transport!I54</f>
        <v>0</v>
      </c>
      <c r="J10" s="452">
        <f>transport!J54</f>
        <v>0</v>
      </c>
      <c r="K10" s="452">
        <f>transport!K54</f>
        <v>0</v>
      </c>
      <c r="L10" s="452">
        <f>transport!L54</f>
        <v>0</v>
      </c>
      <c r="M10" s="452">
        <f>transport!M54</f>
        <v>40.196604112134999</v>
      </c>
      <c r="N10" s="452">
        <f>transport!N54</f>
        <v>0</v>
      </c>
      <c r="O10" s="452">
        <f>transport!O54</f>
        <v>0</v>
      </c>
      <c r="P10" s="453">
        <f>transport!P54</f>
        <v>0</v>
      </c>
      <c r="Q10" s="451">
        <f t="shared" si="0"/>
        <v>763.52962303894753</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850.67603799999995</v>
      </c>
      <c r="C14" s="459"/>
      <c r="D14" s="459">
        <f>'SEAP template'!E25</f>
        <v>1579.107825</v>
      </c>
      <c r="E14" s="459"/>
      <c r="F14" s="459"/>
      <c r="G14" s="459"/>
      <c r="H14" s="459"/>
      <c r="I14" s="459"/>
      <c r="J14" s="459"/>
      <c r="K14" s="459"/>
      <c r="L14" s="459"/>
      <c r="M14" s="459"/>
      <c r="N14" s="459"/>
      <c r="O14" s="459"/>
      <c r="P14" s="460"/>
      <c r="Q14" s="451">
        <f t="shared" si="0"/>
        <v>2429.7838630000001</v>
      </c>
    </row>
    <row r="15" spans="1:17" s="463" customFormat="1">
      <c r="A15" s="461" t="s">
        <v>545</v>
      </c>
      <c r="B15" s="462">
        <f ca="1">SUM(B4:B14)</f>
        <v>131238.21422580359</v>
      </c>
      <c r="C15" s="462">
        <f t="shared" ref="C15:Q15" ca="1" si="1">SUM(C4:C14)</f>
        <v>3272.1428571428573</v>
      </c>
      <c r="D15" s="462">
        <f t="shared" ca="1" si="1"/>
        <v>125243.16401774483</v>
      </c>
      <c r="E15" s="462">
        <f t="shared" si="1"/>
        <v>11692.250105711109</v>
      </c>
      <c r="F15" s="462">
        <f t="shared" ca="1" si="1"/>
        <v>23753.146635720448</v>
      </c>
      <c r="G15" s="462">
        <f t="shared" si="1"/>
        <v>74605.513799628141</v>
      </c>
      <c r="H15" s="462">
        <f t="shared" si="1"/>
        <v>20174.858232496379</v>
      </c>
      <c r="I15" s="462">
        <f t="shared" si="1"/>
        <v>0</v>
      </c>
      <c r="J15" s="462">
        <f t="shared" si="1"/>
        <v>376.20301978705015</v>
      </c>
      <c r="K15" s="462">
        <f t="shared" si="1"/>
        <v>0</v>
      </c>
      <c r="L15" s="462">
        <f t="shared" ca="1" si="1"/>
        <v>0</v>
      </c>
      <c r="M15" s="462">
        <f t="shared" si="1"/>
        <v>5634.6860012796551</v>
      </c>
      <c r="N15" s="462">
        <f t="shared" ca="1" si="1"/>
        <v>22150.585274557889</v>
      </c>
      <c r="O15" s="462">
        <f t="shared" si="1"/>
        <v>393.62780220044652</v>
      </c>
      <c r="P15" s="462">
        <f t="shared" si="1"/>
        <v>537.23192469193623</v>
      </c>
      <c r="Q15" s="462">
        <f t="shared" ca="1" si="1"/>
        <v>419071.6238967643</v>
      </c>
    </row>
    <row r="17" spans="1:17">
      <c r="A17" s="464" t="s">
        <v>546</v>
      </c>
      <c r="B17" s="781">
        <f ca="1">huishoudens!B10</f>
        <v>0.21266863427815547</v>
      </c>
      <c r="C17" s="781">
        <f ca="1">huishoudens!C10</f>
        <v>0.23764705882352946</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6912.4192188981624</v>
      </c>
      <c r="C22" s="452">
        <f t="shared" ref="C22:C32" ca="1" si="3">C4*$C$17</f>
        <v>0</v>
      </c>
      <c r="D22" s="452">
        <f t="shared" ref="D22:D32" si="4">D4*$D$17</f>
        <v>14737.025892159119</v>
      </c>
      <c r="E22" s="452">
        <f t="shared" ref="E22:E32" si="5">E4*$E$17</f>
        <v>2431.8506383161953</v>
      </c>
      <c r="F22" s="452">
        <f t="shared" ref="F22:F32" si="6">F4*$F$17</f>
        <v>3451.6666712648212</v>
      </c>
      <c r="G22" s="452">
        <f t="shared" ref="G22:G32" si="7">G4*$G$17</f>
        <v>0</v>
      </c>
      <c r="H22" s="452">
        <f t="shared" ref="H22:H32" si="8">H4*$H$17</f>
        <v>0</v>
      </c>
      <c r="I22" s="452">
        <f t="shared" ref="I22:I32" si="9">I4*$I$17</f>
        <v>0</v>
      </c>
      <c r="J22" s="452">
        <f t="shared" ref="J22:J32" si="10">J4*$J$17</f>
        <v>14.451774376930732</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27547.41419501523</v>
      </c>
    </row>
    <row r="23" spans="1:17">
      <c r="A23" s="451" t="s">
        <v>155</v>
      </c>
      <c r="B23" s="452">
        <f t="shared" ca="1" si="2"/>
        <v>2628.8003478386954</v>
      </c>
      <c r="C23" s="452">
        <f t="shared" ca="1" si="3"/>
        <v>18.3327731092437</v>
      </c>
      <c r="D23" s="452">
        <f t="shared" ca="1" si="4"/>
        <v>3367.7247155323339</v>
      </c>
      <c r="E23" s="452">
        <f t="shared" si="5"/>
        <v>45.334252748928044</v>
      </c>
      <c r="F23" s="452">
        <f t="shared" ca="1" si="6"/>
        <v>364.30980245071703</v>
      </c>
      <c r="G23" s="452">
        <f t="shared" si="7"/>
        <v>0</v>
      </c>
      <c r="H23" s="452">
        <f t="shared" si="8"/>
        <v>0</v>
      </c>
      <c r="I23" s="452">
        <f t="shared" si="9"/>
        <v>0</v>
      </c>
      <c r="J23" s="452">
        <f t="shared" si="10"/>
        <v>7.4083784009557549E-3</v>
      </c>
      <c r="K23" s="452">
        <f t="shared" si="11"/>
        <v>0</v>
      </c>
      <c r="L23" s="452">
        <f t="shared" ca="1" si="12"/>
        <v>0</v>
      </c>
      <c r="M23" s="452">
        <f t="shared" si="13"/>
        <v>0</v>
      </c>
      <c r="N23" s="452">
        <f t="shared" ca="1" si="14"/>
        <v>0</v>
      </c>
      <c r="O23" s="452">
        <f t="shared" si="15"/>
        <v>0</v>
      </c>
      <c r="P23" s="453">
        <f t="shared" si="16"/>
        <v>0</v>
      </c>
      <c r="Q23" s="451">
        <f t="shared" ref="Q23:Q31" ca="1" si="17">SUM(B23:P23)</f>
        <v>6424.5093000583183</v>
      </c>
    </row>
    <row r="24" spans="1:17">
      <c r="A24" s="451" t="s">
        <v>193</v>
      </c>
      <c r="B24" s="452">
        <f t="shared" ca="1" si="2"/>
        <v>222.67426818367412</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222.67426818367412</v>
      </c>
    </row>
    <row r="25" spans="1:17">
      <c r="A25" s="451" t="s">
        <v>111</v>
      </c>
      <c r="B25" s="452">
        <f t="shared" ca="1" si="2"/>
        <v>235.1421353017893</v>
      </c>
      <c r="C25" s="452">
        <f t="shared" ca="1" si="3"/>
        <v>0</v>
      </c>
      <c r="D25" s="452">
        <f t="shared" si="4"/>
        <v>160.26145961570802</v>
      </c>
      <c r="E25" s="452">
        <f t="shared" si="5"/>
        <v>7.8332511783530894</v>
      </c>
      <c r="F25" s="452">
        <f t="shared" si="6"/>
        <v>1043.3221683324741</v>
      </c>
      <c r="G25" s="452">
        <f t="shared" si="7"/>
        <v>0</v>
      </c>
      <c r="H25" s="452">
        <f t="shared" si="8"/>
        <v>0</v>
      </c>
      <c r="I25" s="452">
        <f t="shared" si="9"/>
        <v>0</v>
      </c>
      <c r="J25" s="452">
        <f t="shared" si="10"/>
        <v>107.83576230669782</v>
      </c>
      <c r="K25" s="452">
        <f t="shared" si="11"/>
        <v>0</v>
      </c>
      <c r="L25" s="452">
        <f t="shared" si="12"/>
        <v>0</v>
      </c>
      <c r="M25" s="452">
        <f t="shared" si="13"/>
        <v>0</v>
      </c>
      <c r="N25" s="452">
        <f t="shared" si="14"/>
        <v>0</v>
      </c>
      <c r="O25" s="452">
        <f t="shared" si="15"/>
        <v>0</v>
      </c>
      <c r="P25" s="453">
        <f t="shared" si="16"/>
        <v>0</v>
      </c>
      <c r="Q25" s="451">
        <f t="shared" ca="1" si="17"/>
        <v>1554.3947767350226</v>
      </c>
    </row>
    <row r="26" spans="1:17">
      <c r="A26" s="451" t="s">
        <v>625</v>
      </c>
      <c r="B26" s="452">
        <f t="shared" ca="1" si="2"/>
        <v>17720.358788847872</v>
      </c>
      <c r="C26" s="452">
        <f t="shared" ca="1" si="3"/>
        <v>759.28235294117667</v>
      </c>
      <c r="D26" s="452">
        <f t="shared" si="4"/>
        <v>6671.0693136021846</v>
      </c>
      <c r="E26" s="452">
        <f t="shared" si="5"/>
        <v>128.37505674935602</v>
      </c>
      <c r="F26" s="452">
        <f t="shared" si="6"/>
        <v>1482.7915096893475</v>
      </c>
      <c r="G26" s="452">
        <f t="shared" si="7"/>
        <v>0</v>
      </c>
      <c r="H26" s="452">
        <f t="shared" si="8"/>
        <v>0</v>
      </c>
      <c r="I26" s="452">
        <f t="shared" si="9"/>
        <v>0</v>
      </c>
      <c r="J26" s="452">
        <f t="shared" si="10"/>
        <v>10.880923942586255</v>
      </c>
      <c r="K26" s="452">
        <f t="shared" si="11"/>
        <v>0</v>
      </c>
      <c r="L26" s="452">
        <f t="shared" si="12"/>
        <v>0</v>
      </c>
      <c r="M26" s="452">
        <f t="shared" si="13"/>
        <v>0</v>
      </c>
      <c r="N26" s="452">
        <f t="shared" si="14"/>
        <v>0</v>
      </c>
      <c r="O26" s="452">
        <f t="shared" si="15"/>
        <v>0</v>
      </c>
      <c r="P26" s="453">
        <f t="shared" si="16"/>
        <v>0</v>
      </c>
      <c r="Q26" s="451">
        <f t="shared" ca="1" si="17"/>
        <v>26772.757945772522</v>
      </c>
    </row>
    <row r="27" spans="1:17" s="457" customFormat="1">
      <c r="A27" s="455" t="s">
        <v>551</v>
      </c>
      <c r="B27" s="775">
        <f t="shared" ca="1" si="2"/>
        <v>9.9449142208326808</v>
      </c>
      <c r="C27" s="456">
        <f t="shared" ca="1" si="3"/>
        <v>0</v>
      </c>
      <c r="D27" s="456">
        <f t="shared" si="4"/>
        <v>44.057970025110798</v>
      </c>
      <c r="E27" s="456">
        <f t="shared" si="5"/>
        <v>40.74757500358956</v>
      </c>
      <c r="F27" s="456">
        <f t="shared" si="6"/>
        <v>0</v>
      </c>
      <c r="G27" s="456">
        <f t="shared" si="7"/>
        <v>19726.542268447254</v>
      </c>
      <c r="H27" s="456">
        <f t="shared" si="8"/>
        <v>5023.5396998915985</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24844.832427588386</v>
      </c>
    </row>
    <row r="28" spans="1:17" ht="16.5" customHeight="1">
      <c r="A28" s="451" t="s">
        <v>541</v>
      </c>
      <c r="B28" s="452">
        <f t="shared" ca="1" si="2"/>
        <v>0</v>
      </c>
      <c r="C28" s="452">
        <f t="shared" ca="1" si="3"/>
        <v>0</v>
      </c>
      <c r="D28" s="452">
        <f t="shared" si="4"/>
        <v>0</v>
      </c>
      <c r="E28" s="452">
        <f t="shared" si="5"/>
        <v>0</v>
      </c>
      <c r="F28" s="452">
        <f t="shared" si="6"/>
        <v>0</v>
      </c>
      <c r="G28" s="452">
        <f t="shared" si="7"/>
        <v>193.12991605345897</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193.12991605345897</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180.91211121461228</v>
      </c>
      <c r="C32" s="452">
        <f t="shared" ca="1" si="3"/>
        <v>0</v>
      </c>
      <c r="D32" s="452">
        <f t="shared" si="4"/>
        <v>318.97978065000001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499.89189186461226</v>
      </c>
    </row>
    <row r="33" spans="1:17" s="463" customFormat="1">
      <c r="A33" s="461" t="s">
        <v>545</v>
      </c>
      <c r="B33" s="462">
        <f ca="1">SUM(B22:B32)</f>
        <v>27910.251784505639</v>
      </c>
      <c r="C33" s="462">
        <f t="shared" ref="C33:Q33" ca="1" si="19">SUM(C22:C32)</f>
        <v>777.61512605042037</v>
      </c>
      <c r="D33" s="462">
        <f t="shared" ca="1" si="19"/>
        <v>25299.119131584455</v>
      </c>
      <c r="E33" s="462">
        <f t="shared" si="19"/>
        <v>2654.1407739964225</v>
      </c>
      <c r="F33" s="462">
        <f t="shared" ca="1" si="19"/>
        <v>6342.0901517373595</v>
      </c>
      <c r="G33" s="462">
        <f t="shared" si="19"/>
        <v>19919.672184500712</v>
      </c>
      <c r="H33" s="462">
        <f t="shared" si="19"/>
        <v>5023.5396998915985</v>
      </c>
      <c r="I33" s="462">
        <f t="shared" si="19"/>
        <v>0</v>
      </c>
      <c r="J33" s="462">
        <f t="shared" si="19"/>
        <v>133.17586900461575</v>
      </c>
      <c r="K33" s="462">
        <f t="shared" si="19"/>
        <v>0</v>
      </c>
      <c r="L33" s="462">
        <f t="shared" ca="1" si="19"/>
        <v>0</v>
      </c>
      <c r="M33" s="462">
        <f t="shared" si="19"/>
        <v>0</v>
      </c>
      <c r="N33" s="462">
        <f t="shared" ca="1" si="19"/>
        <v>0</v>
      </c>
      <c r="O33" s="462">
        <f t="shared" si="19"/>
        <v>0</v>
      </c>
      <c r="P33" s="462">
        <f t="shared" si="19"/>
        <v>0</v>
      </c>
      <c r="Q33" s="462">
        <f t="shared" ca="1" si="19"/>
        <v>88059.604721271229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5120.0165051232807</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2290.5</v>
      </c>
      <c r="D8" s="1029">
        <f>'SEAP template'!D76</f>
        <v>2694.7058823529414</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544.33058823529416</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5120.0165051232807</v>
      </c>
      <c r="C10" s="1031">
        <f>SUM(C4:C9)</f>
        <v>2290.5</v>
      </c>
      <c r="D10" s="1031">
        <f t="shared" ref="D10:H10" si="0">SUM(D8:D9)</f>
        <v>2694.7058823529414</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544.33058823529416</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0.21266863427815547</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3272.1428571428573</v>
      </c>
      <c r="D17" s="1030">
        <f>'SEAP template'!D87</f>
        <v>3849.5798319327737</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777.61512605042037</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3272.1428571428573</v>
      </c>
      <c r="D20" s="1031">
        <f t="shared" ref="D20:H20" si="2">SUM(D17:D19)</f>
        <v>3849.5798319327737</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777.61512605042037</v>
      </c>
    </row>
    <row r="21" spans="1:16">
      <c r="B21" s="887"/>
    </row>
    <row r="22" spans="1:16">
      <c r="A22" s="464" t="s">
        <v>797</v>
      </c>
      <c r="B22" s="781" t="s">
        <v>795</v>
      </c>
      <c r="C22" s="781">
        <f ca="1">'EF ele_warmte'!B22</f>
        <v>0.23764705882352946</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0.21266863427815547</v>
      </c>
      <c r="C17" s="501">
        <f ca="1">'EF ele_warmte'!B22</f>
        <v>0.23764705882352946</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2020-06-20T15:35:11Z</dcterms:modified>
</cp:coreProperties>
</file>