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7\"/>
    </mc:Choice>
  </mc:AlternateContent>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E78" i="22" l="1"/>
  <c r="E42" i="22"/>
  <c r="E34" i="50"/>
  <c r="E32" i="50"/>
  <c r="E30" i="50"/>
  <c r="E28" i="50"/>
  <c r="AC25" i="5" l="1"/>
  <c r="AB25" i="5"/>
  <c r="AA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0" i="18" l="1"/>
  <c r="I33" i="48" l="1"/>
  <c r="K33" i="48"/>
  <c r="E32" i="48"/>
  <c r="F32" i="48"/>
  <c r="G32" i="48"/>
  <c r="H32" i="48"/>
  <c r="I32" i="48"/>
  <c r="J32" i="48"/>
  <c r="K32" i="48"/>
  <c r="L32" i="48"/>
  <c r="M32" i="48"/>
  <c r="N32" i="48"/>
  <c r="O32" i="48"/>
  <c r="P32" i="48"/>
  <c r="I15" i="48"/>
  <c r="K15" i="48"/>
  <c r="E25" i="14" l="1"/>
  <c r="E55" i="14" s="1"/>
  <c r="C25" i="14"/>
  <c r="D6" i="16"/>
  <c r="B14" i="48" l="1"/>
  <c r="R25" i="14"/>
  <c r="D14" i="48"/>
  <c r="D32" i="48" s="1"/>
  <c r="D5" i="17"/>
  <c r="B5" i="17"/>
  <c r="Q14" i="48" l="1"/>
  <c r="N18" i="18"/>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D5" i="13" l="1"/>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39" i="18" l="1"/>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T36" i="18"/>
  <c r="S36" i="18"/>
  <c r="E9" i="18" s="1"/>
  <c r="F77" i="14" s="1"/>
  <c r="F9" i="59" s="1"/>
  <c r="R36" i="18"/>
  <c r="Q36" i="18"/>
  <c r="P36" i="18"/>
  <c r="O36" i="18"/>
  <c r="N36" i="18"/>
  <c r="B9" i="18" s="1"/>
  <c r="M36" i="18"/>
  <c r="W32" i="18"/>
  <c r="V32" i="18"/>
  <c r="U32" i="18"/>
  <c r="T32" i="18"/>
  <c r="L6" i="17" s="1"/>
  <c r="L5" i="17" s="1"/>
  <c r="S32" i="18"/>
  <c r="R32" i="18"/>
  <c r="Q32" i="18"/>
  <c r="P32" i="18"/>
  <c r="O32" i="18"/>
  <c r="N32" i="18"/>
  <c r="M32" i="18"/>
  <c r="W31" i="18"/>
  <c r="V31" i="18"/>
  <c r="U31" i="18"/>
  <c r="T31" i="18"/>
  <c r="S31" i="18"/>
  <c r="R31" i="18"/>
  <c r="Q31" i="18"/>
  <c r="P31" i="18"/>
  <c r="O31" i="18"/>
  <c r="C13" i="15" s="1"/>
  <c r="N31" i="18"/>
  <c r="M31" i="18"/>
  <c r="W30" i="18"/>
  <c r="V30" i="18"/>
  <c r="U30" i="18"/>
  <c r="T30" i="18"/>
  <c r="S30" i="18"/>
  <c r="F16" i="16" s="1"/>
  <c r="R30" i="18"/>
  <c r="Q30" i="18"/>
  <c r="P30" i="18"/>
  <c r="D16" i="16" s="1"/>
  <c r="O30" i="18"/>
  <c r="N30" i="18"/>
  <c r="W29" i="18"/>
  <c r="V29" i="18"/>
  <c r="U29" i="18"/>
  <c r="T29" i="18"/>
  <c r="S29" i="18"/>
  <c r="R29" i="18"/>
  <c r="Q29" i="18"/>
  <c r="P29" i="18"/>
  <c r="O29" i="18"/>
  <c r="B17" i="18" s="1"/>
  <c r="N29" i="18"/>
  <c r="B8" i="18" s="1"/>
  <c r="M29"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C6"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J15" i="16"/>
  <c r="D15" i="16"/>
  <c r="D14" i="16"/>
  <c r="D13" i="16"/>
  <c r="D12" i="16"/>
  <c r="D11" i="16"/>
  <c r="D10" i="16"/>
  <c r="D9" i="16"/>
  <c r="D8" i="16"/>
  <c r="D7"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D6" i="17" l="1"/>
  <c r="I9" i="18"/>
  <c r="I77" i="14" s="1"/>
  <c r="I9" i="59" s="1"/>
  <c r="G20" i="59"/>
  <c r="B13" i="15"/>
  <c r="F6" i="17"/>
  <c r="N20" i="59"/>
  <c r="E20" i="59"/>
  <c r="O20" i="59"/>
  <c r="D89" i="14"/>
  <c r="D19" i="59" s="1"/>
  <c r="O19" i="18"/>
  <c r="K10" i="18"/>
  <c r="N77" i="14"/>
  <c r="L10" i="18"/>
  <c r="O77" i="14"/>
  <c r="H16" i="14"/>
  <c r="B8" i="9"/>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45" i="18"/>
  <c r="B49" i="18" s="1"/>
  <c r="B16" i="16"/>
  <c r="K9" i="14"/>
  <c r="H77" i="14"/>
  <c r="J11" i="48"/>
  <c r="J29" i="48" s="1"/>
  <c r="M9" i="14"/>
  <c r="L11" i="48"/>
  <c r="O19" i="14"/>
  <c r="O22" i="14" s="1"/>
  <c r="N10" i="48"/>
  <c r="N28" i="48" s="1"/>
  <c r="J19" i="14"/>
  <c r="J22" i="14" s="1"/>
  <c r="J27" i="14" s="1"/>
  <c r="I10" i="48"/>
  <c r="I28" i="48" s="1"/>
  <c r="J19" i="19"/>
  <c r="K39" i="14" s="1"/>
  <c r="N19" i="19"/>
  <c r="O39" i="14" s="1"/>
  <c r="C45" i="18"/>
  <c r="I48"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B6" i="48"/>
  <c r="Q6" i="48"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B47" i="13" s="1"/>
  <c r="P8" i="48"/>
  <c r="P26" i="48" s="1"/>
  <c r="D18" i="16"/>
  <c r="D22" i="16" s="1"/>
  <c r="E43" i="14" s="1"/>
  <c r="G31" i="20"/>
  <c r="H48" i="14" s="1"/>
  <c r="G12" i="22"/>
  <c r="D16" i="15"/>
  <c r="K24" i="14"/>
  <c r="K26" i="14" s="1"/>
  <c r="E8" i="17"/>
  <c r="F24" i="14" s="1"/>
  <c r="F26" i="14" s="1"/>
  <c r="O18" i="16"/>
  <c r="O22" i="16" s="1"/>
  <c r="P43" i="14" s="1"/>
  <c r="B36" i="13"/>
  <c r="H13" i="48"/>
  <c r="H31" i="48" s="1"/>
  <c r="H12" i="22"/>
  <c r="B34" i="13"/>
  <c r="B46" i="13" s="1"/>
  <c r="E5" i="13" s="1"/>
  <c r="E8" i="13" s="1"/>
  <c r="E12" i="13" s="1"/>
  <c r="F41" i="14" s="1"/>
  <c r="N8" i="17"/>
  <c r="N12" i="17" s="1"/>
  <c r="O54" i="14" s="1"/>
  <c r="O56" i="14" s="1"/>
  <c r="L8" i="17"/>
  <c r="L12" i="17" s="1"/>
  <c r="M54" i="14" s="1"/>
  <c r="M56" i="14" s="1"/>
  <c r="M50" i="22"/>
  <c r="M54" i="22" s="1"/>
  <c r="M10" i="48" s="1"/>
  <c r="G51" i="22"/>
  <c r="G50" i="22" s="1"/>
  <c r="G54" i="22" s="1"/>
  <c r="H19" i="14" s="1"/>
  <c r="E24" i="14"/>
  <c r="E26" i="14" s="1"/>
  <c r="B9" i="48"/>
  <c r="E48" i="18"/>
  <c r="E8" i="18" s="1"/>
  <c r="F76" i="14" s="1"/>
  <c r="F7" i="48"/>
  <c r="F25" i="48" s="1"/>
  <c r="D48" i="18"/>
  <c r="O9" i="18"/>
  <c r="M29" i="48"/>
  <c r="F12" i="17"/>
  <c r="G54" i="14" s="1"/>
  <c r="G56" i="14" s="1"/>
  <c r="C49" i="18"/>
  <c r="C48" i="18"/>
  <c r="B10" i="18"/>
  <c r="E49" i="18"/>
  <c r="E17" i="18" s="1"/>
  <c r="F87" i="14" s="1"/>
  <c r="G49" i="18"/>
  <c r="D7" i="48"/>
  <c r="D25" i="48" s="1"/>
  <c r="H48" i="18"/>
  <c r="G48" i="18"/>
  <c r="D49" i="18"/>
  <c r="L28" i="48"/>
  <c r="H49" i="18"/>
  <c r="I49" i="18"/>
  <c r="H17" i="18" s="1"/>
  <c r="F49" i="18"/>
  <c r="F48" i="18"/>
  <c r="H10" i="18"/>
  <c r="M78" i="14"/>
  <c r="B48"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H5" i="22"/>
  <c r="H14" i="22" s="1"/>
  <c r="E5" i="15"/>
  <c r="O20" i="15"/>
  <c r="P40" i="14" s="1"/>
  <c r="P10" i="14"/>
  <c r="P20" i="15"/>
  <c r="Q40" i="14" s="1"/>
  <c r="Q46" i="14" s="1"/>
  <c r="Q61" i="14" s="1"/>
  <c r="Q10" i="14"/>
  <c r="Q16" i="14" s="1"/>
  <c r="Q27" i="14" s="1"/>
  <c r="J5" i="15"/>
  <c r="F4" i="48"/>
  <c r="F22" i="48" s="1"/>
  <c r="F5" i="15"/>
  <c r="F16" i="15" s="1"/>
  <c r="B5" i="15"/>
  <c r="B16" i="15" s="1"/>
  <c r="B5" i="16"/>
  <c r="B18" i="16" s="1"/>
  <c r="C13" i="14" s="1"/>
  <c r="N5" i="15"/>
  <c r="N16" i="15" s="1"/>
  <c r="F12" i="13"/>
  <c r="G41" i="14" s="1"/>
  <c r="P5" i="48"/>
  <c r="P23" i="48" s="1"/>
  <c r="F13" i="16"/>
  <c r="E13" i="16"/>
  <c r="N13" i="16"/>
  <c r="J13" i="16"/>
  <c r="N12" i="16"/>
  <c r="J12" i="16"/>
  <c r="F12" i="16"/>
  <c r="E12" i="16"/>
  <c r="Q11" i="48"/>
  <c r="O5" i="48"/>
  <c r="R9" i="14"/>
  <c r="O29" i="48"/>
  <c r="H23" i="48"/>
  <c r="L27" i="48"/>
  <c r="B48" i="13"/>
  <c r="C48" i="13" s="1"/>
  <c r="N5" i="13" s="1"/>
  <c r="N8" i="13" s="1"/>
  <c r="N4" i="48" s="1"/>
  <c r="N22" i="48" s="1"/>
  <c r="M30" i="48"/>
  <c r="M26" i="48"/>
  <c r="M25" i="48"/>
  <c r="C50" i="13"/>
  <c r="J5" i="13" s="1"/>
  <c r="J8" i="13" s="1"/>
  <c r="C5" i="48"/>
  <c r="E13" i="14" l="1"/>
  <c r="G14" i="22"/>
  <c r="F90" i="14"/>
  <c r="F17" i="59"/>
  <c r="F20" i="59" s="1"/>
  <c r="F78" i="14"/>
  <c r="F8" i="59"/>
  <c r="F10" i="59" s="1"/>
  <c r="P15" i="48"/>
  <c r="P33" i="48"/>
  <c r="O8" i="48"/>
  <c r="O26" i="48" s="1"/>
  <c r="O15" i="48"/>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G58" i="22"/>
  <c r="H49" i="14" s="1"/>
  <c r="G10" i="48"/>
  <c r="G9" i="48"/>
  <c r="R18" i="14"/>
  <c r="Q13" i="48"/>
  <c r="I20" i="14"/>
  <c r="I22" i="14" s="1"/>
  <c r="I27" i="14" s="1"/>
  <c r="M18" i="22"/>
  <c r="N50" i="14" s="1"/>
  <c r="M9" i="48"/>
  <c r="M15" i="48" s="1"/>
  <c r="N20" i="14"/>
  <c r="B8" i="48"/>
  <c r="J5" i="48"/>
  <c r="J23" i="48" s="1"/>
  <c r="J63" i="14"/>
  <c r="L63" i="14"/>
  <c r="N20" i="15"/>
  <c r="O10" i="14"/>
  <c r="L5" i="48"/>
  <c r="M10" i="14"/>
  <c r="M16" i="14" s="1"/>
  <c r="F20" i="15"/>
  <c r="G10" i="14"/>
  <c r="C10" i="14"/>
  <c r="B5" i="48"/>
  <c r="Q63" i="14"/>
  <c r="N5" i="16"/>
  <c r="F5" i="48"/>
  <c r="E5" i="16"/>
  <c r="J5" i="16"/>
  <c r="C35" i="13"/>
  <c r="F5" i="16"/>
  <c r="C36" i="13"/>
  <c r="O23" i="48"/>
  <c r="O33" i="48" s="1"/>
  <c r="N12" i="13"/>
  <c r="O41" i="14" s="1"/>
  <c r="O11" i="14"/>
  <c r="C38" i="13"/>
  <c r="C39" i="13"/>
  <c r="C32" i="13"/>
  <c r="C34" i="13"/>
  <c r="E4" i="48"/>
  <c r="E22" i="48" s="1"/>
  <c r="F11" i="14"/>
  <c r="J4" i="48"/>
  <c r="J12" i="13"/>
  <c r="K41" i="14" s="1"/>
  <c r="K11" i="14"/>
  <c r="N5" i="48"/>
  <c r="L20" i="15"/>
  <c r="I76" i="14" l="1"/>
  <c r="I8" i="59" s="1"/>
  <c r="I10" i="59" s="1"/>
  <c r="E27" i="14"/>
  <c r="B15" i="48"/>
  <c r="J20" i="15"/>
  <c r="K40" i="14" s="1"/>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I78" i="14"/>
  <c r="H20" i="14"/>
  <c r="H22" i="14" s="1"/>
  <c r="H27" i="14" s="1"/>
  <c r="H18" i="22"/>
  <c r="I50" i="14" s="1"/>
  <c r="G28" i="48"/>
  <c r="Q10" i="48"/>
  <c r="H9" i="48"/>
  <c r="M27" i="48"/>
  <c r="M33" i="48" s="1"/>
  <c r="G27" i="48"/>
  <c r="M40" i="14"/>
  <c r="Q5" i="48"/>
  <c r="Q4" i="48"/>
  <c r="N23" i="48"/>
  <c r="R11" i="14"/>
  <c r="J22" i="48"/>
  <c r="R10" i="14"/>
  <c r="J90" i="14" l="1"/>
  <c r="J17" i="59"/>
  <c r="J20" i="59" s="1"/>
  <c r="Q90" i="14"/>
  <c r="B17" i="6" s="1"/>
  <c r="B22" i="6" s="1"/>
  <c r="P17" i="59"/>
  <c r="P20" i="59" s="1"/>
  <c r="G33" i="48"/>
  <c r="Q9" i="48"/>
  <c r="H15" i="48"/>
  <c r="F22" i="16"/>
  <c r="G43" i="14" s="1"/>
  <c r="G46" i="14" s="1"/>
  <c r="G61" i="14" s="1"/>
  <c r="G63" i="14" s="1"/>
  <c r="Q78" i="14" s="1"/>
  <c r="B9" i="6" s="1"/>
  <c r="F8" i="48"/>
  <c r="F15" i="48" s="1"/>
  <c r="O13" i="14"/>
  <c r="O16" i="14" s="1"/>
  <c r="O27" i="14" s="1"/>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C16" i="22" l="1"/>
  <c r="C20" i="16"/>
  <c r="C22" i="16" s="1"/>
  <c r="D43" i="14" s="1"/>
  <c r="C10" i="17"/>
  <c r="C12" i="17" s="1"/>
  <c r="D54" i="14" s="1"/>
  <c r="D56" i="14" s="1"/>
  <c r="C10" i="13"/>
  <c r="C12" i="13" s="1"/>
  <c r="C22" i="59"/>
  <c r="C56" i="22"/>
  <c r="C58" i="22" s="1"/>
  <c r="D49" i="14" s="1"/>
  <c r="D52" i="14" s="1"/>
  <c r="C17" i="49"/>
  <c r="C17" i="19"/>
  <c r="C19" i="19" s="1"/>
  <c r="D39" i="14" s="1"/>
  <c r="C18" i="15"/>
  <c r="C20" i="15" s="1"/>
  <c r="D40" i="14" s="1"/>
  <c r="C29" i="20"/>
  <c r="F26" i="48"/>
  <c r="F33" i="48" s="1"/>
  <c r="B90" i="14"/>
  <c r="B17" i="59"/>
  <c r="B20" i="59" s="1"/>
  <c r="C90" i="14"/>
  <c r="C17" i="59"/>
  <c r="C20" i="59" s="1"/>
  <c r="J26" i="48"/>
  <c r="J33" i="48" s="1"/>
  <c r="J15" i="48"/>
  <c r="E15" i="48"/>
  <c r="D41" i="14"/>
  <c r="O46" i="14"/>
  <c r="O61" i="14" s="1"/>
  <c r="O63" i="14" s="1"/>
  <c r="K46" i="14"/>
  <c r="K61" i="14" s="1"/>
  <c r="K63" i="14" s="1"/>
  <c r="F16" i="14"/>
  <c r="R13" i="14"/>
  <c r="R16" i="14" s="1"/>
  <c r="R27" i="14" s="1"/>
  <c r="Q8" i="48"/>
  <c r="Q15" i="48" s="1"/>
  <c r="D46" i="14" l="1"/>
  <c r="D61" i="14" s="1"/>
  <c r="D63" i="14" s="1"/>
  <c r="C17" i="48"/>
  <c r="C24" i="48" s="1"/>
  <c r="C28" i="48"/>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5" i="48" l="1"/>
  <c r="Q25" i="48" s="1"/>
  <c r="B31" i="48"/>
  <c r="Q31" i="48" s="1"/>
  <c r="B22" i="48"/>
  <c r="Q22" i="48" s="1"/>
  <c r="B26" i="48"/>
  <c r="Q26" i="48" s="1"/>
  <c r="B29" i="48"/>
  <c r="Q29" i="48" s="1"/>
  <c r="B28" i="48"/>
  <c r="Q28" i="48" s="1"/>
  <c r="B24" i="48"/>
  <c r="Q24" i="48" s="1"/>
  <c r="B27" i="48"/>
  <c r="Q27" i="48" s="1"/>
  <c r="B30" i="48"/>
  <c r="Q30" i="48" s="1"/>
  <c r="B23" i="48"/>
  <c r="Q23" i="48" s="1"/>
  <c r="R46" i="14"/>
  <c r="R61" i="14" s="1"/>
  <c r="C46" i="14"/>
  <c r="C56" i="14"/>
  <c r="E56" i="14"/>
  <c r="E61" i="14" s="1"/>
  <c r="E63" i="14" s="1"/>
  <c r="Q33" i="48" l="1"/>
  <c r="B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<sst xmlns="http://schemas.openxmlformats.org/spreadsheetml/2006/main" count="2411" uniqueCount="894">
  <si>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</si>
  <si>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</si>
  <si>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</si>
  <si>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</si>
  <si>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</si>
  <si>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</si>
  <si>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</si>
  <si>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</si>
  <si>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</si>
  <si>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</si>
  <si>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</si>
  <si>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</si>
  <si>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</si>
  <si>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</si>
  <si>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</si>
  <si>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</si>
  <si>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</si>
  <si>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</si>
  <si>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</si>
  <si>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</si>
  <si>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</si>
  <si>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</si>
  <si>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</si>
  <si>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</si>
  <si>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</si>
  <si>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</si>
  <si>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</si>
  <si>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</si>
  <si>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</si>
  <si>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</si>
  <si>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</si>
  <si>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</si>
  <si>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</si>
  <si>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</si>
  <si>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</si>
  <si>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</si>
  <si>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</si>
  <si>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</si>
  <si>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</si>
  <si>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</si>
  <si>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</si>
  <si>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</si>
  <si>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</si>
  <si>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</si>
  <si>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</si>
  <si>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</si>
  <si>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</si>
  <si>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</si>
  <si>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</si>
  <si>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</si>
  <si>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</si>
  <si>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</si>
  <si>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</si>
  <si>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</si>
  <si>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</si>
  <si>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</si>
  <si>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</si>
  <si>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</si>
  <si>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</si>
  <si>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</si>
  <si>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</si>
  <si>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</si>
  <si>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</si>
  <si>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</si>
  <si>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</si>
  <si>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</si>
  <si>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</si>
  <si>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</si>
  <si>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</si>
  <si>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</si>
  <si>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</si>
  <si>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</si>
  <si>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</si>
  <si>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</si>
  <si>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</si>
  <si>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</si>
  <si>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</si>
  <si>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</si>
  <si>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</si>
  <si>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</si>
  <si>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</si>
  <si>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</si>
  <si>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</si>
  <si>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</si>
  <si>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</si>
  <si>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</si>
  <si>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</si>
  <si>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</si>
  <si>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</si>
  <si>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</si>
  <si>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</si>
  <si>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</si>
  <si>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</si>
  <si>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</si>
  <si>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</si>
  <si>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</si>
  <si>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</si>
  <si>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</si>
  <si>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</si>
  <si>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</si>
  <si>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</si>
  <si>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</si>
  <si>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</si>
  <si>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</si>
  <si>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</si>
  <si>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</si>
  <si>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</si>
  <si>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</si>
  <si>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</si>
  <si>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</si>
  <si>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</si>
  <si>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</si>
  <si>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</si>
  <si>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</si>
  <si>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</si>
  <si>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</si>
  <si>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</si>
  <si>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</si>
  <si>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</si>
  <si>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</si>
  <si>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</si>
  <si>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</si>
  <si>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</si>
  <si>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</si>
  <si>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</si>
  <si>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</si>
  <si>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</si>
  <si>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</si>
  <si>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</si>
  <si>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</si>
  <si>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</si>
  <si>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</si>
  <si>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</si>
  <si>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</si>
  <si>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</si>
  <si>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</si>
  <si>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</si>
  <si>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</si>
  <si>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</si>
  <si>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</si>
  <si>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</si>
  <si>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</si>
  <si>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</si>
  <si>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</si>
  <si>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</si>
  <si>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</si>
  <si>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</si>
  <si>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</si>
  <si>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</si>
  <si>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</si>
  <si>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</si>
  <si>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</si>
  <si>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</si>
  <si>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</si>
  <si>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</si>
  <si>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</si>
  <si>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</si>
  <si>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</si>
  <si>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</si>
  <si>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</si>
  <si>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</si>
  <si>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</si>
  <si>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</si>
  <si>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</si>
  <si>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</si>
  <si>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</si>
  <si>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</si>
  <si>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</si>
  <si>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</si>
  <si>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</si>
  <si>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</si>
  <si>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</si>
  <si>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</si>
  <si>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</si>
  <si>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</si>
  <si>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</si>
  <si>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</si>
  <si>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</si>
  <si>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</si>
  <si>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</si>
  <si>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</si>
  <si>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</si>
  <si>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</si>
  <si>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</si>
  <si>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</si>
  <si>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</si>
  <si>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</si>
  <si>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</si>
  <si>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</si>
  <si>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</si>
  <si>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</si>
  <si>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</si>
  <si>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</si>
  <si>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</si>
  <si>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</si>
  <si>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</si>
  <si>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</si>
  <si>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</si>
  <si>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</si>
  <si>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</si>
  <si>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</si>
  <si>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</si>
  <si>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</si>
  <si>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</si>
  <si>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</si>
  <si>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</si>
  <si>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</si>
  <si>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</si>
  <si>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</si>
  <si>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</si>
  <si>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</si>
  <si>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</si>
  <si>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</si>
  <si>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</si>
  <si>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</si>
  <si>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</si>
  <si>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</si>
  <si>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</si>
  <si>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</si>
  <si>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</si>
  <si>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</si>
  <si>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</si>
  <si>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</si>
  <si>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</si>
  <si>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</si>
  <si>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</si>
  <si>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</si>
  <si>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</si>
  <si>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</si>
  <si>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</si>
  <si>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</si>
  <si>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</si>
  <si>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</si>
  <si>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</si>
  <si>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</si>
  <si>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</si>
  <si>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</si>
  <si>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</si>
  <si>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</si>
  <si>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</si>
  <si>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</si>
  <si>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</si>
  <si>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</si>
  <si>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</si>
  <si>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</si>
  <si>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</si>
  <si>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</si>
  <si>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</si>
  <si>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</si>
  <si>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</si>
  <si>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</si>
  <si>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</si>
  <si>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</si>
  <si>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</si>
  <si>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</si>
  <si>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</si>
  <si>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</si>
  <si>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</si>
  <si>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</si>
  <si>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</si>
  <si>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</si>
  <si>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</si>
  <si>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</si>
  <si>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</si>
  <si>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</si>
  <si>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</si>
  <si>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</si>
  <si>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</si>
  <si>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</si>
  <si>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</si>
  <si>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</si>
  <si>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</si>
  <si>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</si>
  <si>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</si>
  <si>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</si>
  <si>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</si>
  <si>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</si>
  <si>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</si>
  <si>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</si>
  <si>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</si>
  <si>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</si>
  <si>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</si>
  <si>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</si>
  <si>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</si>
  <si>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</si>
  <si>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</si>
  <si>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</si>
  <si>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</si>
  <si>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</si>
  <si>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</si>
  <si>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</si>
  <si>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</si>
  <si>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</si>
  <si>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</si>
  <si>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</si>
  <si>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</si>
  <si>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</si>
  <si>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</si>
  <si>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</si>
  <si>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</si>
  <si>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</si>
  <si>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</si>
  <si>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</si>
  <si>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</si>
  <si>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</si>
  <si>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</si>
  <si>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</si>
  <si>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</si>
  <si>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</si>
  <si>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</si>
  <si>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</si>
  <si>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</si>
  <si>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</si>
  <si>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</si>
  <si>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</si>
  <si>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</si>
  <si>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</si>
  <si>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</si>
  <si>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</si>
  <si>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</si>
  <si>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</si>
  <si>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</si>
  <si>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</si>
  <si>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</si>
  <si>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</si>
  <si>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</si>
  <si>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</si>
  <si>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</si>
  <si>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</si>
  <si>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</si>
  <si>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</si>
  <si>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</si>
  <si>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</si>
  <si>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</si>
  <si>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</si>
  <si>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</si>
  <si>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</si>
  <si>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</si>
  <si>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</si>
  <si>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</si>
  <si>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</si>
  <si>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</si>
  <si>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</si>
  <si>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</si>
  <si>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</si>
  <si>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</si>
  <si>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</si>
  <si>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</si>
  <si>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</si>
  <si>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</si>
  <si>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</si>
  <si>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</si>
  <si>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</si>
  <si>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</si>
  <si>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</si>
  <si>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</si>
  <si>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</si>
  <si>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</si>
  <si>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</si>
  <si>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</si>
  <si>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</si>
  <si>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</si>
  <si>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</si>
  <si>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</si>
  <si>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</si>
  <si>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</si>
  <si>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</si>
  <si>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</si>
  <si>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</si>
  <si>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</si>
  <si>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</si>
  <si>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</si>
  <si>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</si>
  <si>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</si>
  <si>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</si>
  <si>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</si>
  <si>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</si>
  <si>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</si>
  <si>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</si>
  <si>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</si>
  <si>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</si>
  <si>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</si>
  <si>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</si>
  <si>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</si>
  <si>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</si>
  <si>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</si>
  <si>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</si>
  <si>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</si>
  <si>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</si>
  <si>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</si>
  <si>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</si>
  <si>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</si>
  <si>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</si>
  <si>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</si>
  <si>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</si>
  <si>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</si>
  <si>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</si>
  <si>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</si>
  <si>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</si>
  <si>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</si>
  <si>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</si>
  <si>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</si>
  <si>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</si>
  <si>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</si>
  <si>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</si>
  <si>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</si>
  <si>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</si>
  <si>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</si>
  <si>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</si>
  <si>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</si>
  <si>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</si>
  <si>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</si>
  <si>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</si>
  <si>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</si>
  <si>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</si>
  <si>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</si>
  <si>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</si>
  <si>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</si>
  <si>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</si>
  <si>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</si>
  <si>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</si>
  <si>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</si>
  <si>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</si>
  <si>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</si>
  <si>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</si>
  <si>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</si>
  <si>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</si>
  <si>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</si>
  <si>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</si>
  <si>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</si>
  <si>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</si>
  <si>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</si>
  <si>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</si>
  <si>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</si>
  <si>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</si>
  <si>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</si>
  <si>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</si>
  <si>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</si>
  <si>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</si>
  <si>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</si>
  <si>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</si>
  <si>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</si>
  <si>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</si>
  <si>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</si>
  <si>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</si>
  <si>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</si>
  <si>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</si>
  <si>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</si>
  <si>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</si>
  <si>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</si>
  <si>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</si>
  <si>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</si>
  <si>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</si>
  <si>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</si>
  <si>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</si>
  <si>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</si>
  <si>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</si>
  <si>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</si>
  <si>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</si>
  <si>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</si>
  <si>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</si>
  <si>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</si>
  <si>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</si>
  <si>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</si>
  <si>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</si>
  <si>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</si>
  <si>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</si>
  <si>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</si>
  <si>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</si>
  <si>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</si>
  <si>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</si>
  <si>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</si>
  <si>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</si>
  <si>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</si>
  <si>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</si>
  <si>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</si>
  <si>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</si>
  <si>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</si>
  <si>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</si>
  <si>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</si>
  <si>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</si>
  <si>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</si>
  <si>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</si>
  <si>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</si>
  <si>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</si>
  <si>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</si>
  <si>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</si>
  <si>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</si>
  <si>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</si>
  <si>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</si>
  <si>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</si>
  <si>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</si>
  <si>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</si>
  <si>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</si>
  <si>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</si>
  <si>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</si>
  <si>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</si>
  <si>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</si>
  <si>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</si>
  <si>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</si>
  <si>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</si>
  <si>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</si>
  <si>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</si>
  <si>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</si>
  <si>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</si>
  <si>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</si>
  <si>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</si>
  <si>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</si>
  <si>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</si>
  <si>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</si>
  <si>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</si>
  <si>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</si>
  <si>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</si>
  <si>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</si>
  <si>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</si>
  <si>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</si>
  <si>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</si>
  <si>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</si>
  <si>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</si>
  <si>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</si>
  <si>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</si>
  <si>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</si>
  <si>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</si>
  <si>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</si>
  <si>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</si>
  <si>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</si>
  <si>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</si>
  <si>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</si>
  <si>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</si>
  <si>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</si>
  <si>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</si>
  <si>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</si>
  <si>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</si>
  <si>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</si>
  <si>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</si>
  <si>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</si>
  <si>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</si>
  <si>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</si>
  <si>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</si>
  <si>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</si>
  <si>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</si>
  <si>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</si>
  <si>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</si>
  <si>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</si>
  <si>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</si>
  <si>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</si>
  <si>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</si>
  <si>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</si>
  <si>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</si>
  <si>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</si>
  <si>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</si>
  <si>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</si>
  <si>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</si>
  <si>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</si>
  <si>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</si>
  <si>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</si>
  <si>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</si>
  <si>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</si>
  <si>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</si>
  <si>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</si>
  <si>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</si>
  <si>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</si>
  <si>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</si>
  <si>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</si>
  <si>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</si>
  <si>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</si>
  <si>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</si>
  <si>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</si>
  <si>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</si>
  <si>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</si>
  <si>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</si>
  <si>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</si>
  <si>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</si>
  <si>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</si>
  <si>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</si>
  <si>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</si>
  <si>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</si>
  <si>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</si>
  <si>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</si>
  <si>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</si>
  <si>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</si>
  <si>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</si>
  <si>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</si>
  <si>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</si>
  <si>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</si>
  <si>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</si>
  <si>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</si>
  <si>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</si>
  <si>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</si>
  <si>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</si>
  <si>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</si>
  <si>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</si>
  <si>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</si>
  <si>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</si>
  <si>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</si>
  <si>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</si>
  <si>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</si>
  <si>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</si>
  <si>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</si>
  <si>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</si>
  <si>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</si>
  <si>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</si>
  <si>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</si>
  <si>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</si>
  <si>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</si>
  <si>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</si>
  <si>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</si>
  <si>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</si>
  <si>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</si>
  <si>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</si>
  <si>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</si>
  <si>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</si>
  <si>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</si>
  <si>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</si>
  <si>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</si>
  <si>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</si>
  <si>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</si>
  <si>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</si>
  <si>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</si>
  <si>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</si>
  <si>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</si>
  <si>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</si>
  <si>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</si>
  <si>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</si>
  <si>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</si>
  <si>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</si>
  <si>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</si>
  <si>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</si>
  <si>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</si>
  <si>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</si>
  <si>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</si>
  <si>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</si>
  <si>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</si>
  <si>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</si>
  <si>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</si>
  <si>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</si>
  <si>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</si>
  <si>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</si>
  <si>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</si>
  <si>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</si>
  <si>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</si>
  <si>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</si>
  <si>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</si>
  <si>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</si>
  <si>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</si>
  <si>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</si>
  <si>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</si>
  <si>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</si>
  <si>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</si>
  <si>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</si>
  <si>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</si>
  <si>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</si>
  <si>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</si>
  <si>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</si>
  <si>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</si>
  <si>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</si>
  <si>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</si>
  <si>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</si>
  <si>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</si>
  <si>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</si>
  <si>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</si>
  <si>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</si>
  <si>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</si>
  <si>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</si>
  <si>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</si>
  <si>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</si>
  <si>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</si>
  <si>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</si>
  <si>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</si>
  <si>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</si>
  <si>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</si>
  <si>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</si>
  <si>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</si>
  <si>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</si>
  <si>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</si>
  <si>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</si>
  <si>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</si>
  <si>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</si>
  <si>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</si>
  <si>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</si>
  <si>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</si>
  <si>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</si>
  <si>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</si>
  <si>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</si>
  <si>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</si>
  <si>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</si>
  <si>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</si>
  <si>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</si>
  <si>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</si>
  <si>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</si>
  <si>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</si>
  <si>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</si>
  <si>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</si>
  <si>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</si>
  <si>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</si>
  <si>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</si>
  <si>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</si>
  <si>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</si>
  <si>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</si>
  <si>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</si>
  <si>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</si>
  <si>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</si>
  <si>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</si>
  <si>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</si>
  <si>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</si>
  <si>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</si>
  <si>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</si>
  <si>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</si>
  <si>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</si>
  <si>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</si>
  <si>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</si>
  <si>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september 2017</t>
  </si>
  <si>
    <t>juni 2018</t>
  </si>
  <si>
    <t>K. Jespers</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</si>
  <si>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</si>
  <si>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</si>
  <si>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</si>
  <si>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</si>
  <si>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</si>
  <si>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</si>
  <si>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</si>
  <si>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</si>
  <si>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</si>
  <si>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</si>
  <si>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</si>
  <si>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</si>
  <si>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</si>
  <si>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</si>
  <si>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</si>
  <si>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</si>
  <si>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</si>
  <si>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</si>
  <si>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</si>
  <si>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</si>
  <si>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</si>
  <si>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</si>
  <si>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</si>
  <si>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</si>
  <si>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</si>
  <si>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</si>
  <si>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</si>
  <si>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</si>
  <si>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</si>
  <si>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</si>
  <si>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</si>
  <si>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</si>
  <si>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</si>
  <si>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</si>
  <si>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</si>
  <si>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</si>
  <si>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</si>
  <si>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</si>
  <si>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</si>
  <si>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</si>
  <si>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</si>
  <si>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</si>
  <si>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</si>
  <si>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</si>
  <si>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</si>
  <si>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</si>
  <si>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</si>
  <si>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</si>
  <si>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</si>
  <si>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</si>
  <si>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</si>
  <si>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</si>
  <si>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</si>
  <si>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</si>
  <si>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</si>
  <si>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</si>
  <si>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</si>
  <si>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</si>
  <si>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</si>
  <si>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</si>
  <si>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</si>
  <si>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</si>
  <si>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</si>
  <si>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</si>
  <si>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</si>
  <si>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</si>
  <si>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</si>
  <si>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</si>
  <si>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</si>
  <si>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</si>
  <si>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</si>
  <si>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</si>
  <si>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</si>
  <si>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</si>
  <si>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</si>
  <si>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</si>
  <si>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</si>
  <si>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</si>
  <si>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</si>
  <si>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</si>
  <si>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</si>
  <si>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</si>
  <si>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</si>
  <si>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</si>
  <si>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</si>
  <si>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</si>
  <si>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</si>
  <si>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</si>
  <si>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</si>
  <si>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</si>
  <si>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</si>
  <si>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</si>
  <si>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</si>
  <si>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</si>
  <si>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</si>
  <si>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</si>
  <si>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</si>
  <si>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</si>
  <si>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</si>
  <si>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</si>
  <si>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</si>
  <si>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</si>
  <si>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</si>
  <si>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</si>
  <si>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</si>
  <si>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</si>
  <si>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</si>
  <si>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</si>
  <si>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</si>
  <si>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</si>
  <si>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</si>
  <si>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</si>
  <si>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</si>
  <si>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</si>
  <si>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</si>
  <si>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</si>
  <si>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</si>
  <si>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</si>
  <si>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</si>
  <si>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</si>
  <si>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</si>
  <si>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</si>
  <si>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</si>
  <si>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</si>
  <si>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</si>
  <si>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</si>
  <si>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</si>
  <si>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</si>
  <si>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</si>
  <si>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</si>
  <si>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</si>
  <si>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</si>
  <si>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</si>
  <si>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</si>
  <si>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</si>
  <si>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</si>
  <si>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</si>
  <si>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</si>
  <si>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</si>
  <si>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</si>
  <si>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</si>
  <si>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</si>
  <si>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</si>
  <si>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</si>
  <si>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</si>
  <si>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aanpassing namen cellen in rekenblad data zodat er geen verwijzing is naar het jaar 2011</t>
  </si>
  <si>
    <t>data!A1</t>
  </si>
  <si>
    <t>verwijderen cijfers voor 2020 in tabblad data</t>
  </si>
  <si>
    <t>2017_03</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</si>
  <si>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</si>
  <si>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</si>
  <si>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</si>
  <si>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</si>
  <si>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</si>
  <si>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</si>
  <si>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</si>
  <si>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</si>
  <si>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</si>
  <si>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</si>
  <si>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transport!A21</t>
  </si>
  <si>
    <t>tabblad transport: update '% Biobrandstoffen' obv doorrekening COPERT 5 door VMM (voorjaar 2020)</t>
  </si>
  <si>
    <t>transport!A28</t>
  </si>
  <si>
    <t>tabblad conversiefactoren: update o.b.v. COPERT 5-tool</t>
  </si>
  <si>
    <t>Conversiefactoren!A24</t>
  </si>
  <si>
    <t>Bron: VMM 2020, COPERT 5</t>
  </si>
  <si>
    <t>huishoudens!B54</t>
  </si>
  <si>
    <t>VITO Energiebalans Vlaanderen (februari 2020)</t>
  </si>
  <si>
    <t>versie: 2017_03</t>
  </si>
  <si>
    <t>NIET RESIDENTIEEL EPN</t>
  </si>
  <si>
    <t>totale netto elektriciteitsproductie PV, waterkracht en windturbines in Vlaanderen</t>
  </si>
  <si>
    <t>december 2019</t>
  </si>
  <si>
    <t>42010</t>
  </si>
  <si>
    <t>LAARNE</t>
  </si>
  <si>
    <t>referentietaak LNE (2017); Jaarverslag De Lijn</t>
  </si>
  <si>
    <t>Christoph Pieters</t>
  </si>
  <si>
    <t>Elsstraat 5 , 9270 Laarne</t>
  </si>
  <si>
    <t>WKK-0212 Christoph Pieters</t>
  </si>
  <si>
    <t>interne verbrandingsmotor</t>
  </si>
  <si>
    <t>WKK interne verbrandinsgmotor (gas)</t>
  </si>
  <si>
    <t>IMEWO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</si>
</sst>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0">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0.0%"/>
    <numFmt numFmtId="181" formatCode="_-* #,##0_-;\-* #,##0_-;_-* &quot;-&quot;??_-;_-@_-"/>
  </numFmts>
  <fonts count="129">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5">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737">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11">
      <alignment horizontal="right" vertical="center"/>
    </xf>
    <xf numFmtId="171" fontId="1" fillId="9" borderId="213">
      <alignment horizontal="right" vertical="center"/>
    </xf>
    <xf numFmtId="171" fontId="24" fillId="8" borderId="213">
      <alignment horizontal="right" vertical="center"/>
    </xf>
    <xf numFmtId="49" fontId="27" fillId="0" borderId="208" applyNumberFormat="0" applyFont="0" applyFill="0" applyBorder="0" applyProtection="0">
      <alignment horizontal="left" vertical="center" indent="2"/>
    </xf>
    <xf numFmtId="171" fontId="24" fillId="8" borderId="213">
      <alignment horizontal="right" vertical="center"/>
    </xf>
    <xf numFmtId="171" fontId="24" fillId="8" borderId="213">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1" fontId="1" fillId="9" borderId="213">
      <alignment horizontal="right" vertical="center"/>
    </xf>
    <xf numFmtId="171" fontId="24" fillId="8" borderId="213">
      <alignment horizontal="right" vertical="center"/>
    </xf>
    <xf numFmtId="171" fontId="24" fillId="8" borderId="213">
      <alignment horizontal="right" vertical="center"/>
    </xf>
    <xf numFmtId="171" fontId="1" fillId="9" borderId="213">
      <alignment horizontal="right" vertical="center"/>
    </xf>
    <xf numFmtId="171" fontId="1" fillId="9" borderId="213">
      <alignment horizontal="right" vertical="center"/>
    </xf>
    <xf numFmtId="168" fontId="17" fillId="0" borderId="213">
      <alignment vertical="center"/>
    </xf>
    <xf numFmtId="168" fontId="17" fillId="0" borderId="213">
      <alignment vertical="center"/>
    </xf>
    <xf numFmtId="170" fontId="35" fillId="1" borderId="209" applyNumberFormat="0" applyProtection="0">
      <alignment horizontal="left" vertical="top"/>
    </xf>
    <xf numFmtId="171" fontId="1" fillId="9" borderId="210">
      <alignment horizontal="right" vertical="center"/>
    </xf>
    <xf numFmtId="171" fontId="1" fillId="9" borderId="213">
      <alignment horizontal="right" vertical="center"/>
    </xf>
    <xf numFmtId="4" fontId="27" fillId="0" borderId="210" applyFill="0" applyBorder="0" applyProtection="0">
      <alignment horizontal="right" vertical="center"/>
    </xf>
    <xf numFmtId="49" fontId="27" fillId="0" borderId="211" applyNumberFormat="0" applyFont="0" applyFill="0" applyBorder="0" applyProtection="0">
      <alignment horizontal="left" vertical="center" indent="2"/>
    </xf>
    <xf numFmtId="171" fontId="1" fillId="9" borderId="210">
      <alignment horizontal="right" vertical="center"/>
    </xf>
    <xf numFmtId="171" fontId="1" fillId="9" borderId="211">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 fontId="27" fillId="0" borderId="213" applyFill="0" applyBorder="0" applyProtection="0">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1" fontId="1" fillId="9" borderId="213">
      <alignment horizontal="right" vertical="center"/>
    </xf>
    <xf numFmtId="168" fontId="17" fillId="0" borderId="208">
      <alignment vertical="center"/>
    </xf>
    <xf numFmtId="0" fontId="27" fillId="0" borderId="211" applyNumberFormat="0" applyFill="0" applyAlignment="0" applyProtection="0"/>
    <xf numFmtId="175" fontId="27" fillId="62" borderId="208" applyNumberFormat="0" applyFont="0" applyBorder="0" applyAlignment="0" applyProtection="0">
      <alignment horizontal="right" vertical="center"/>
    </xf>
    <xf numFmtId="171" fontId="1" fillId="9" borderId="213">
      <alignment horizontal="right" vertical="center"/>
    </xf>
    <xf numFmtId="168" fontId="17" fillId="0" borderId="208">
      <alignment vertical="center"/>
    </xf>
    <xf numFmtId="168" fontId="17" fillId="0" borderId="208">
      <alignment vertical="center"/>
    </xf>
    <xf numFmtId="170" fontId="35" fillId="1" borderId="209" applyNumberFormat="0" applyProtection="0">
      <alignment horizontal="left" vertical="top"/>
    </xf>
    <xf numFmtId="168" fontId="17" fillId="0" borderId="211">
      <alignment vertical="center"/>
    </xf>
    <xf numFmtId="171" fontId="1" fillId="9" borderId="213">
      <alignment horizontal="right" vertical="center"/>
    </xf>
    <xf numFmtId="171" fontId="24" fillId="8" borderId="208">
      <alignment horizontal="right" vertical="center"/>
    </xf>
    <xf numFmtId="0" fontId="27" fillId="0" borderId="210" applyNumberFormat="0" applyFill="0" applyAlignment="0" applyProtection="0"/>
    <xf numFmtId="4" fontId="27" fillId="0" borderId="213"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3">
      <alignment horizontal="right" vertical="center"/>
    </xf>
    <xf numFmtId="171" fontId="1" fillId="9" borderId="210">
      <alignment horizontal="right" vertical="center"/>
    </xf>
    <xf numFmtId="168" fontId="17" fillId="0" borderId="211">
      <alignment vertical="center"/>
    </xf>
    <xf numFmtId="171" fontId="1" fillId="9" borderId="213">
      <alignment horizontal="right" vertical="center"/>
    </xf>
    <xf numFmtId="168" fontId="17" fillId="0" borderId="213">
      <alignment vertical="center"/>
    </xf>
    <xf numFmtId="171" fontId="1" fillId="9" borderId="213">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1">
      <alignment horizontal="right" vertical="center"/>
    </xf>
    <xf numFmtId="170" fontId="35" fillId="1" borderId="205"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0">
      <alignment vertical="center"/>
    </xf>
    <xf numFmtId="171" fontId="24" fillId="8" borderId="210">
      <alignment horizontal="right" vertical="center"/>
    </xf>
    <xf numFmtId="168" fontId="17" fillId="0" borderId="210">
      <alignment vertical="center"/>
    </xf>
    <xf numFmtId="171" fontId="24" fillId="8" borderId="208">
      <alignment horizontal="right" vertical="center"/>
    </xf>
    <xf numFmtId="168" fontId="17" fillId="0" borderId="211">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11">
      <alignment horizontal="right" vertical="center"/>
    </xf>
    <xf numFmtId="171" fontId="1" fillId="9" borderId="211">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8">
      <alignment vertical="center"/>
    </xf>
    <xf numFmtId="49" fontId="126" fillId="0" borderId="208" applyNumberFormat="0" applyFill="0" applyBorder="0" applyProtection="0">
      <alignment horizontal="left" vertical="center"/>
    </xf>
    <xf numFmtId="171" fontId="24" fillId="8" borderId="211">
      <alignment horizontal="right" vertical="center"/>
    </xf>
    <xf numFmtId="171" fontId="1" fillId="9" borderId="213">
      <alignment horizontal="right" vertical="center"/>
    </xf>
    <xf numFmtId="171" fontId="24" fillId="8" borderId="211">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0">
      <alignment vertical="center"/>
    </xf>
    <xf numFmtId="168" fontId="17" fillId="0" borderId="210">
      <alignment vertical="center"/>
    </xf>
    <xf numFmtId="171" fontId="24" fillId="8" borderId="213">
      <alignment horizontal="right" vertical="center"/>
    </xf>
    <xf numFmtId="170" fontId="35" fillId="1" borderId="23" applyNumberFormat="0" applyProtection="0">
      <alignment horizontal="left" vertical="top"/>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3">
      <alignmen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0" fontId="27" fillId="0" borderId="210" applyNumberFormat="0" applyFill="0" applyAlignment="0" applyProtection="0"/>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171" fontId="24" fillId="8" borderId="210">
      <alignment horizontal="right" vertical="center"/>
    </xf>
    <xf numFmtId="49" fontId="126" fillId="0" borderId="210" applyNumberFormat="0" applyFill="0" applyBorder="0" applyProtection="0">
      <alignment horizontal="lef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0" fontId="5" fillId="0" borderId="0"/>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0" fontId="5" fillId="0" borderId="0"/>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1" fontId="24" fillId="8" borderId="211">
      <alignment horizontal="righ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24" fillId="8" borderId="211">
      <alignment horizontal="right" vertical="center"/>
    </xf>
    <xf numFmtId="171" fontId="24" fillId="8"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0" fontId="27" fillId="0" borderId="211" applyNumberFormat="0" applyFill="0" applyAlignment="0" applyProtection="0"/>
    <xf numFmtId="171" fontId="1" fillId="9"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0" fontId="27" fillId="0" borderId="211" applyNumberFormat="0" applyFill="0" applyAlignment="0" applyProtection="0"/>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68" fontId="17" fillId="0" borderId="211">
      <alignmen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68" fontId="17" fillId="0" borderId="211">
      <alignment vertical="center"/>
    </xf>
    <xf numFmtId="0" fontId="27" fillId="0" borderId="211" applyNumberFormat="0" applyFill="0" applyAlignment="0" applyProtection="0"/>
    <xf numFmtId="170" fontId="35" fillId="1" borderId="23" applyNumberFormat="0" applyProtection="0">
      <alignment horizontal="left" vertical="top"/>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1" fontId="1" fillId="9" borderId="211">
      <alignment horizontal="right" vertical="center"/>
    </xf>
    <xf numFmtId="171" fontId="1" fillId="9" borderId="211">
      <alignment horizontal="righ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4" fillId="0" borderId="2" applyNumberFormat="0" applyFill="0" applyAlignment="0" applyProtection="0"/>
  </cellStyleXfs>
  <cellXfs count="1323">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104"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70" fontId="72" fillId="0" borderId="0" xfId="148"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80" fontId="105" fillId="0" borderId="0" xfId="52" applyNumberFormat="1" applyFont="1"/>
    <xf numFmtId="180" fontId="0" fillId="0" borderId="0" xfId="52" applyNumberFormat="1" applyFont="1" applyFill="1" applyBorder="1"/>
    <xf numFmtId="0" fontId="24" fillId="24" borderId="0" xfId="224" applyNumberFormat="1" applyFont="1" applyFill="1"/>
    <xf numFmtId="0" fontId="24" fillId="24" borderId="0" xfId="224" quotePrefix="1" applyNumberFormat="1" applyFont="1" applyFill="1"/>
    <xf numFmtId="17" fontId="24" fillId="24" borderId="0" xfId="224" quotePrefix="1" applyNumberFormat="1" applyFont="1" applyFill="1"/>
    <xf numFmtId="0" fontId="24" fillId="24" borderId="0" xfId="224" applyNumberFormat="1" applyFont="1" applyFill="1" applyAlignment="1"/>
    <xf numFmtId="9" fontId="24" fillId="0" borderId="0" xfId="0" applyNumberFormat="1" applyFont="1" applyFill="1" applyBorder="1"/>
    <xf numFmtId="170" fontId="24" fillId="0" borderId="0" xfId="0" applyFont="1" applyFill="1" applyBorder="1" applyAlignment="1">
      <alignment horizontal="left" vertical="top" wrapText="1"/>
    </xf>
    <xf numFmtId="170" fontId="0" fillId="0" borderId="0" xfId="0"/>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1"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1" fontId="0" fillId="0" borderId="0" xfId="173" applyNumberFormat="1" applyFont="1"/>
    <xf numFmtId="0" fontId="24" fillId="0" borderId="0" xfId="239" applyFont="1" applyBorder="1"/>
    <xf numFmtId="181" fontId="24" fillId="0" borderId="0" xfId="173" applyNumberFormat="1" applyFont="1" applyBorder="1"/>
    <xf numFmtId="181"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4736"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1" fontId="0" fillId="0" borderId="0" xfId="173" applyNumberFormat="1" applyFont="1" applyFill="1"/>
    <xf numFmtId="181"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4" xfId="239" applyFont="1" applyBorder="1"/>
    <xf numFmtId="181" fontId="0" fillId="0" borderId="214" xfId="173" applyNumberFormat="1" applyFont="1" applyBorder="1"/>
    <xf numFmtId="181" fontId="0" fillId="0" borderId="0" xfId="173" applyNumberFormat="1" applyFont="1" applyBorder="1"/>
    <xf numFmtId="0" fontId="0" fillId="0" borderId="214" xfId="0" applyNumberFormat="1" applyBorder="1"/>
  </cellXfs>
  <cellStyles count="4737">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670"/>
    <cellStyle name="2x indented GHG Textfiels 11" xfId="309"/>
    <cellStyle name="2x indented GHG Textfiels 2" xfId="287"/>
    <cellStyle name="2x indented GHG Textfiels 2 10" xfId="485"/>
    <cellStyle name="2x indented GHG Textfiels 2 11" xfId="3414"/>
    <cellStyle name="2x indented GHG Textfiels 2 2" xfId="539"/>
    <cellStyle name="2x indented GHG Textfiels 2 2 2" xfId="636"/>
    <cellStyle name="2x indented GHG Textfiels 2 2 2 2" xfId="1878"/>
    <cellStyle name="2x indented GHG Textfiels 2 2 2 2 2" xfId="3117"/>
    <cellStyle name="2x indented GHG Textfiels 2 2 2 2 3" xfId="4529"/>
    <cellStyle name="2x indented GHG Textfiels 2 2 2 3" xfId="1558"/>
    <cellStyle name="2x indented GHG Textfiels 2 2 2 4" xfId="2798"/>
    <cellStyle name="2x indented GHG Textfiels 2 2 2 5" xfId="4212"/>
    <cellStyle name="2x indented GHG Textfiels 2 2 3" xfId="1475"/>
    <cellStyle name="2x indented GHG Textfiels 2 2 3 2" xfId="2715"/>
    <cellStyle name="2x indented GHG Textfiels 2 2 3 3" xfId="4131"/>
    <cellStyle name="2x indented GHG Textfiels 2 2 4" xfId="1260"/>
    <cellStyle name="2x indented GHG Textfiels 2 2 4 2" xfId="2501"/>
    <cellStyle name="2x indented GHG Textfiels 2 2 4 3" xfId="3924"/>
    <cellStyle name="2x indented GHG Textfiels 2 2 5" xfId="1297"/>
    <cellStyle name="2x indented GHG Textfiels 2 2 5 2" xfId="2538"/>
    <cellStyle name="2x indented GHG Textfiels 2 2 5 3" xfId="3958"/>
    <cellStyle name="2x indented GHG Textfiels 2 2 6" xfId="937"/>
    <cellStyle name="2x indented GHG Textfiels 2 2 6 2" xfId="3605"/>
    <cellStyle name="2x indented GHG Textfiels 2 2 7" xfId="2180"/>
    <cellStyle name="2x indented GHG Textfiels 2 2 8" xfId="3490"/>
    <cellStyle name="2x indented GHG Textfiels 2 3" xfId="685"/>
    <cellStyle name="2x indented GHG Textfiels 2 3 2" xfId="1911"/>
    <cellStyle name="2x indented GHG Textfiels 2 3 2 2" xfId="3150"/>
    <cellStyle name="2x indented GHG Textfiels 2 3 2 3" xfId="4562"/>
    <cellStyle name="2x indented GHG Textfiels 2 3 3" xfId="1359"/>
    <cellStyle name="2x indented GHG Textfiels 2 3 3 2" xfId="2600"/>
    <cellStyle name="2x indented GHG Textfiels 2 3 3 3" xfId="4020"/>
    <cellStyle name="2x indented GHG Textfiels 2 3 4" xfId="985"/>
    <cellStyle name="2x indented GHG Textfiels 2 3 5" xfId="2228"/>
    <cellStyle name="2x indented GHG Textfiels 2 3 6" xfId="3653"/>
    <cellStyle name="2x indented GHG Textfiels 2 4" xfId="749"/>
    <cellStyle name="2x indented GHG Textfiels 2 4 2" xfId="1975"/>
    <cellStyle name="2x indented GHG Textfiels 2 4 2 2" xfId="3214"/>
    <cellStyle name="2x indented GHG Textfiels 2 4 2 3" xfId="4626"/>
    <cellStyle name="2x indented GHG Textfiels 2 4 3" xfId="1657"/>
    <cellStyle name="2x indented GHG Textfiels 2 4 3 2" xfId="2897"/>
    <cellStyle name="2x indented GHG Textfiels 2 4 3 3" xfId="4310"/>
    <cellStyle name="2x indented GHG Textfiels 2 4 4" xfId="1049"/>
    <cellStyle name="2x indented GHG Textfiels 2 4 5" xfId="2292"/>
    <cellStyle name="2x indented GHG Textfiels 2 4 6" xfId="3717"/>
    <cellStyle name="2x indented GHG Textfiels 2 5" xfId="811"/>
    <cellStyle name="2x indented GHG Textfiels 2 5 2" xfId="2037"/>
    <cellStyle name="2x indented GHG Textfiels 2 5 2 2" xfId="3276"/>
    <cellStyle name="2x indented GHG Textfiels 2 5 2 3" xfId="4688"/>
    <cellStyle name="2x indented GHG Textfiels 2 5 3" xfId="1715"/>
    <cellStyle name="2x indented GHG Textfiels 2 5 3 2" xfId="2954"/>
    <cellStyle name="2x indented GHG Textfiels 2 5 3 3" xfId="4366"/>
    <cellStyle name="2x indented GHG Textfiels 2 5 4" xfId="1111"/>
    <cellStyle name="2x indented GHG Textfiels 2 5 5" xfId="2354"/>
    <cellStyle name="2x indented GHG Textfiels 2 5 6" xfId="3779"/>
    <cellStyle name="2x indented GHG Textfiels 2 6" xfId="616"/>
    <cellStyle name="2x indented GHG Textfiels 2 6 2" xfId="1539"/>
    <cellStyle name="2x indented GHG Textfiels 2 6 3" xfId="2779"/>
    <cellStyle name="2x indented GHG Textfiels 2 6 4" xfId="4193"/>
    <cellStyle name="2x indented GHG Textfiels 2 7" xfId="1218"/>
    <cellStyle name="2x indented GHG Textfiels 2 7 2" xfId="2460"/>
    <cellStyle name="2x indented GHG Textfiels 2 7 3" xfId="3884"/>
    <cellStyle name="2x indented GHG Textfiels 2 8" xfId="914"/>
    <cellStyle name="2x indented GHG Textfiels 2 8 2" xfId="3406"/>
    <cellStyle name="2x indented GHG Textfiels 2 9" xfId="2157"/>
    <cellStyle name="2x indented GHG Textfiels 3" xfId="367"/>
    <cellStyle name="2x indented GHG Textfiels 3 10" xfId="2119"/>
    <cellStyle name="2x indented GHG Textfiels 3 11" xfId="446"/>
    <cellStyle name="2x indented GHG Textfiels 3 12" xfId="3454"/>
    <cellStyle name="2x indented GHG Textfiels 3 2" xfId="519"/>
    <cellStyle name="2x indented GHG Textfiels 3 2 2" xfId="664"/>
    <cellStyle name="2x indented GHG Textfiels 3 2 2 2" xfId="1586"/>
    <cellStyle name="2x indented GHG Textfiels 3 2 2 3" xfId="2826"/>
    <cellStyle name="2x indented GHG Textfiels 3 2 2 4" xfId="4240"/>
    <cellStyle name="2x indented GHG Textfiels 3 2 3" xfId="1790"/>
    <cellStyle name="2x indented GHG Textfiels 3 2 3 2" xfId="3029"/>
    <cellStyle name="2x indented GHG Textfiels 3 2 3 3" xfId="4441"/>
    <cellStyle name="2x indented GHG Textfiels 3 2 4" xfId="1339"/>
    <cellStyle name="2x indented GHG Textfiels 3 2 4 2" xfId="2580"/>
    <cellStyle name="2x indented GHG Textfiels 3 2 4 3" xfId="4000"/>
    <cellStyle name="2x indented GHG Textfiels 3 2 5" xfId="965"/>
    <cellStyle name="2x indented GHG Textfiels 3 2 5 2" xfId="3633"/>
    <cellStyle name="2x indented GHG Textfiels 3 2 6" xfId="2208"/>
    <cellStyle name="2x indented GHG Textfiels 3 2 7" xfId="3543"/>
    <cellStyle name="2x indented GHG Textfiels 3 3" xfId="713"/>
    <cellStyle name="2x indented GHG Textfiels 3 3 2" xfId="1624"/>
    <cellStyle name="2x indented GHG Textfiels 3 3 2 2" xfId="1939"/>
    <cellStyle name="2x indented GHG Textfiels 3 3 2 2 2" xfId="3178"/>
    <cellStyle name="2x indented GHG Textfiels 3 3 2 2 3" xfId="4590"/>
    <cellStyle name="2x indented GHG Textfiels 3 3 2 3" xfId="2864"/>
    <cellStyle name="2x indented GHG Textfiels 3 3 2 4" xfId="4277"/>
    <cellStyle name="2x indented GHG Textfiels 3 3 3" xfId="1276"/>
    <cellStyle name="2x indented GHG Textfiels 3 3 3 2" xfId="2517"/>
    <cellStyle name="2x indented GHG Textfiels 3 3 3 3" xfId="3938"/>
    <cellStyle name="2x indented GHG Textfiels 3 3 4" xfId="1397"/>
    <cellStyle name="2x indented GHG Textfiels 3 3 4 2" xfId="2638"/>
    <cellStyle name="2x indented GHG Textfiels 3 3 4 3" xfId="4058"/>
    <cellStyle name="2x indented GHG Textfiels 3 3 5" xfId="1013"/>
    <cellStyle name="2x indented GHG Textfiels 3 3 6" xfId="2256"/>
    <cellStyle name="2x indented GHG Textfiels 3 3 7" xfId="3681"/>
    <cellStyle name="2x indented GHG Textfiels 3 4" xfId="777"/>
    <cellStyle name="2x indented GHG Textfiels 3 4 2" xfId="2003"/>
    <cellStyle name="2x indented GHG Textfiels 3 4 2 2" xfId="3242"/>
    <cellStyle name="2x indented GHG Textfiels 3 4 2 3" xfId="4654"/>
    <cellStyle name="2x indented GHG Textfiels 3 4 3" xfId="1685"/>
    <cellStyle name="2x indented GHG Textfiels 3 4 3 2" xfId="2925"/>
    <cellStyle name="2x indented GHG Textfiels 3 4 3 3" xfId="4338"/>
    <cellStyle name="2x indented GHG Textfiels 3 4 4" xfId="1077"/>
    <cellStyle name="2x indented GHG Textfiels 3 4 5" xfId="2320"/>
    <cellStyle name="2x indented GHG Textfiels 3 4 6" xfId="3745"/>
    <cellStyle name="2x indented GHG Textfiels 3 5" xfId="839"/>
    <cellStyle name="2x indented GHG Textfiels 3 5 2" xfId="2065"/>
    <cellStyle name="2x indented GHG Textfiels 3 5 2 2" xfId="3304"/>
    <cellStyle name="2x indented GHG Textfiels 3 5 2 3" xfId="4716"/>
    <cellStyle name="2x indented GHG Textfiels 3 5 3" xfId="1743"/>
    <cellStyle name="2x indented GHG Textfiels 3 5 3 2" xfId="2982"/>
    <cellStyle name="2x indented GHG Textfiels 3 5 3 3" xfId="4394"/>
    <cellStyle name="2x indented GHG Textfiels 3 5 4" xfId="1139"/>
    <cellStyle name="2x indented GHG Textfiels 3 5 5" xfId="2382"/>
    <cellStyle name="2x indented GHG Textfiels 3 5 6" xfId="3807"/>
    <cellStyle name="2x indented GHG Textfiels 3 6" xfId="583"/>
    <cellStyle name="2x indented GHG Textfiels 3 6 2" xfId="1511"/>
    <cellStyle name="2x indented GHG Textfiels 3 6 3" xfId="2751"/>
    <cellStyle name="2x indented GHG Textfiels 3 6 4" xfId="4165"/>
    <cellStyle name="2x indented GHG Textfiels 3 7" xfId="1444"/>
    <cellStyle name="2x indented GHG Textfiels 3 7 2" xfId="2685"/>
    <cellStyle name="2x indented GHG Textfiels 3 7 3" xfId="4105"/>
    <cellStyle name="2x indented GHG Textfiels 3 8" xfId="1166"/>
    <cellStyle name="2x indented GHG Textfiels 3 8 2" xfId="2409"/>
    <cellStyle name="2x indented GHG Textfiels 3 8 3" xfId="3834"/>
    <cellStyle name="2x indented GHG Textfiels 3 9" xfId="875"/>
    <cellStyle name="2x indented GHG Textfiels 3 9 2" xfId="3584"/>
    <cellStyle name="2x indented GHG Textfiels 4" xfId="306"/>
    <cellStyle name="2x indented GHG Textfiels 4 2" xfId="1464"/>
    <cellStyle name="2x indented GHG Textfiels 4 2 2" xfId="1841"/>
    <cellStyle name="2x indented GHG Textfiels 4 2 2 2" xfId="3080"/>
    <cellStyle name="2x indented GHG Textfiels 4 2 2 3" xfId="4492"/>
    <cellStyle name="2x indented GHG Textfiels 4 2 3" xfId="2705"/>
    <cellStyle name="2x indented GHG Textfiels 4 2 3 2" xfId="4122"/>
    <cellStyle name="2x indented GHG Textfiels 4 2 4" xfId="3497"/>
    <cellStyle name="2x indented GHG Textfiels 4 3" xfId="1772"/>
    <cellStyle name="2x indented GHG Textfiels 4 3 2" xfId="3011"/>
    <cellStyle name="2x indented GHG Textfiels 4 3 3" xfId="4423"/>
    <cellStyle name="2x indented GHG Textfiels 4 4" xfId="1252"/>
    <cellStyle name="2x indented GHG Textfiels 4 4 2" xfId="2494"/>
    <cellStyle name="2x indented GHG Textfiels 4 4 3" xfId="3917"/>
    <cellStyle name="2x indented GHG Textfiels 4 5" xfId="860"/>
    <cellStyle name="2x indented GHG Textfiels 4 5 2" xfId="3382"/>
    <cellStyle name="2x indented GHG Textfiels 4 6" xfId="2104"/>
    <cellStyle name="2x indented GHG Textfiels 4 7" xfId="515"/>
    <cellStyle name="2x indented GHG Textfiels 5" xfId="411"/>
    <cellStyle name="2x indented GHG Textfiels 5 2" xfId="1833"/>
    <cellStyle name="2x indented GHG Textfiels 5 2 2" xfId="3072"/>
    <cellStyle name="2x indented GHG Textfiels 5 2 3" xfId="4484"/>
    <cellStyle name="2x indented GHG Textfiels 5 3" xfId="1242"/>
    <cellStyle name="2x indented GHG Textfiels 5 3 2" xfId="2484"/>
    <cellStyle name="2x indented GHG Textfiels 5 3 3" xfId="3908"/>
    <cellStyle name="2x indented GHG Textfiels 5 4" xfId="466"/>
    <cellStyle name="2x indented GHG Textfiels 5 4 2" xfId="3405"/>
    <cellStyle name="2x indented GHG Textfiels 5 5" xfId="2094"/>
    <cellStyle name="2x indented GHG Textfiels 5 6" xfId="3384"/>
    <cellStyle name="2x indented GHG Textfiels 6" xfId="415"/>
    <cellStyle name="2x indented GHG Textfiels 6 2" xfId="1831"/>
    <cellStyle name="2x indented GHG Textfiels 6 2 2" xfId="3070"/>
    <cellStyle name="2x indented GHG Textfiels 6 2 3" xfId="4482"/>
    <cellStyle name="2x indented GHG Textfiels 6 3" xfId="1221"/>
    <cellStyle name="2x indented GHG Textfiels 6 3 2" xfId="2463"/>
    <cellStyle name="2x indented GHG Textfiels 6 3 3" xfId="3887"/>
    <cellStyle name="2x indented GHG Textfiels 6 4" xfId="413"/>
    <cellStyle name="2x indented GHG Textfiels 6 5" xfId="2092"/>
    <cellStyle name="2x indented GHG Textfiels 6 6" xfId="3383"/>
    <cellStyle name="2x indented GHG Textfiels 7" xfId="451"/>
    <cellStyle name="2x indented GHG Textfiels 7 2" xfId="1844"/>
    <cellStyle name="2x indented GHG Textfiels 7 2 2" xfId="3083"/>
    <cellStyle name="2x indented GHG Textfiels 7 2 3" xfId="4495"/>
    <cellStyle name="2x indented GHG Textfiels 7 3" xfId="1420"/>
    <cellStyle name="2x indented GHG Textfiels 7 4" xfId="2661"/>
    <cellStyle name="2x indented GHG Textfiels 7 5" xfId="4081"/>
    <cellStyle name="2x indented GHG Textfiels 8" xfId="1503"/>
    <cellStyle name="2x indented GHG Textfiels 8 2" xfId="2743"/>
    <cellStyle name="2x indented GHG Textfiels 8 3" xfId="4157"/>
    <cellStyle name="2x indented GHG Textfiels 9" xfId="559"/>
    <cellStyle name="2x indented GHG Textfiels 9 2" xfId="3582"/>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601"/>
    <cellStyle name="Calc cel 2 2 11" xfId="399"/>
    <cellStyle name="Calc cel 2 2 2" xfId="326"/>
    <cellStyle name="Calc cel 2 2 2 10" xfId="494"/>
    <cellStyle name="Calc cel 2 2 2 11" xfId="3431"/>
    <cellStyle name="Calc cel 2 2 2 2" xfId="548"/>
    <cellStyle name="Calc cel 2 2 2 2 2" xfId="645"/>
    <cellStyle name="Calc cel 2 2 2 2 2 2" xfId="1886"/>
    <cellStyle name="Calc cel 2 2 2 2 2 2 2" xfId="3125"/>
    <cellStyle name="Calc cel 2 2 2 2 2 2 3" xfId="4537"/>
    <cellStyle name="Calc cel 2 2 2 2 2 3" xfId="1567"/>
    <cellStyle name="Calc cel 2 2 2 2 2 4" xfId="2807"/>
    <cellStyle name="Calc cel 2 2 2 2 2 5" xfId="4221"/>
    <cellStyle name="Calc cel 2 2 2 2 3" xfId="1484"/>
    <cellStyle name="Calc cel 2 2 2 2 3 2" xfId="2724"/>
    <cellStyle name="Calc cel 2 2 2 2 3 3" xfId="4140"/>
    <cellStyle name="Calc cel 2 2 2 2 4" xfId="1274"/>
    <cellStyle name="Calc cel 2 2 2 2 4 2" xfId="2515"/>
    <cellStyle name="Calc cel 2 2 2 2 4 3" xfId="3936"/>
    <cellStyle name="Calc cel 2 2 2 2 5" xfId="1306"/>
    <cellStyle name="Calc cel 2 2 2 2 5 2" xfId="2547"/>
    <cellStyle name="Calc cel 2 2 2 2 5 3" xfId="3967"/>
    <cellStyle name="Calc cel 2 2 2 2 6" xfId="946"/>
    <cellStyle name="Calc cel 2 2 2 2 6 2" xfId="3614"/>
    <cellStyle name="Calc cel 2 2 2 2 7" xfId="2189"/>
    <cellStyle name="Calc cel 2 2 2 2 8" xfId="3511"/>
    <cellStyle name="Calc cel 2 2 2 3" xfId="694"/>
    <cellStyle name="Calc cel 2 2 2 3 2" xfId="1920"/>
    <cellStyle name="Calc cel 2 2 2 3 2 2" xfId="3159"/>
    <cellStyle name="Calc cel 2 2 2 3 2 3" xfId="4571"/>
    <cellStyle name="Calc cel 2 2 2 3 3" xfId="1368"/>
    <cellStyle name="Calc cel 2 2 2 3 3 2" xfId="2609"/>
    <cellStyle name="Calc cel 2 2 2 3 3 3" xfId="4029"/>
    <cellStyle name="Calc cel 2 2 2 3 4" xfId="994"/>
    <cellStyle name="Calc cel 2 2 2 3 5" xfId="2237"/>
    <cellStyle name="Calc cel 2 2 2 3 6" xfId="3662"/>
    <cellStyle name="Calc cel 2 2 2 4" xfId="758"/>
    <cellStyle name="Calc cel 2 2 2 4 2" xfId="1984"/>
    <cellStyle name="Calc cel 2 2 2 4 2 2" xfId="3223"/>
    <cellStyle name="Calc cel 2 2 2 4 2 3" xfId="4635"/>
    <cellStyle name="Calc cel 2 2 2 4 3" xfId="1666"/>
    <cellStyle name="Calc cel 2 2 2 4 3 2" xfId="2906"/>
    <cellStyle name="Calc cel 2 2 2 4 3 3" xfId="4319"/>
    <cellStyle name="Calc cel 2 2 2 4 4" xfId="1058"/>
    <cellStyle name="Calc cel 2 2 2 4 5" xfId="2301"/>
    <cellStyle name="Calc cel 2 2 2 4 6" xfId="3726"/>
    <cellStyle name="Calc cel 2 2 2 5" xfId="820"/>
    <cellStyle name="Calc cel 2 2 2 5 2" xfId="2046"/>
    <cellStyle name="Calc cel 2 2 2 5 2 2" xfId="3285"/>
    <cellStyle name="Calc cel 2 2 2 5 2 3" xfId="4697"/>
    <cellStyle name="Calc cel 2 2 2 5 3" xfId="1724"/>
    <cellStyle name="Calc cel 2 2 2 5 3 2" xfId="2963"/>
    <cellStyle name="Calc cel 2 2 2 5 3 3" xfId="4375"/>
    <cellStyle name="Calc cel 2 2 2 5 4" xfId="1120"/>
    <cellStyle name="Calc cel 2 2 2 5 5" xfId="2363"/>
    <cellStyle name="Calc cel 2 2 2 5 6" xfId="3788"/>
    <cellStyle name="Calc cel 2 2 2 6" xfId="625"/>
    <cellStyle name="Calc cel 2 2 2 6 2" xfId="1548"/>
    <cellStyle name="Calc cel 2 2 2 6 3" xfId="2788"/>
    <cellStyle name="Calc cel 2 2 2 6 4" xfId="4202"/>
    <cellStyle name="Calc cel 2 2 2 7" xfId="1434"/>
    <cellStyle name="Calc cel 2 2 2 7 2" xfId="2675"/>
    <cellStyle name="Calc cel 2 2 2 7 3" xfId="4095"/>
    <cellStyle name="Calc cel 2 2 2 8" xfId="923"/>
    <cellStyle name="Calc cel 2 2 2 8 2" xfId="3357"/>
    <cellStyle name="Calc cel 2 2 2 9" xfId="2166"/>
    <cellStyle name="Calc cel 2 2 3" xfId="381"/>
    <cellStyle name="Calc cel 2 2 3 10" xfId="2145"/>
    <cellStyle name="Calc cel 2 2 3 11" xfId="473"/>
    <cellStyle name="Calc cel 2 2 3 12" xfId="3463"/>
    <cellStyle name="Calc cel 2 2 3 2" xfId="528"/>
    <cellStyle name="Calc cel 2 2 3 2 2" xfId="674"/>
    <cellStyle name="Calc cel 2 2 3 2 2 2" xfId="1595"/>
    <cellStyle name="Calc cel 2 2 3 2 2 3" xfId="2835"/>
    <cellStyle name="Calc cel 2 2 3 2 2 4" xfId="4249"/>
    <cellStyle name="Calc cel 2 2 3 2 3" xfId="1799"/>
    <cellStyle name="Calc cel 2 2 3 2 3 2" xfId="3038"/>
    <cellStyle name="Calc cel 2 2 3 2 3 3" xfId="4450"/>
    <cellStyle name="Calc cel 2 2 3 2 4" xfId="1348"/>
    <cellStyle name="Calc cel 2 2 3 2 4 2" xfId="2589"/>
    <cellStyle name="Calc cel 2 2 3 2 4 3" xfId="4009"/>
    <cellStyle name="Calc cel 2 2 3 2 5" xfId="974"/>
    <cellStyle name="Calc cel 2 2 3 2 5 2" xfId="3642"/>
    <cellStyle name="Calc cel 2 2 3 2 6" xfId="2217"/>
    <cellStyle name="Calc cel 2 2 3 2 7" xfId="3555"/>
    <cellStyle name="Calc cel 2 2 3 3" xfId="723"/>
    <cellStyle name="Calc cel 2 2 3 3 2" xfId="1634"/>
    <cellStyle name="Calc cel 2 2 3 3 2 2" xfId="1949"/>
    <cellStyle name="Calc cel 2 2 3 3 2 2 2" xfId="3188"/>
    <cellStyle name="Calc cel 2 2 3 3 2 2 3" xfId="4600"/>
    <cellStyle name="Calc cel 2 2 3 3 2 3" xfId="2874"/>
    <cellStyle name="Calc cel 2 2 3 3 2 4" xfId="4287"/>
    <cellStyle name="Calc cel 2 2 3 3 3" xfId="1815"/>
    <cellStyle name="Calc cel 2 2 3 3 3 2" xfId="3054"/>
    <cellStyle name="Calc cel 2 2 3 3 3 3" xfId="4466"/>
    <cellStyle name="Calc cel 2 2 3 3 4" xfId="1408"/>
    <cellStyle name="Calc cel 2 2 3 3 4 2" xfId="2649"/>
    <cellStyle name="Calc cel 2 2 3 3 4 3" xfId="4069"/>
    <cellStyle name="Calc cel 2 2 3 3 5" xfId="1023"/>
    <cellStyle name="Calc cel 2 2 3 3 6" xfId="2266"/>
    <cellStyle name="Calc cel 2 2 3 3 7" xfId="3691"/>
    <cellStyle name="Calc cel 2 2 3 4" xfId="787"/>
    <cellStyle name="Calc cel 2 2 3 4 2" xfId="2013"/>
    <cellStyle name="Calc cel 2 2 3 4 2 2" xfId="3252"/>
    <cellStyle name="Calc cel 2 2 3 4 2 3" xfId="4664"/>
    <cellStyle name="Calc cel 2 2 3 4 3" xfId="1695"/>
    <cellStyle name="Calc cel 2 2 3 4 3 2" xfId="2935"/>
    <cellStyle name="Calc cel 2 2 3 4 3 3" xfId="4348"/>
    <cellStyle name="Calc cel 2 2 3 4 4" xfId="1087"/>
    <cellStyle name="Calc cel 2 2 3 4 5" xfId="2330"/>
    <cellStyle name="Calc cel 2 2 3 4 6" xfId="3755"/>
    <cellStyle name="Calc cel 2 2 3 5" xfId="848"/>
    <cellStyle name="Calc cel 2 2 3 5 2" xfId="2074"/>
    <cellStyle name="Calc cel 2 2 3 5 2 2" xfId="3313"/>
    <cellStyle name="Calc cel 2 2 3 5 2 3" xfId="4725"/>
    <cellStyle name="Calc cel 2 2 3 5 3" xfId="1752"/>
    <cellStyle name="Calc cel 2 2 3 5 3 2" xfId="2991"/>
    <cellStyle name="Calc cel 2 2 3 5 3 3" xfId="4403"/>
    <cellStyle name="Calc cel 2 2 3 5 4" xfId="1148"/>
    <cellStyle name="Calc cel 2 2 3 5 5" xfId="2391"/>
    <cellStyle name="Calc cel 2 2 3 5 6" xfId="3816"/>
    <cellStyle name="Calc cel 2 2 3 6" xfId="604"/>
    <cellStyle name="Calc cel 2 2 3 6 2" xfId="1527"/>
    <cellStyle name="Calc cel 2 2 3 6 3" xfId="2767"/>
    <cellStyle name="Calc cel 2 2 3 6 4" xfId="4181"/>
    <cellStyle name="Calc cel 2 2 3 7" xfId="1259"/>
    <cellStyle name="Calc cel 2 2 3 7 2" xfId="2500"/>
    <cellStyle name="Calc cel 2 2 3 7 3" xfId="3923"/>
    <cellStyle name="Calc cel 2 2 3 8" xfId="1172"/>
    <cellStyle name="Calc cel 2 2 3 8 2" xfId="2415"/>
    <cellStyle name="Calc cel 2 2 3 8 3" xfId="3840"/>
    <cellStyle name="Calc cel 2 2 3 9" xfId="902"/>
    <cellStyle name="Calc cel 2 2 3 9 2" xfId="3361"/>
    <cellStyle name="Calc cel 2 2 4" xfId="355"/>
    <cellStyle name="Calc cel 2 2 4 2" xfId="1227"/>
    <cellStyle name="Calc cel 2 2 4 2 2" xfId="1834"/>
    <cellStyle name="Calc cel 2 2 4 2 2 2" xfId="3073"/>
    <cellStyle name="Calc cel 2 2 4 2 2 3" xfId="4485"/>
    <cellStyle name="Calc cel 2 2 4 2 3" xfId="2469"/>
    <cellStyle name="Calc cel 2 2 4 2 3 2" xfId="3893"/>
    <cellStyle name="Calc cel 2 2 4 2 4" xfId="3531"/>
    <cellStyle name="Calc cel 2 2 4 3" xfId="1454"/>
    <cellStyle name="Calc cel 2 2 4 3 2" xfId="2695"/>
    <cellStyle name="Calc cel 2 2 4 3 3" xfId="4113"/>
    <cellStyle name="Calc cel 2 2 4 4" xfId="1283"/>
    <cellStyle name="Calc cel 2 2 4 4 2" xfId="2524"/>
    <cellStyle name="Calc cel 2 2 4 4 3" xfId="3945"/>
    <cellStyle name="Calc cel 2 2 4 5" xfId="465"/>
    <cellStyle name="Calc cel 2 2 4 5 2" xfId="3488"/>
    <cellStyle name="Calc cel 2 2 4 6" xfId="2095"/>
    <cellStyle name="Calc cel 2 2 4 7" xfId="436"/>
    <cellStyle name="Calc cel 2 2 5" xfId="737"/>
    <cellStyle name="Calc cel 2 2 5 2" xfId="1963"/>
    <cellStyle name="Calc cel 2 2 5 2 2" xfId="3202"/>
    <cellStyle name="Calc cel 2 2 5 2 3" xfId="4614"/>
    <cellStyle name="Calc cel 2 2 5 3" xfId="1320"/>
    <cellStyle name="Calc cel 2 2 5 3 2" xfId="2561"/>
    <cellStyle name="Calc cel 2 2 5 3 3" xfId="3981"/>
    <cellStyle name="Calc cel 2 2 5 4" xfId="1037"/>
    <cellStyle name="Calc cel 2 2 5 4 2" xfId="3705"/>
    <cellStyle name="Calc cel 2 2 5 5" xfId="2280"/>
    <cellStyle name="Calc cel 2 2 5 6" xfId="3477"/>
    <cellStyle name="Calc cel 2 2 6" xfId="800"/>
    <cellStyle name="Calc cel 2 2 6 2" xfId="2026"/>
    <cellStyle name="Calc cel 2 2 6 2 2" xfId="3265"/>
    <cellStyle name="Calc cel 2 2 6 2 3" xfId="4677"/>
    <cellStyle name="Calc cel 2 2 6 3" xfId="1708"/>
    <cellStyle name="Calc cel 2 2 6 3 2" xfId="2948"/>
    <cellStyle name="Calc cel 2 2 6 3 3" xfId="4361"/>
    <cellStyle name="Calc cel 2 2 6 4" xfId="1100"/>
    <cellStyle name="Calc cel 2 2 6 5" xfId="2343"/>
    <cellStyle name="Calc cel 2 2 6 6" xfId="3768"/>
    <cellStyle name="Calc cel 2 2 7" xfId="467"/>
    <cellStyle name="Calc cel 2 2 7 2" xfId="1202"/>
    <cellStyle name="Calc cel 2 2 7 2 2" xfId="2444"/>
    <cellStyle name="Calc cel 2 2 7 2 3" xfId="3868"/>
    <cellStyle name="Calc cel 2 2 7 3" xfId="1435"/>
    <cellStyle name="Calc cel 2 2 7 4" xfId="2676"/>
    <cellStyle name="Calc cel 2 2 7 5" xfId="4096"/>
    <cellStyle name="Calc cel 2 2 8" xfId="1649"/>
    <cellStyle name="Calc cel 2 2 8 2" xfId="2889"/>
    <cellStyle name="Calc cel 2 2 8 3" xfId="4302"/>
    <cellStyle name="Calc cel 2 2 9" xfId="456"/>
    <cellStyle name="Calc cel 2 2 9 2" xfId="3588"/>
    <cellStyle name="Calc cel 2 3" xfId="205"/>
    <cellStyle name="Calc cel 2 3 2" xfId="375"/>
    <cellStyle name="Calc cel 2 3 2 10" xfId="2214"/>
    <cellStyle name="Calc cel 2 3 2 11" xfId="575"/>
    <cellStyle name="Calc cel 2 3 2 12" xfId="3460"/>
    <cellStyle name="Calc cel 2 3 2 2" xfId="720"/>
    <cellStyle name="Calc cel 2 3 2 2 2" xfId="1946"/>
    <cellStyle name="Calc cel 2 3 2 2 2 2" xfId="3185"/>
    <cellStyle name="Calc cel 2 3 2 2 2 3" xfId="4597"/>
    <cellStyle name="Calc cel 2 3 2 2 3" xfId="1812"/>
    <cellStyle name="Calc cel 2 3 2 2 3 2" xfId="3051"/>
    <cellStyle name="Calc cel 2 3 2 2 3 3" xfId="4463"/>
    <cellStyle name="Calc cel 2 3 2 2 4" xfId="1631"/>
    <cellStyle name="Calc cel 2 3 2 2 4 2" xfId="2871"/>
    <cellStyle name="Calc cel 2 3 2 2 4 3" xfId="4284"/>
    <cellStyle name="Calc cel 2 3 2 2 5" xfId="1020"/>
    <cellStyle name="Calc cel 2 3 2 2 5 2" xfId="3688"/>
    <cellStyle name="Calc cel 2 3 2 2 6" xfId="2263"/>
    <cellStyle name="Calc cel 2 3 2 2 7" xfId="3550"/>
    <cellStyle name="Calc cel 2 3 2 3" xfId="784"/>
    <cellStyle name="Calc cel 2 3 2 3 2" xfId="2010"/>
    <cellStyle name="Calc cel 2 3 2 3 2 2" xfId="3249"/>
    <cellStyle name="Calc cel 2 3 2 3 2 3" xfId="4661"/>
    <cellStyle name="Calc cel 2 3 2 3 3" xfId="1692"/>
    <cellStyle name="Calc cel 2 3 2 3 3 2" xfId="2932"/>
    <cellStyle name="Calc cel 2 3 2 3 3 3" xfId="4345"/>
    <cellStyle name="Calc cel 2 3 2 3 4" xfId="1084"/>
    <cellStyle name="Calc cel 2 3 2 3 5" xfId="2327"/>
    <cellStyle name="Calc cel 2 3 2 3 6" xfId="3752"/>
    <cellStyle name="Calc cel 2 3 2 4" xfId="845"/>
    <cellStyle name="Calc cel 2 3 2 4 2" xfId="2071"/>
    <cellStyle name="Calc cel 2 3 2 4 2 2" xfId="3310"/>
    <cellStyle name="Calc cel 2 3 2 4 2 3" xfId="4722"/>
    <cellStyle name="Calc cel 2 3 2 4 3" xfId="1749"/>
    <cellStyle name="Calc cel 2 3 2 4 3 2" xfId="2988"/>
    <cellStyle name="Calc cel 2 3 2 4 3 3" xfId="4400"/>
    <cellStyle name="Calc cel 2 3 2 4 4" xfId="1145"/>
    <cellStyle name="Calc cel 2 3 2 4 5" xfId="2388"/>
    <cellStyle name="Calc cel 2 3 2 4 6" xfId="3813"/>
    <cellStyle name="Calc cel 2 3 2 5" xfId="671"/>
    <cellStyle name="Calc cel 2 3 2 5 2" xfId="1904"/>
    <cellStyle name="Calc cel 2 3 2 5 2 2" xfId="3143"/>
    <cellStyle name="Calc cel 2 3 2 5 2 3" xfId="4555"/>
    <cellStyle name="Calc cel 2 3 2 5 3" xfId="1592"/>
    <cellStyle name="Calc cel 2 3 2 5 4" xfId="2832"/>
    <cellStyle name="Calc cel 2 3 2 5 5" xfId="4246"/>
    <cellStyle name="Calc cel 2 3 2 6" xfId="1507"/>
    <cellStyle name="Calc cel 2 3 2 6 2" xfId="2747"/>
    <cellStyle name="Calc cel 2 3 2 6 3" xfId="4161"/>
    <cellStyle name="Calc cel 2 3 2 7" xfId="1377"/>
    <cellStyle name="Calc cel 2 3 2 7 2" xfId="2618"/>
    <cellStyle name="Calc cel 2 3 2 7 3" xfId="4038"/>
    <cellStyle name="Calc cel 2 3 2 8" xfId="1405"/>
    <cellStyle name="Calc cel 2 3 2 8 2" xfId="2646"/>
    <cellStyle name="Calc cel 2 3 2 8 3" xfId="4066"/>
    <cellStyle name="Calc cel 2 3 2 9" xfId="971"/>
    <cellStyle name="Calc cel 2 3 2 9 2" xfId="3639"/>
    <cellStyle name="Calc cel 2 3 3" xfId="395"/>
    <cellStyle name="Calc cel 2 3 3 2" xfId="1876"/>
    <cellStyle name="Calc cel 2 3 3 2 2" xfId="3115"/>
    <cellStyle name="Calc cel 2 3 3 2 2 2" xfId="4527"/>
    <cellStyle name="Calc cel 2 3 3 2 3" xfId="3568"/>
    <cellStyle name="Calc cel 2 3 3 3" xfId="1344"/>
    <cellStyle name="Calc cel 2 3 3 3 2" xfId="2585"/>
    <cellStyle name="Calc cel 2 3 3 3 3" xfId="4005"/>
    <cellStyle name="Calc cel 2 3 3 4" xfId="935"/>
    <cellStyle name="Calc cel 2 3 3 4 2" xfId="3603"/>
    <cellStyle name="Calc cel 2 3 3 5" xfId="2178"/>
    <cellStyle name="Calc cel 2 3 3 6" xfId="3475"/>
    <cellStyle name="Calc cel 2 3 4" xfId="1854"/>
    <cellStyle name="Calc cel 2 3 4 2" xfId="3093"/>
    <cellStyle name="Calc cel 2 3 4 2 2" xfId="4505"/>
    <cellStyle name="Calc cel 2 3 4 3" xfId="3369"/>
    <cellStyle name="Calc cel 2 3 5" xfId="1612"/>
    <cellStyle name="Calc cel 2 3 5 2" xfId="2852"/>
    <cellStyle name="Calc cel 2 3 5 3" xfId="3351"/>
    <cellStyle name="Calc cel 2 3 6" xfId="1255"/>
    <cellStyle name="Calc cel 2 3 6 2" xfId="2497"/>
    <cellStyle name="Calc cel 2 3 6 3" xfId="3920"/>
    <cellStyle name="Calc cel 2 3 7" xfId="884"/>
    <cellStyle name="Calc cel 2 3 8" xfId="2128"/>
    <cellStyle name="Calc cel 2 3 9" xfId="301"/>
    <cellStyle name="Calc cel 2 4" xfId="452"/>
    <cellStyle name="Calc cel 3" xfId="12"/>
    <cellStyle name="Calc cel 3 2" xfId="268"/>
    <cellStyle name="Calc cel 3 2 10" xfId="602"/>
    <cellStyle name="Calc cel 3 2 11" xfId="400"/>
    <cellStyle name="Calc cel 3 2 2" xfId="322"/>
    <cellStyle name="Calc cel 3 2 2 10" xfId="492"/>
    <cellStyle name="Calc cel 3 2 2 11" xfId="3429"/>
    <cellStyle name="Calc cel 3 2 2 2" xfId="546"/>
    <cellStyle name="Calc cel 3 2 2 2 2" xfId="643"/>
    <cellStyle name="Calc cel 3 2 2 2 2 2" xfId="1884"/>
    <cellStyle name="Calc cel 3 2 2 2 2 2 2" xfId="3123"/>
    <cellStyle name="Calc cel 3 2 2 2 2 2 3" xfId="4535"/>
    <cellStyle name="Calc cel 3 2 2 2 2 3" xfId="1565"/>
    <cellStyle name="Calc cel 3 2 2 2 2 4" xfId="2805"/>
    <cellStyle name="Calc cel 3 2 2 2 2 5" xfId="4219"/>
    <cellStyle name="Calc cel 3 2 2 2 3" xfId="1482"/>
    <cellStyle name="Calc cel 3 2 2 2 3 2" xfId="2722"/>
    <cellStyle name="Calc cel 3 2 2 2 3 3" xfId="4138"/>
    <cellStyle name="Calc cel 3 2 2 2 4" xfId="1424"/>
    <cellStyle name="Calc cel 3 2 2 2 4 2" xfId="2665"/>
    <cellStyle name="Calc cel 3 2 2 2 4 3" xfId="4085"/>
    <cellStyle name="Calc cel 3 2 2 2 5" xfId="1304"/>
    <cellStyle name="Calc cel 3 2 2 2 5 2" xfId="2545"/>
    <cellStyle name="Calc cel 3 2 2 2 5 3" xfId="3965"/>
    <cellStyle name="Calc cel 3 2 2 2 6" xfId="944"/>
    <cellStyle name="Calc cel 3 2 2 2 6 2" xfId="3612"/>
    <cellStyle name="Calc cel 3 2 2 2 7" xfId="2187"/>
    <cellStyle name="Calc cel 3 2 2 2 8" xfId="3508"/>
    <cellStyle name="Calc cel 3 2 2 3" xfId="692"/>
    <cellStyle name="Calc cel 3 2 2 3 2" xfId="1918"/>
    <cellStyle name="Calc cel 3 2 2 3 2 2" xfId="3157"/>
    <cellStyle name="Calc cel 3 2 2 3 2 3" xfId="4569"/>
    <cellStyle name="Calc cel 3 2 2 3 3" xfId="1366"/>
    <cellStyle name="Calc cel 3 2 2 3 3 2" xfId="2607"/>
    <cellStyle name="Calc cel 3 2 2 3 3 3" xfId="4027"/>
    <cellStyle name="Calc cel 3 2 2 3 4" xfId="992"/>
    <cellStyle name="Calc cel 3 2 2 3 5" xfId="2235"/>
    <cellStyle name="Calc cel 3 2 2 3 6" xfId="3660"/>
    <cellStyle name="Calc cel 3 2 2 4" xfId="756"/>
    <cellStyle name="Calc cel 3 2 2 4 2" xfId="1982"/>
    <cellStyle name="Calc cel 3 2 2 4 2 2" xfId="3221"/>
    <cellStyle name="Calc cel 3 2 2 4 2 3" xfId="4633"/>
    <cellStyle name="Calc cel 3 2 2 4 3" xfId="1664"/>
    <cellStyle name="Calc cel 3 2 2 4 3 2" xfId="2904"/>
    <cellStyle name="Calc cel 3 2 2 4 3 3" xfId="4317"/>
    <cellStyle name="Calc cel 3 2 2 4 4" xfId="1056"/>
    <cellStyle name="Calc cel 3 2 2 4 5" xfId="2299"/>
    <cellStyle name="Calc cel 3 2 2 4 6" xfId="3724"/>
    <cellStyle name="Calc cel 3 2 2 5" xfId="818"/>
    <cellStyle name="Calc cel 3 2 2 5 2" xfId="2044"/>
    <cellStyle name="Calc cel 3 2 2 5 2 2" xfId="3283"/>
    <cellStyle name="Calc cel 3 2 2 5 2 3" xfId="4695"/>
    <cellStyle name="Calc cel 3 2 2 5 3" xfId="1722"/>
    <cellStyle name="Calc cel 3 2 2 5 3 2" xfId="2961"/>
    <cellStyle name="Calc cel 3 2 2 5 3 3" xfId="4373"/>
    <cellStyle name="Calc cel 3 2 2 5 4" xfId="1118"/>
    <cellStyle name="Calc cel 3 2 2 5 5" xfId="2361"/>
    <cellStyle name="Calc cel 3 2 2 5 6" xfId="3786"/>
    <cellStyle name="Calc cel 3 2 2 6" xfId="623"/>
    <cellStyle name="Calc cel 3 2 2 6 2" xfId="1546"/>
    <cellStyle name="Calc cel 3 2 2 6 3" xfId="2786"/>
    <cellStyle name="Calc cel 3 2 2 6 4" xfId="4200"/>
    <cellStyle name="Calc cel 3 2 2 7" xfId="1263"/>
    <cellStyle name="Calc cel 3 2 2 7 2" xfId="2504"/>
    <cellStyle name="Calc cel 3 2 2 7 3" xfId="3926"/>
    <cellStyle name="Calc cel 3 2 2 8" xfId="921"/>
    <cellStyle name="Calc cel 3 2 2 8 2" xfId="3590"/>
    <cellStyle name="Calc cel 3 2 2 9" xfId="2164"/>
    <cellStyle name="Calc cel 3 2 3" xfId="382"/>
    <cellStyle name="Calc cel 3 2 3 10" xfId="2146"/>
    <cellStyle name="Calc cel 3 2 3 11" xfId="474"/>
    <cellStyle name="Calc cel 3 2 3 12" xfId="3464"/>
    <cellStyle name="Calc cel 3 2 3 2" xfId="529"/>
    <cellStyle name="Calc cel 3 2 3 2 2" xfId="675"/>
    <cellStyle name="Calc cel 3 2 3 2 2 2" xfId="1596"/>
    <cellStyle name="Calc cel 3 2 3 2 2 3" xfId="2836"/>
    <cellStyle name="Calc cel 3 2 3 2 2 4" xfId="4250"/>
    <cellStyle name="Calc cel 3 2 3 2 3" xfId="1800"/>
    <cellStyle name="Calc cel 3 2 3 2 3 2" xfId="3039"/>
    <cellStyle name="Calc cel 3 2 3 2 3 3" xfId="4451"/>
    <cellStyle name="Calc cel 3 2 3 2 4" xfId="1349"/>
    <cellStyle name="Calc cel 3 2 3 2 4 2" xfId="2590"/>
    <cellStyle name="Calc cel 3 2 3 2 4 3" xfId="4010"/>
    <cellStyle name="Calc cel 3 2 3 2 5" xfId="975"/>
    <cellStyle name="Calc cel 3 2 3 2 5 2" xfId="3643"/>
    <cellStyle name="Calc cel 3 2 3 2 6" xfId="2218"/>
    <cellStyle name="Calc cel 3 2 3 2 7" xfId="3556"/>
    <cellStyle name="Calc cel 3 2 3 3" xfId="724"/>
    <cellStyle name="Calc cel 3 2 3 3 2" xfId="1635"/>
    <cellStyle name="Calc cel 3 2 3 3 2 2" xfId="1950"/>
    <cellStyle name="Calc cel 3 2 3 3 2 2 2" xfId="3189"/>
    <cellStyle name="Calc cel 3 2 3 3 2 2 3" xfId="4601"/>
    <cellStyle name="Calc cel 3 2 3 3 2 3" xfId="2875"/>
    <cellStyle name="Calc cel 3 2 3 3 2 4" xfId="4288"/>
    <cellStyle name="Calc cel 3 2 3 3 3" xfId="1816"/>
    <cellStyle name="Calc cel 3 2 3 3 3 2" xfId="3055"/>
    <cellStyle name="Calc cel 3 2 3 3 3 3" xfId="4467"/>
    <cellStyle name="Calc cel 3 2 3 3 4" xfId="1409"/>
    <cellStyle name="Calc cel 3 2 3 3 4 2" xfId="2650"/>
    <cellStyle name="Calc cel 3 2 3 3 4 3" xfId="4070"/>
    <cellStyle name="Calc cel 3 2 3 3 5" xfId="1024"/>
    <cellStyle name="Calc cel 3 2 3 3 6" xfId="2267"/>
    <cellStyle name="Calc cel 3 2 3 3 7" xfId="3692"/>
    <cellStyle name="Calc cel 3 2 3 4" xfId="788"/>
    <cellStyle name="Calc cel 3 2 3 4 2" xfId="2014"/>
    <cellStyle name="Calc cel 3 2 3 4 2 2" xfId="3253"/>
    <cellStyle name="Calc cel 3 2 3 4 2 3" xfId="4665"/>
    <cellStyle name="Calc cel 3 2 3 4 3" xfId="1696"/>
    <cellStyle name="Calc cel 3 2 3 4 3 2" xfId="2936"/>
    <cellStyle name="Calc cel 3 2 3 4 3 3" xfId="4349"/>
    <cellStyle name="Calc cel 3 2 3 4 4" xfId="1088"/>
    <cellStyle name="Calc cel 3 2 3 4 5" xfId="2331"/>
    <cellStyle name="Calc cel 3 2 3 4 6" xfId="3756"/>
    <cellStyle name="Calc cel 3 2 3 5" xfId="849"/>
    <cellStyle name="Calc cel 3 2 3 5 2" xfId="2075"/>
    <cellStyle name="Calc cel 3 2 3 5 2 2" xfId="3314"/>
    <cellStyle name="Calc cel 3 2 3 5 2 3" xfId="4726"/>
    <cellStyle name="Calc cel 3 2 3 5 3" xfId="1753"/>
    <cellStyle name="Calc cel 3 2 3 5 3 2" xfId="2992"/>
    <cellStyle name="Calc cel 3 2 3 5 3 3" xfId="4404"/>
    <cellStyle name="Calc cel 3 2 3 5 4" xfId="1149"/>
    <cellStyle name="Calc cel 3 2 3 5 5" xfId="2392"/>
    <cellStyle name="Calc cel 3 2 3 5 6" xfId="3817"/>
    <cellStyle name="Calc cel 3 2 3 6" xfId="605"/>
    <cellStyle name="Calc cel 3 2 3 6 2" xfId="1528"/>
    <cellStyle name="Calc cel 3 2 3 6 3" xfId="2768"/>
    <cellStyle name="Calc cel 3 2 3 6 4" xfId="4182"/>
    <cellStyle name="Calc cel 3 2 3 7" xfId="1383"/>
    <cellStyle name="Calc cel 3 2 3 7 2" xfId="2624"/>
    <cellStyle name="Calc cel 3 2 3 7 3" xfId="4044"/>
    <cellStyle name="Calc cel 3 2 3 8" xfId="1173"/>
    <cellStyle name="Calc cel 3 2 3 8 2" xfId="2416"/>
    <cellStyle name="Calc cel 3 2 3 8 3" xfId="3841"/>
    <cellStyle name="Calc cel 3 2 3 9" xfId="903"/>
    <cellStyle name="Calc cel 3 2 3 9 2" xfId="3396"/>
    <cellStyle name="Calc cel 3 2 4" xfId="329"/>
    <cellStyle name="Calc cel 3 2 4 2" xfId="1523"/>
    <cellStyle name="Calc cel 3 2 4 2 2" xfId="1860"/>
    <cellStyle name="Calc cel 3 2 4 2 2 2" xfId="3099"/>
    <cellStyle name="Calc cel 3 2 4 2 2 3" xfId="4511"/>
    <cellStyle name="Calc cel 3 2 4 2 3" xfId="2763"/>
    <cellStyle name="Calc cel 3 2 4 2 3 2" xfId="4177"/>
    <cellStyle name="Calc cel 3 2 4 2 4" xfId="3514"/>
    <cellStyle name="Calc cel 3 2 4 3" xfId="1205"/>
    <cellStyle name="Calc cel 3 2 4 3 2" xfId="2447"/>
    <cellStyle name="Calc cel 3 2 4 3 3" xfId="3871"/>
    <cellStyle name="Calc cel 3 2 4 4" xfId="1284"/>
    <cellStyle name="Calc cel 3 2 4 4 2" xfId="2525"/>
    <cellStyle name="Calc cel 3 2 4 4 3" xfId="3946"/>
    <cellStyle name="Calc cel 3 2 4 5" xfId="893"/>
    <cellStyle name="Calc cel 3 2 4 5 2" xfId="3580"/>
    <cellStyle name="Calc cel 3 2 4 6" xfId="2137"/>
    <cellStyle name="Calc cel 3 2 4 7" xfId="596"/>
    <cellStyle name="Calc cel 3 2 5" xfId="738"/>
    <cellStyle name="Calc cel 3 2 5 2" xfId="1964"/>
    <cellStyle name="Calc cel 3 2 5 2 2" xfId="3203"/>
    <cellStyle name="Calc cel 3 2 5 2 3" xfId="4615"/>
    <cellStyle name="Calc cel 3 2 5 3" xfId="1321"/>
    <cellStyle name="Calc cel 3 2 5 3 2" xfId="2562"/>
    <cellStyle name="Calc cel 3 2 5 3 3" xfId="3982"/>
    <cellStyle name="Calc cel 3 2 5 4" xfId="1038"/>
    <cellStyle name="Calc cel 3 2 5 4 2" xfId="3706"/>
    <cellStyle name="Calc cel 3 2 5 5" xfId="2281"/>
    <cellStyle name="Calc cel 3 2 5 6" xfId="3478"/>
    <cellStyle name="Calc cel 3 2 6" xfId="801"/>
    <cellStyle name="Calc cel 3 2 6 2" xfId="2027"/>
    <cellStyle name="Calc cel 3 2 6 2 2" xfId="3266"/>
    <cellStyle name="Calc cel 3 2 6 2 3" xfId="4678"/>
    <cellStyle name="Calc cel 3 2 6 3" xfId="1709"/>
    <cellStyle name="Calc cel 3 2 6 3 2" xfId="2949"/>
    <cellStyle name="Calc cel 3 2 6 3 3" xfId="4362"/>
    <cellStyle name="Calc cel 3 2 6 4" xfId="1101"/>
    <cellStyle name="Calc cel 3 2 6 5" xfId="2344"/>
    <cellStyle name="Calc cel 3 2 6 6" xfId="3769"/>
    <cellStyle name="Calc cel 3 2 7" xfId="418"/>
    <cellStyle name="Calc cel 3 2 7 2" xfId="1421"/>
    <cellStyle name="Calc cel 3 2 7 2 2" xfId="2662"/>
    <cellStyle name="Calc cel 3 2 7 2 3" xfId="4082"/>
    <cellStyle name="Calc cel 3 2 7 3" xfId="1226"/>
    <cellStyle name="Calc cel 3 2 7 4" xfId="2468"/>
    <cellStyle name="Calc cel 3 2 7 5" xfId="3892"/>
    <cellStyle name="Calc cel 3 2 8" xfId="1472"/>
    <cellStyle name="Calc cel 3 2 8 2" xfId="2713"/>
    <cellStyle name="Calc cel 3 2 8 3" xfId="4130"/>
    <cellStyle name="Calc cel 3 2 9" xfId="441"/>
    <cellStyle name="Calc cel 3 2 9 2" xfId="3358"/>
    <cellStyle name="Calc cel 3 3" xfId="206"/>
    <cellStyle name="Calc cel 3 3 2" xfId="372"/>
    <cellStyle name="Calc cel 3 3 2 10" xfId="2213"/>
    <cellStyle name="Calc cel 3 3 2 11" xfId="572"/>
    <cellStyle name="Calc cel 3 3 2 12" xfId="3459"/>
    <cellStyle name="Calc cel 3 3 2 2" xfId="718"/>
    <cellStyle name="Calc cel 3 3 2 2 2" xfId="1944"/>
    <cellStyle name="Calc cel 3 3 2 2 2 2" xfId="3183"/>
    <cellStyle name="Calc cel 3 3 2 2 2 3" xfId="4595"/>
    <cellStyle name="Calc cel 3 3 2 2 3" xfId="1810"/>
    <cellStyle name="Calc cel 3 3 2 2 3 2" xfId="3049"/>
    <cellStyle name="Calc cel 3 3 2 2 3 3" xfId="4461"/>
    <cellStyle name="Calc cel 3 3 2 2 4" xfId="1629"/>
    <cellStyle name="Calc cel 3 3 2 2 4 2" xfId="2869"/>
    <cellStyle name="Calc cel 3 3 2 2 4 3" xfId="4282"/>
    <cellStyle name="Calc cel 3 3 2 2 5" xfId="1018"/>
    <cellStyle name="Calc cel 3 3 2 2 5 2" xfId="3686"/>
    <cellStyle name="Calc cel 3 3 2 2 6" xfId="2261"/>
    <cellStyle name="Calc cel 3 3 2 2 7" xfId="3548"/>
    <cellStyle name="Calc cel 3 3 2 3" xfId="782"/>
    <cellStyle name="Calc cel 3 3 2 3 2" xfId="2008"/>
    <cellStyle name="Calc cel 3 3 2 3 2 2" xfId="3247"/>
    <cellStyle name="Calc cel 3 3 2 3 2 3" xfId="4659"/>
    <cellStyle name="Calc cel 3 3 2 3 3" xfId="1690"/>
    <cellStyle name="Calc cel 3 3 2 3 3 2" xfId="2930"/>
    <cellStyle name="Calc cel 3 3 2 3 3 3" xfId="4343"/>
    <cellStyle name="Calc cel 3 3 2 3 4" xfId="1082"/>
    <cellStyle name="Calc cel 3 3 2 3 5" xfId="2325"/>
    <cellStyle name="Calc cel 3 3 2 3 6" xfId="3750"/>
    <cellStyle name="Calc cel 3 3 2 4" xfId="844"/>
    <cellStyle name="Calc cel 3 3 2 4 2" xfId="2070"/>
    <cellStyle name="Calc cel 3 3 2 4 2 2" xfId="3309"/>
    <cellStyle name="Calc cel 3 3 2 4 2 3" xfId="4721"/>
    <cellStyle name="Calc cel 3 3 2 4 3" xfId="1748"/>
    <cellStyle name="Calc cel 3 3 2 4 3 2" xfId="2987"/>
    <cellStyle name="Calc cel 3 3 2 4 3 3" xfId="4399"/>
    <cellStyle name="Calc cel 3 3 2 4 4" xfId="1144"/>
    <cellStyle name="Calc cel 3 3 2 4 5" xfId="2387"/>
    <cellStyle name="Calc cel 3 3 2 4 6" xfId="3812"/>
    <cellStyle name="Calc cel 3 3 2 5" xfId="669"/>
    <cellStyle name="Calc cel 3 3 2 5 2" xfId="1903"/>
    <cellStyle name="Calc cel 3 3 2 5 2 2" xfId="3142"/>
    <cellStyle name="Calc cel 3 3 2 5 2 3" xfId="4554"/>
    <cellStyle name="Calc cel 3 3 2 5 3" xfId="1591"/>
    <cellStyle name="Calc cel 3 3 2 5 4" xfId="2831"/>
    <cellStyle name="Calc cel 3 3 2 5 5" xfId="4245"/>
    <cellStyle name="Calc cel 3 3 2 6" xfId="1504"/>
    <cellStyle name="Calc cel 3 3 2 6 2" xfId="2744"/>
    <cellStyle name="Calc cel 3 3 2 6 3" xfId="4158"/>
    <cellStyle name="Calc cel 3 3 2 7" xfId="1190"/>
    <cellStyle name="Calc cel 3 3 2 7 2" xfId="2433"/>
    <cellStyle name="Calc cel 3 3 2 7 3" xfId="3858"/>
    <cellStyle name="Calc cel 3 3 2 8" xfId="1402"/>
    <cellStyle name="Calc cel 3 3 2 8 2" xfId="2643"/>
    <cellStyle name="Calc cel 3 3 2 8 3" xfId="4063"/>
    <cellStyle name="Calc cel 3 3 2 9" xfId="970"/>
    <cellStyle name="Calc cel 3 3 2 9 2" xfId="3638"/>
    <cellStyle name="Calc cel 3 3 3" xfId="353"/>
    <cellStyle name="Calc cel 3 3 3 2" xfId="1828"/>
    <cellStyle name="Calc cel 3 3 3 2 2" xfId="3067"/>
    <cellStyle name="Calc cel 3 3 3 2 2 2" xfId="4479"/>
    <cellStyle name="Calc cel 3 3 3 2 3" xfId="3529"/>
    <cellStyle name="Calc cel 3 3 3 3" xfId="1430"/>
    <cellStyle name="Calc cel 3 3 3 3 2" xfId="2671"/>
    <cellStyle name="Calc cel 3 3 3 3 3" xfId="4091"/>
    <cellStyle name="Calc cel 3 3 3 4" xfId="438"/>
    <cellStyle name="Calc cel 3 3 3 4 2" xfId="3573"/>
    <cellStyle name="Calc cel 3 3 3 5" xfId="2086"/>
    <cellStyle name="Calc cel 3 3 3 6" xfId="3443"/>
    <cellStyle name="Calc cel 3 3 4" xfId="1868"/>
    <cellStyle name="Calc cel 3 3 4 2" xfId="3107"/>
    <cellStyle name="Calc cel 3 3 4 2 2" xfId="4519"/>
    <cellStyle name="Calc cel 3 3 4 3" xfId="3370"/>
    <cellStyle name="Calc cel 3 3 5" xfId="1455"/>
    <cellStyle name="Calc cel 3 3 5 2" xfId="2696"/>
    <cellStyle name="Calc cel 3 3 5 3" xfId="3354"/>
    <cellStyle name="Calc cel 3 3 6" xfId="1188"/>
    <cellStyle name="Calc cel 3 3 6 2" xfId="2431"/>
    <cellStyle name="Calc cel 3 3 6 3" xfId="3856"/>
    <cellStyle name="Calc cel 3 3 7" xfId="880"/>
    <cellStyle name="Calc cel 3 3 8" xfId="2124"/>
    <cellStyle name="Calc cel 3 3 9" xfId="300"/>
    <cellStyle name="Calc cel 3 4" xfId="502"/>
    <cellStyle name="Calc cel 4" xfId="266"/>
    <cellStyle name="Calc cel 4 10" xfId="484"/>
    <cellStyle name="Calc cel 4 11" xfId="396"/>
    <cellStyle name="Calc cel 4 2" xfId="327"/>
    <cellStyle name="Calc cel 4 2 10" xfId="495"/>
    <cellStyle name="Calc cel 4 2 11" xfId="3432"/>
    <cellStyle name="Calc cel 4 2 2" xfId="549"/>
    <cellStyle name="Calc cel 4 2 2 2" xfId="646"/>
    <cellStyle name="Calc cel 4 2 2 2 2" xfId="1887"/>
    <cellStyle name="Calc cel 4 2 2 2 2 2" xfId="3126"/>
    <cellStyle name="Calc cel 4 2 2 2 2 3" xfId="4538"/>
    <cellStyle name="Calc cel 4 2 2 2 3" xfId="1568"/>
    <cellStyle name="Calc cel 4 2 2 2 4" xfId="2808"/>
    <cellStyle name="Calc cel 4 2 2 2 5" xfId="4222"/>
    <cellStyle name="Calc cel 4 2 2 3" xfId="1485"/>
    <cellStyle name="Calc cel 4 2 2 3 2" xfId="2725"/>
    <cellStyle name="Calc cel 4 2 2 3 3" xfId="4141"/>
    <cellStyle name="Calc cel 4 2 2 4" xfId="1648"/>
    <cellStyle name="Calc cel 4 2 2 4 2" xfId="2888"/>
    <cellStyle name="Calc cel 4 2 2 4 3" xfId="4301"/>
    <cellStyle name="Calc cel 4 2 2 5" xfId="1307"/>
    <cellStyle name="Calc cel 4 2 2 5 2" xfId="2548"/>
    <cellStyle name="Calc cel 4 2 2 5 3" xfId="3968"/>
    <cellStyle name="Calc cel 4 2 2 6" xfId="947"/>
    <cellStyle name="Calc cel 4 2 2 6 2" xfId="3615"/>
    <cellStyle name="Calc cel 4 2 2 7" xfId="2190"/>
    <cellStyle name="Calc cel 4 2 2 8" xfId="3512"/>
    <cellStyle name="Calc cel 4 2 3" xfId="695"/>
    <cellStyle name="Calc cel 4 2 3 2" xfId="1921"/>
    <cellStyle name="Calc cel 4 2 3 2 2" xfId="3160"/>
    <cellStyle name="Calc cel 4 2 3 2 3" xfId="4572"/>
    <cellStyle name="Calc cel 4 2 3 3" xfId="1369"/>
    <cellStyle name="Calc cel 4 2 3 3 2" xfId="2610"/>
    <cellStyle name="Calc cel 4 2 3 3 3" xfId="4030"/>
    <cellStyle name="Calc cel 4 2 3 4" xfId="995"/>
    <cellStyle name="Calc cel 4 2 3 5" xfId="2238"/>
    <cellStyle name="Calc cel 4 2 3 6" xfId="3663"/>
    <cellStyle name="Calc cel 4 2 4" xfId="759"/>
    <cellStyle name="Calc cel 4 2 4 2" xfId="1985"/>
    <cellStyle name="Calc cel 4 2 4 2 2" xfId="3224"/>
    <cellStyle name="Calc cel 4 2 4 2 3" xfId="4636"/>
    <cellStyle name="Calc cel 4 2 4 3" xfId="1667"/>
    <cellStyle name="Calc cel 4 2 4 3 2" xfId="2907"/>
    <cellStyle name="Calc cel 4 2 4 3 3" xfId="4320"/>
    <cellStyle name="Calc cel 4 2 4 4" xfId="1059"/>
    <cellStyle name="Calc cel 4 2 4 5" xfId="2302"/>
    <cellStyle name="Calc cel 4 2 4 6" xfId="3727"/>
    <cellStyle name="Calc cel 4 2 5" xfId="821"/>
    <cellStyle name="Calc cel 4 2 5 2" xfId="2047"/>
    <cellStyle name="Calc cel 4 2 5 2 2" xfId="3286"/>
    <cellStyle name="Calc cel 4 2 5 2 3" xfId="4698"/>
    <cellStyle name="Calc cel 4 2 5 3" xfId="1725"/>
    <cellStyle name="Calc cel 4 2 5 3 2" xfId="2964"/>
    <cellStyle name="Calc cel 4 2 5 3 3" xfId="4376"/>
    <cellStyle name="Calc cel 4 2 5 4" xfId="1121"/>
    <cellStyle name="Calc cel 4 2 5 5" xfId="2364"/>
    <cellStyle name="Calc cel 4 2 5 6" xfId="3789"/>
    <cellStyle name="Calc cel 4 2 6" xfId="626"/>
    <cellStyle name="Calc cel 4 2 6 2" xfId="1549"/>
    <cellStyle name="Calc cel 4 2 6 3" xfId="2789"/>
    <cellStyle name="Calc cel 4 2 6 4" xfId="4203"/>
    <cellStyle name="Calc cel 4 2 7" xfId="1244"/>
    <cellStyle name="Calc cel 4 2 7 2" xfId="2486"/>
    <cellStyle name="Calc cel 4 2 7 3" xfId="3910"/>
    <cellStyle name="Calc cel 4 2 8" xfId="924"/>
    <cellStyle name="Calc cel 4 2 8 2" xfId="3348"/>
    <cellStyle name="Calc cel 4 2 9" xfId="2167"/>
    <cellStyle name="Calc cel 4 3" xfId="380"/>
    <cellStyle name="Calc cel 4 3 10" xfId="2144"/>
    <cellStyle name="Calc cel 4 3 11" xfId="472"/>
    <cellStyle name="Calc cel 4 3 12" xfId="3462"/>
    <cellStyle name="Calc cel 4 3 2" xfId="527"/>
    <cellStyle name="Calc cel 4 3 2 2" xfId="673"/>
    <cellStyle name="Calc cel 4 3 2 2 2" xfId="1594"/>
    <cellStyle name="Calc cel 4 3 2 2 3" xfId="2834"/>
    <cellStyle name="Calc cel 4 3 2 2 4" xfId="4248"/>
    <cellStyle name="Calc cel 4 3 2 3" xfId="1798"/>
    <cellStyle name="Calc cel 4 3 2 3 2" xfId="3037"/>
    <cellStyle name="Calc cel 4 3 2 3 3" xfId="4449"/>
    <cellStyle name="Calc cel 4 3 2 4" xfId="1347"/>
    <cellStyle name="Calc cel 4 3 2 4 2" xfId="2588"/>
    <cellStyle name="Calc cel 4 3 2 4 3" xfId="4008"/>
    <cellStyle name="Calc cel 4 3 2 5" xfId="973"/>
    <cellStyle name="Calc cel 4 3 2 5 2" xfId="3641"/>
    <cellStyle name="Calc cel 4 3 2 6" xfId="2216"/>
    <cellStyle name="Calc cel 4 3 2 7" xfId="3554"/>
    <cellStyle name="Calc cel 4 3 3" xfId="722"/>
    <cellStyle name="Calc cel 4 3 3 2" xfId="1633"/>
    <cellStyle name="Calc cel 4 3 3 2 2" xfId="1948"/>
    <cellStyle name="Calc cel 4 3 3 2 2 2" xfId="3187"/>
    <cellStyle name="Calc cel 4 3 3 2 2 3" xfId="4599"/>
    <cellStyle name="Calc cel 4 3 3 2 3" xfId="2873"/>
    <cellStyle name="Calc cel 4 3 3 2 4" xfId="4286"/>
    <cellStyle name="Calc cel 4 3 3 3" xfId="1814"/>
    <cellStyle name="Calc cel 4 3 3 3 2" xfId="3053"/>
    <cellStyle name="Calc cel 4 3 3 3 3" xfId="4465"/>
    <cellStyle name="Calc cel 4 3 3 4" xfId="1407"/>
    <cellStyle name="Calc cel 4 3 3 4 2" xfId="2648"/>
    <cellStyle name="Calc cel 4 3 3 4 3" xfId="4068"/>
    <cellStyle name="Calc cel 4 3 3 5" xfId="1022"/>
    <cellStyle name="Calc cel 4 3 3 6" xfId="2265"/>
    <cellStyle name="Calc cel 4 3 3 7" xfId="3690"/>
    <cellStyle name="Calc cel 4 3 4" xfId="786"/>
    <cellStyle name="Calc cel 4 3 4 2" xfId="2012"/>
    <cellStyle name="Calc cel 4 3 4 2 2" xfId="3251"/>
    <cellStyle name="Calc cel 4 3 4 2 3" xfId="4663"/>
    <cellStyle name="Calc cel 4 3 4 3" xfId="1694"/>
    <cellStyle name="Calc cel 4 3 4 3 2" xfId="2934"/>
    <cellStyle name="Calc cel 4 3 4 3 3" xfId="4347"/>
    <cellStyle name="Calc cel 4 3 4 4" xfId="1086"/>
    <cellStyle name="Calc cel 4 3 4 5" xfId="2329"/>
    <cellStyle name="Calc cel 4 3 4 6" xfId="3754"/>
    <cellStyle name="Calc cel 4 3 5" xfId="847"/>
    <cellStyle name="Calc cel 4 3 5 2" xfId="2073"/>
    <cellStyle name="Calc cel 4 3 5 2 2" xfId="3312"/>
    <cellStyle name="Calc cel 4 3 5 2 3" xfId="4724"/>
    <cellStyle name="Calc cel 4 3 5 3" xfId="1751"/>
    <cellStyle name="Calc cel 4 3 5 3 2" xfId="2990"/>
    <cellStyle name="Calc cel 4 3 5 3 3" xfId="4402"/>
    <cellStyle name="Calc cel 4 3 5 4" xfId="1147"/>
    <cellStyle name="Calc cel 4 3 5 5" xfId="2390"/>
    <cellStyle name="Calc cel 4 3 5 6" xfId="3815"/>
    <cellStyle name="Calc cel 4 3 6" xfId="603"/>
    <cellStyle name="Calc cel 4 3 6 2" xfId="1526"/>
    <cellStyle name="Calc cel 4 3 6 3" xfId="2766"/>
    <cellStyle name="Calc cel 4 3 6 4" xfId="4180"/>
    <cellStyle name="Calc cel 4 3 7" xfId="1450"/>
    <cellStyle name="Calc cel 4 3 7 2" xfId="2691"/>
    <cellStyle name="Calc cel 4 3 7 3" xfId="4109"/>
    <cellStyle name="Calc cel 4 3 8" xfId="1171"/>
    <cellStyle name="Calc cel 4 3 8 2" xfId="2414"/>
    <cellStyle name="Calc cel 4 3 8 3" xfId="3839"/>
    <cellStyle name="Calc cel 4 3 9" xfId="901"/>
    <cellStyle name="Calc cel 4 3 9 2" xfId="3360"/>
    <cellStyle name="Calc cel 4 4" xfId="338"/>
    <cellStyle name="Calc cel 4 4 2" xfId="1336"/>
    <cellStyle name="Calc cel 4 4 2 2" xfId="1846"/>
    <cellStyle name="Calc cel 4 4 2 2 2" xfId="3085"/>
    <cellStyle name="Calc cel 4 4 2 2 3" xfId="4497"/>
    <cellStyle name="Calc cel 4 4 2 3" xfId="2577"/>
    <cellStyle name="Calc cel 4 4 2 3 2" xfId="3997"/>
    <cellStyle name="Calc cel 4 4 2 4" xfId="3519"/>
    <cellStyle name="Calc cel 4 4 3" xfId="1805"/>
    <cellStyle name="Calc cel 4 4 3 2" xfId="3044"/>
    <cellStyle name="Calc cel 4 4 3 3" xfId="4456"/>
    <cellStyle name="Calc cel 4 4 4" xfId="1197"/>
    <cellStyle name="Calc cel 4 4 4 2" xfId="2440"/>
    <cellStyle name="Calc cel 4 4 4 3" xfId="3865"/>
    <cellStyle name="Calc cel 4 4 5" xfId="870"/>
    <cellStyle name="Calc cel 4 4 5 2" xfId="3328"/>
    <cellStyle name="Calc cel 4 4 6" xfId="2114"/>
    <cellStyle name="Calc cel 4 4 7" xfId="419"/>
    <cellStyle name="Calc cel 4 5" xfId="736"/>
    <cellStyle name="Calc cel 4 5 2" xfId="1962"/>
    <cellStyle name="Calc cel 4 5 2 2" xfId="3201"/>
    <cellStyle name="Calc cel 4 5 2 3" xfId="4613"/>
    <cellStyle name="Calc cel 4 5 3" xfId="1319"/>
    <cellStyle name="Calc cel 4 5 3 2" xfId="2560"/>
    <cellStyle name="Calc cel 4 5 3 3" xfId="3980"/>
    <cellStyle name="Calc cel 4 5 4" xfId="1036"/>
    <cellStyle name="Calc cel 4 5 4 2" xfId="3704"/>
    <cellStyle name="Calc cel 4 5 5" xfId="2279"/>
    <cellStyle name="Calc cel 4 5 6" xfId="3476"/>
    <cellStyle name="Calc cel 4 6" xfId="799"/>
    <cellStyle name="Calc cel 4 6 2" xfId="2025"/>
    <cellStyle name="Calc cel 4 6 2 2" xfId="3264"/>
    <cellStyle name="Calc cel 4 6 2 3" xfId="4676"/>
    <cellStyle name="Calc cel 4 6 3" xfId="1707"/>
    <cellStyle name="Calc cel 4 6 3 2" xfId="2947"/>
    <cellStyle name="Calc cel 4 6 3 3" xfId="4360"/>
    <cellStyle name="Calc cel 4 6 4" xfId="1099"/>
    <cellStyle name="Calc cel 4 6 5" xfId="2342"/>
    <cellStyle name="Calc cel 4 6 6" xfId="3767"/>
    <cellStyle name="Calc cel 4 7" xfId="574"/>
    <cellStyle name="Calc cel 4 7 2" xfId="1470"/>
    <cellStyle name="Calc cel 4 7 2 2" xfId="2711"/>
    <cellStyle name="Calc cel 4 7 2 3" xfId="4128"/>
    <cellStyle name="Calc cel 4 7 3" xfId="1506"/>
    <cellStyle name="Calc cel 4 7 4" xfId="2746"/>
    <cellStyle name="Calc cel 4 7 5" xfId="4160"/>
    <cellStyle name="Calc cel 4 8" xfId="1239"/>
    <cellStyle name="Calc cel 4 8 2" xfId="2481"/>
    <cellStyle name="Calc cel 4 8 3" xfId="3905"/>
    <cellStyle name="Calc cel 4 9" xfId="459"/>
    <cellStyle name="Calc cel 4 9 2" xfId="3576"/>
    <cellStyle name="Calc cel 5" xfId="204"/>
    <cellStyle name="Calc cel 5 2" xfId="360"/>
    <cellStyle name="Calc cel 5 2 10" xfId="2203"/>
    <cellStyle name="Calc cel 5 2 11" xfId="566"/>
    <cellStyle name="Calc cel 5 2 12" xfId="3449"/>
    <cellStyle name="Calc cel 5 2 2" xfId="708"/>
    <cellStyle name="Calc cel 5 2 2 2" xfId="1934"/>
    <cellStyle name="Calc cel 5 2 2 2 2" xfId="3173"/>
    <cellStyle name="Calc cel 5 2 2 2 3" xfId="4585"/>
    <cellStyle name="Calc cel 5 2 2 3" xfId="1775"/>
    <cellStyle name="Calc cel 5 2 2 3 2" xfId="3014"/>
    <cellStyle name="Calc cel 5 2 2 3 3" xfId="4426"/>
    <cellStyle name="Calc cel 5 2 2 4" xfId="1619"/>
    <cellStyle name="Calc cel 5 2 2 4 2" xfId="2859"/>
    <cellStyle name="Calc cel 5 2 2 4 3" xfId="4272"/>
    <cellStyle name="Calc cel 5 2 2 5" xfId="1008"/>
    <cellStyle name="Calc cel 5 2 2 5 2" xfId="3676"/>
    <cellStyle name="Calc cel 5 2 2 6" xfId="2251"/>
    <cellStyle name="Calc cel 5 2 2 7" xfId="3536"/>
    <cellStyle name="Calc cel 5 2 3" xfId="772"/>
    <cellStyle name="Calc cel 5 2 3 2" xfId="1998"/>
    <cellStyle name="Calc cel 5 2 3 2 2" xfId="3237"/>
    <cellStyle name="Calc cel 5 2 3 2 3" xfId="4649"/>
    <cellStyle name="Calc cel 5 2 3 3" xfId="1680"/>
    <cellStyle name="Calc cel 5 2 3 3 2" xfId="2920"/>
    <cellStyle name="Calc cel 5 2 3 3 3" xfId="4333"/>
    <cellStyle name="Calc cel 5 2 3 4" xfId="1072"/>
    <cellStyle name="Calc cel 5 2 3 5" xfId="2315"/>
    <cellStyle name="Calc cel 5 2 3 6" xfId="3740"/>
    <cellStyle name="Calc cel 5 2 4" xfId="834"/>
    <cellStyle name="Calc cel 5 2 4 2" xfId="2060"/>
    <cellStyle name="Calc cel 5 2 4 2 2" xfId="3299"/>
    <cellStyle name="Calc cel 5 2 4 2 3" xfId="4711"/>
    <cellStyle name="Calc cel 5 2 4 3" xfId="1738"/>
    <cellStyle name="Calc cel 5 2 4 3 2" xfId="2977"/>
    <cellStyle name="Calc cel 5 2 4 3 3" xfId="4389"/>
    <cellStyle name="Calc cel 5 2 4 4" xfId="1134"/>
    <cellStyle name="Calc cel 5 2 4 5" xfId="2377"/>
    <cellStyle name="Calc cel 5 2 4 6" xfId="3802"/>
    <cellStyle name="Calc cel 5 2 5" xfId="659"/>
    <cellStyle name="Calc cel 5 2 5 2" xfId="1897"/>
    <cellStyle name="Calc cel 5 2 5 2 2" xfId="3136"/>
    <cellStyle name="Calc cel 5 2 5 2 3" xfId="4548"/>
    <cellStyle name="Calc cel 5 2 5 3" xfId="1581"/>
    <cellStyle name="Calc cel 5 2 5 4" xfId="2821"/>
    <cellStyle name="Calc cel 5 2 5 5" xfId="4235"/>
    <cellStyle name="Calc cel 5 2 6" xfId="1501"/>
    <cellStyle name="Calc cel 5 2 6 2" xfId="2741"/>
    <cellStyle name="Calc cel 5 2 6 3" xfId="4155"/>
    <cellStyle name="Calc cel 5 2 7" xfId="1433"/>
    <cellStyle name="Calc cel 5 2 7 2" xfId="2674"/>
    <cellStyle name="Calc cel 5 2 7 3" xfId="4094"/>
    <cellStyle name="Calc cel 5 2 8" xfId="1392"/>
    <cellStyle name="Calc cel 5 2 8 2" xfId="2633"/>
    <cellStyle name="Calc cel 5 2 8 3" xfId="4053"/>
    <cellStyle name="Calc cel 5 2 9" xfId="960"/>
    <cellStyle name="Calc cel 5 2 9 2" xfId="3628"/>
    <cellStyle name="Calc cel 5 3" xfId="351"/>
    <cellStyle name="Calc cel 5 3 2" xfId="1842"/>
    <cellStyle name="Calc cel 5 3 2 2" xfId="3081"/>
    <cellStyle name="Calc cel 5 3 2 2 2" xfId="4493"/>
    <cellStyle name="Calc cel 5 3 2 3" xfId="3527"/>
    <cellStyle name="Calc cel 5 3 3" xfId="1458"/>
    <cellStyle name="Calc cel 5 3 3 2" xfId="2699"/>
    <cellStyle name="Calc cel 5 3 3 3" xfId="4116"/>
    <cellStyle name="Calc cel 5 3 4" xfId="861"/>
    <cellStyle name="Calc cel 5 3 4 2" xfId="3339"/>
    <cellStyle name="Calc cel 5 3 5" xfId="2105"/>
    <cellStyle name="Calc cel 5 3 6" xfId="3441"/>
    <cellStyle name="Calc cel 5 4" xfId="1850"/>
    <cellStyle name="Calc cel 5 4 2" xfId="3089"/>
    <cellStyle name="Calc cel 5 4 2 2" xfId="4501"/>
    <cellStyle name="Calc cel 5 4 3" xfId="3368"/>
    <cellStyle name="Calc cel 5 5" xfId="1449"/>
    <cellStyle name="Calc cel 5 5 2" xfId="2690"/>
    <cellStyle name="Calc cel 5 5 3" xfId="349"/>
    <cellStyle name="Calc cel 5 6" xfId="1272"/>
    <cellStyle name="Calc cel 5 6 2" xfId="2513"/>
    <cellStyle name="Calc cel 5 6 3" xfId="3934"/>
    <cellStyle name="Calc cel 5 7" xfId="864"/>
    <cellStyle name="Calc cel 5 8" xfId="2108"/>
    <cellStyle name="Calc cel 5 9" xfId="410"/>
    <cellStyle name="Calc cel 6" xfId="340"/>
    <cellStyle name="Calculation" xfId="179" builtinId="22" customBuiltin="1"/>
    <cellStyle name="Check Cell" xfId="181" builtinId="23" customBuiltin="1"/>
    <cellStyle name="Comma" xfId="173" builtinId="3"/>
    <cellStyle name="Comma 2" xfId="13"/>
    <cellStyle name="Comma 3" xfId="157"/>
    <cellStyle name="Comma 4" xfId="229"/>
    <cellStyle name="Comma 5" xfId="374"/>
    <cellStyle name="Comma 6" xfId="3353"/>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4736"/>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432"/>
    <cellStyle name="Input cel 2 2 11" xfId="402"/>
    <cellStyle name="Input cel 2 2 2" xfId="318"/>
    <cellStyle name="Input cel 2 2 2 10" xfId="489"/>
    <cellStyle name="Input cel 2 2 2 11" xfId="3426"/>
    <cellStyle name="Input cel 2 2 2 2" xfId="543"/>
    <cellStyle name="Input cel 2 2 2 2 2" xfId="640"/>
    <cellStyle name="Input cel 2 2 2 2 2 2" xfId="1881"/>
    <cellStyle name="Input cel 2 2 2 2 2 2 2" xfId="3120"/>
    <cellStyle name="Input cel 2 2 2 2 2 2 3" xfId="4532"/>
    <cellStyle name="Input cel 2 2 2 2 2 3" xfId="1562"/>
    <cellStyle name="Input cel 2 2 2 2 2 4" xfId="2802"/>
    <cellStyle name="Input cel 2 2 2 2 2 5" xfId="4216"/>
    <cellStyle name="Input cel 2 2 2 2 3" xfId="1479"/>
    <cellStyle name="Input cel 2 2 2 2 3 2" xfId="2719"/>
    <cellStyle name="Input cel 2 2 2 2 3 3" xfId="4135"/>
    <cellStyle name="Input cel 2 2 2 2 4" xfId="1248"/>
    <cellStyle name="Input cel 2 2 2 2 4 2" xfId="2490"/>
    <cellStyle name="Input cel 2 2 2 2 4 3" xfId="3913"/>
    <cellStyle name="Input cel 2 2 2 2 5" xfId="1301"/>
    <cellStyle name="Input cel 2 2 2 2 5 2" xfId="2542"/>
    <cellStyle name="Input cel 2 2 2 2 5 3" xfId="3962"/>
    <cellStyle name="Input cel 2 2 2 2 6" xfId="941"/>
    <cellStyle name="Input cel 2 2 2 2 6 2" xfId="3609"/>
    <cellStyle name="Input cel 2 2 2 2 7" xfId="2184"/>
    <cellStyle name="Input cel 2 2 2 2 8" xfId="3505"/>
    <cellStyle name="Input cel 2 2 2 3" xfId="689"/>
    <cellStyle name="Input cel 2 2 2 3 2" xfId="1915"/>
    <cellStyle name="Input cel 2 2 2 3 2 2" xfId="3154"/>
    <cellStyle name="Input cel 2 2 2 3 2 3" xfId="4566"/>
    <cellStyle name="Input cel 2 2 2 3 3" xfId="1363"/>
    <cellStyle name="Input cel 2 2 2 3 3 2" xfId="2604"/>
    <cellStyle name="Input cel 2 2 2 3 3 3" xfId="4024"/>
    <cellStyle name="Input cel 2 2 2 3 4" xfId="989"/>
    <cellStyle name="Input cel 2 2 2 3 5" xfId="2232"/>
    <cellStyle name="Input cel 2 2 2 3 6" xfId="3657"/>
    <cellStyle name="Input cel 2 2 2 4" xfId="753"/>
    <cellStyle name="Input cel 2 2 2 4 2" xfId="1979"/>
    <cellStyle name="Input cel 2 2 2 4 2 2" xfId="3218"/>
    <cellStyle name="Input cel 2 2 2 4 2 3" xfId="4630"/>
    <cellStyle name="Input cel 2 2 2 4 3" xfId="1661"/>
    <cellStyle name="Input cel 2 2 2 4 3 2" xfId="2901"/>
    <cellStyle name="Input cel 2 2 2 4 3 3" xfId="4314"/>
    <cellStyle name="Input cel 2 2 2 4 4" xfId="1053"/>
    <cellStyle name="Input cel 2 2 2 4 5" xfId="2296"/>
    <cellStyle name="Input cel 2 2 2 4 6" xfId="3721"/>
    <cellStyle name="Input cel 2 2 2 5" xfId="815"/>
    <cellStyle name="Input cel 2 2 2 5 2" xfId="2041"/>
    <cellStyle name="Input cel 2 2 2 5 2 2" xfId="3280"/>
    <cellStyle name="Input cel 2 2 2 5 2 3" xfId="4692"/>
    <cellStyle name="Input cel 2 2 2 5 3" xfId="1719"/>
    <cellStyle name="Input cel 2 2 2 5 3 2" xfId="2958"/>
    <cellStyle name="Input cel 2 2 2 5 3 3" xfId="4370"/>
    <cellStyle name="Input cel 2 2 2 5 4" xfId="1115"/>
    <cellStyle name="Input cel 2 2 2 5 5" xfId="2358"/>
    <cellStyle name="Input cel 2 2 2 5 6" xfId="3783"/>
    <cellStyle name="Input cel 2 2 2 6" xfId="620"/>
    <cellStyle name="Input cel 2 2 2 6 2" xfId="1543"/>
    <cellStyle name="Input cel 2 2 2 6 3" xfId="2783"/>
    <cellStyle name="Input cel 2 2 2 6 4" xfId="4197"/>
    <cellStyle name="Input cel 2 2 2 7" xfId="1193"/>
    <cellStyle name="Input cel 2 2 2 7 2" xfId="2436"/>
    <cellStyle name="Input cel 2 2 2 7 3" xfId="3861"/>
    <cellStyle name="Input cel 2 2 2 8" xfId="918"/>
    <cellStyle name="Input cel 2 2 2 8 2" xfId="3344"/>
    <cellStyle name="Input cel 2 2 2 9" xfId="2161"/>
    <cellStyle name="Input cel 2 2 3" xfId="384"/>
    <cellStyle name="Input cel 2 2 3 10" xfId="2148"/>
    <cellStyle name="Input cel 2 2 3 11" xfId="476"/>
    <cellStyle name="Input cel 2 2 3 12" xfId="3466"/>
    <cellStyle name="Input cel 2 2 3 2" xfId="531"/>
    <cellStyle name="Input cel 2 2 3 2 2" xfId="677"/>
    <cellStyle name="Input cel 2 2 3 2 2 2" xfId="1598"/>
    <cellStyle name="Input cel 2 2 3 2 2 3" xfId="2838"/>
    <cellStyle name="Input cel 2 2 3 2 2 4" xfId="4252"/>
    <cellStyle name="Input cel 2 2 3 2 3" xfId="1802"/>
    <cellStyle name="Input cel 2 2 3 2 3 2" xfId="3041"/>
    <cellStyle name="Input cel 2 2 3 2 3 3" xfId="4453"/>
    <cellStyle name="Input cel 2 2 3 2 4" xfId="1351"/>
    <cellStyle name="Input cel 2 2 3 2 4 2" xfId="2592"/>
    <cellStyle name="Input cel 2 2 3 2 4 3" xfId="4012"/>
    <cellStyle name="Input cel 2 2 3 2 5" xfId="977"/>
    <cellStyle name="Input cel 2 2 3 2 5 2" xfId="3645"/>
    <cellStyle name="Input cel 2 2 3 2 6" xfId="2220"/>
    <cellStyle name="Input cel 2 2 3 2 7" xfId="3558"/>
    <cellStyle name="Input cel 2 2 3 3" xfId="726"/>
    <cellStyle name="Input cel 2 2 3 3 2" xfId="1637"/>
    <cellStyle name="Input cel 2 2 3 3 2 2" xfId="1952"/>
    <cellStyle name="Input cel 2 2 3 3 2 2 2" xfId="3191"/>
    <cellStyle name="Input cel 2 2 3 3 2 2 3" xfId="4603"/>
    <cellStyle name="Input cel 2 2 3 3 2 3" xfId="2877"/>
    <cellStyle name="Input cel 2 2 3 3 2 4" xfId="4290"/>
    <cellStyle name="Input cel 2 2 3 3 3" xfId="1818"/>
    <cellStyle name="Input cel 2 2 3 3 3 2" xfId="3057"/>
    <cellStyle name="Input cel 2 2 3 3 3 3" xfId="4469"/>
    <cellStyle name="Input cel 2 2 3 3 4" xfId="1411"/>
    <cellStyle name="Input cel 2 2 3 3 4 2" xfId="2652"/>
    <cellStyle name="Input cel 2 2 3 3 4 3" xfId="4072"/>
    <cellStyle name="Input cel 2 2 3 3 5" xfId="1026"/>
    <cellStyle name="Input cel 2 2 3 3 6" xfId="2269"/>
    <cellStyle name="Input cel 2 2 3 3 7" xfId="3694"/>
    <cellStyle name="Input cel 2 2 3 4" xfId="790"/>
    <cellStyle name="Input cel 2 2 3 4 2" xfId="2016"/>
    <cellStyle name="Input cel 2 2 3 4 2 2" xfId="3255"/>
    <cellStyle name="Input cel 2 2 3 4 2 3" xfId="4667"/>
    <cellStyle name="Input cel 2 2 3 4 3" xfId="1698"/>
    <cellStyle name="Input cel 2 2 3 4 3 2" xfId="2938"/>
    <cellStyle name="Input cel 2 2 3 4 3 3" xfId="4351"/>
    <cellStyle name="Input cel 2 2 3 4 4" xfId="1090"/>
    <cellStyle name="Input cel 2 2 3 4 5" xfId="2333"/>
    <cellStyle name="Input cel 2 2 3 4 6" xfId="3758"/>
    <cellStyle name="Input cel 2 2 3 5" xfId="851"/>
    <cellStyle name="Input cel 2 2 3 5 2" xfId="2077"/>
    <cellStyle name="Input cel 2 2 3 5 2 2" xfId="3316"/>
    <cellStyle name="Input cel 2 2 3 5 2 3" xfId="4728"/>
    <cellStyle name="Input cel 2 2 3 5 3" xfId="1755"/>
    <cellStyle name="Input cel 2 2 3 5 3 2" xfId="2994"/>
    <cellStyle name="Input cel 2 2 3 5 3 3" xfId="4406"/>
    <cellStyle name="Input cel 2 2 3 5 4" xfId="1151"/>
    <cellStyle name="Input cel 2 2 3 5 5" xfId="2394"/>
    <cellStyle name="Input cel 2 2 3 5 6" xfId="3819"/>
    <cellStyle name="Input cel 2 2 3 6" xfId="607"/>
    <cellStyle name="Input cel 2 2 3 6 2" xfId="1530"/>
    <cellStyle name="Input cel 2 2 3 6 3" xfId="2770"/>
    <cellStyle name="Input cel 2 2 3 6 4" xfId="4184"/>
    <cellStyle name="Input cel 2 2 3 7" xfId="1207"/>
    <cellStyle name="Input cel 2 2 3 7 2" xfId="2449"/>
    <cellStyle name="Input cel 2 2 3 7 3" xfId="3873"/>
    <cellStyle name="Input cel 2 2 3 8" xfId="1175"/>
    <cellStyle name="Input cel 2 2 3 8 2" xfId="2418"/>
    <cellStyle name="Input cel 2 2 3 8 3" xfId="3843"/>
    <cellStyle name="Input cel 2 2 3 9" xfId="905"/>
    <cellStyle name="Input cel 2 2 3 9 2" xfId="3397"/>
    <cellStyle name="Input cel 2 2 4" xfId="313"/>
    <cellStyle name="Input cel 2 2 4 2" xfId="1525"/>
    <cellStyle name="Input cel 2 2 4 2 2" xfId="1862"/>
    <cellStyle name="Input cel 2 2 4 2 2 2" xfId="3101"/>
    <cellStyle name="Input cel 2 2 4 2 2 3" xfId="4513"/>
    <cellStyle name="Input cel 2 2 4 2 3" xfId="2765"/>
    <cellStyle name="Input cel 2 2 4 2 3 2" xfId="4179"/>
    <cellStyle name="Input cel 2 2 4 2 4" xfId="3501"/>
    <cellStyle name="Input cel 2 2 4 3" xfId="1806"/>
    <cellStyle name="Input cel 2 2 4 3 2" xfId="3045"/>
    <cellStyle name="Input cel 2 2 4 3 3" xfId="4457"/>
    <cellStyle name="Input cel 2 2 4 4" xfId="1286"/>
    <cellStyle name="Input cel 2 2 4 4 2" xfId="2527"/>
    <cellStyle name="Input cel 2 2 4 4 3" xfId="3948"/>
    <cellStyle name="Input cel 2 2 4 5" xfId="896"/>
    <cellStyle name="Input cel 2 2 4 5 2" xfId="3347"/>
    <cellStyle name="Input cel 2 2 4 6" xfId="2139"/>
    <cellStyle name="Input cel 2 2 4 7" xfId="599"/>
    <cellStyle name="Input cel 2 2 5" xfId="740"/>
    <cellStyle name="Input cel 2 2 5 2" xfId="1966"/>
    <cellStyle name="Input cel 2 2 5 2 2" xfId="3205"/>
    <cellStyle name="Input cel 2 2 5 2 3" xfId="4617"/>
    <cellStyle name="Input cel 2 2 5 3" xfId="1323"/>
    <cellStyle name="Input cel 2 2 5 3 2" xfId="2564"/>
    <cellStyle name="Input cel 2 2 5 3 3" xfId="3984"/>
    <cellStyle name="Input cel 2 2 5 4" xfId="1040"/>
    <cellStyle name="Input cel 2 2 5 4 2" xfId="3708"/>
    <cellStyle name="Input cel 2 2 5 5" xfId="2283"/>
    <cellStyle name="Input cel 2 2 5 6" xfId="3480"/>
    <cellStyle name="Input cel 2 2 6" xfId="803"/>
    <cellStyle name="Input cel 2 2 6 2" xfId="2029"/>
    <cellStyle name="Input cel 2 2 6 2 2" xfId="3268"/>
    <cellStyle name="Input cel 2 2 6 2 3" xfId="4680"/>
    <cellStyle name="Input cel 2 2 6 3" xfId="1711"/>
    <cellStyle name="Input cel 2 2 6 3 2" xfId="2951"/>
    <cellStyle name="Input cel 2 2 6 3 3" xfId="4364"/>
    <cellStyle name="Input cel 2 2 6 4" xfId="1103"/>
    <cellStyle name="Input cel 2 2 6 5" xfId="2346"/>
    <cellStyle name="Input cel 2 2 6 6" xfId="3771"/>
    <cellStyle name="Input cel 2 2 7" xfId="420"/>
    <cellStyle name="Input cel 2 2 7 2" xfId="1774"/>
    <cellStyle name="Input cel 2 2 7 2 2" xfId="3013"/>
    <cellStyle name="Input cel 2 2 7 2 3" xfId="4425"/>
    <cellStyle name="Input cel 2 2 7 3" xfId="1225"/>
    <cellStyle name="Input cel 2 2 7 4" xfId="2467"/>
    <cellStyle name="Input cel 2 2 7 5" xfId="3891"/>
    <cellStyle name="Input cel 2 2 8" xfId="1607"/>
    <cellStyle name="Input cel 2 2 8 2" xfId="2847"/>
    <cellStyle name="Input cel 2 2 8 3" xfId="4261"/>
    <cellStyle name="Input cel 2 2 9" xfId="421"/>
    <cellStyle name="Input cel 2 2 9 2" xfId="3596"/>
    <cellStyle name="Input cel 2 3" xfId="208"/>
    <cellStyle name="Input cel 2 3 2" xfId="354"/>
    <cellStyle name="Input cel 2 3 2 10" xfId="2198"/>
    <cellStyle name="Input cel 2 3 2 11" xfId="561"/>
    <cellStyle name="Input cel 2 3 2 12" xfId="3444"/>
    <cellStyle name="Input cel 2 3 2 2" xfId="703"/>
    <cellStyle name="Input cel 2 3 2 2 2" xfId="1929"/>
    <cellStyle name="Input cel 2 3 2 2 2 2" xfId="3168"/>
    <cellStyle name="Input cel 2 3 2 2 2 3" xfId="4580"/>
    <cellStyle name="Input cel 2 3 2 2 3" xfId="1208"/>
    <cellStyle name="Input cel 2 3 2 2 3 2" xfId="2450"/>
    <cellStyle name="Input cel 2 3 2 2 3 3" xfId="3874"/>
    <cellStyle name="Input cel 2 3 2 2 4" xfId="1614"/>
    <cellStyle name="Input cel 2 3 2 2 4 2" xfId="2854"/>
    <cellStyle name="Input cel 2 3 2 2 4 3" xfId="4267"/>
    <cellStyle name="Input cel 2 3 2 2 5" xfId="1003"/>
    <cellStyle name="Input cel 2 3 2 2 5 2" xfId="3671"/>
    <cellStyle name="Input cel 2 3 2 2 6" xfId="2246"/>
    <cellStyle name="Input cel 2 3 2 2 7" xfId="3530"/>
    <cellStyle name="Input cel 2 3 2 3" xfId="767"/>
    <cellStyle name="Input cel 2 3 2 3 2" xfId="1993"/>
    <cellStyle name="Input cel 2 3 2 3 2 2" xfId="3232"/>
    <cellStyle name="Input cel 2 3 2 3 2 3" xfId="4644"/>
    <cellStyle name="Input cel 2 3 2 3 3" xfId="1675"/>
    <cellStyle name="Input cel 2 3 2 3 3 2" xfId="2915"/>
    <cellStyle name="Input cel 2 3 2 3 3 3" xfId="4328"/>
    <cellStyle name="Input cel 2 3 2 3 4" xfId="1067"/>
    <cellStyle name="Input cel 2 3 2 3 5" xfId="2310"/>
    <cellStyle name="Input cel 2 3 2 3 6" xfId="3735"/>
    <cellStyle name="Input cel 2 3 2 4" xfId="829"/>
    <cellStyle name="Input cel 2 3 2 4 2" xfId="2055"/>
    <cellStyle name="Input cel 2 3 2 4 2 2" xfId="3294"/>
    <cellStyle name="Input cel 2 3 2 4 2 3" xfId="4706"/>
    <cellStyle name="Input cel 2 3 2 4 3" xfId="1733"/>
    <cellStyle name="Input cel 2 3 2 4 3 2" xfId="2972"/>
    <cellStyle name="Input cel 2 3 2 4 3 3" xfId="4384"/>
    <cellStyle name="Input cel 2 3 2 4 4" xfId="1129"/>
    <cellStyle name="Input cel 2 3 2 4 5" xfId="2372"/>
    <cellStyle name="Input cel 2 3 2 4 6" xfId="3797"/>
    <cellStyle name="Input cel 2 3 2 5" xfId="654"/>
    <cellStyle name="Input cel 2 3 2 5 2" xfId="1892"/>
    <cellStyle name="Input cel 2 3 2 5 2 2" xfId="3131"/>
    <cellStyle name="Input cel 2 3 2 5 2 3" xfId="4543"/>
    <cellStyle name="Input cel 2 3 2 5 3" xfId="1576"/>
    <cellStyle name="Input cel 2 3 2 5 4" xfId="2816"/>
    <cellStyle name="Input cel 2 3 2 5 5" xfId="4230"/>
    <cellStyle name="Input cel 2 3 2 6" xfId="1496"/>
    <cellStyle name="Input cel 2 3 2 6 2" xfId="2736"/>
    <cellStyle name="Input cel 2 3 2 6 3" xfId="4152"/>
    <cellStyle name="Input cel 2 3 2 7" xfId="1646"/>
    <cellStyle name="Input cel 2 3 2 7 2" xfId="2886"/>
    <cellStyle name="Input cel 2 3 2 7 3" xfId="4299"/>
    <cellStyle name="Input cel 2 3 2 8" xfId="1387"/>
    <cellStyle name="Input cel 2 3 2 8 2" xfId="2628"/>
    <cellStyle name="Input cel 2 3 2 8 3" xfId="4048"/>
    <cellStyle name="Input cel 2 3 2 9" xfId="955"/>
    <cellStyle name="Input cel 2 3 2 9 2" xfId="3623"/>
    <cellStyle name="Input cel 2 3 3" xfId="392"/>
    <cellStyle name="Input cel 2 3 3 2" xfId="1845"/>
    <cellStyle name="Input cel 2 3 3 2 2" xfId="3084"/>
    <cellStyle name="Input cel 2 3 3 2 2 2" xfId="4496"/>
    <cellStyle name="Input cel 2 3 3 2 3" xfId="3566"/>
    <cellStyle name="Input cel 2 3 3 3" xfId="1431"/>
    <cellStyle name="Input cel 2 3 3 3 2" xfId="2672"/>
    <cellStyle name="Input cel 2 3 3 3 3" xfId="4092"/>
    <cellStyle name="Input cel 2 3 3 4" xfId="866"/>
    <cellStyle name="Input cel 2 3 3 4 2" xfId="3338"/>
    <cellStyle name="Input cel 2 3 3 5" xfId="2110"/>
    <cellStyle name="Input cel 2 3 3 6" xfId="3474"/>
    <cellStyle name="Input cel 2 3 4" xfId="1872"/>
    <cellStyle name="Input cel 2 3 4 2" xfId="3111"/>
    <cellStyle name="Input cel 2 3 4 2 2" xfId="4523"/>
    <cellStyle name="Input cel 2 3 4 3" xfId="3372"/>
    <cellStyle name="Input cel 2 3 5" xfId="1296"/>
    <cellStyle name="Input cel 2 3 5 2" xfId="2537"/>
    <cellStyle name="Input cel 2 3 5 3" xfId="3388"/>
    <cellStyle name="Input cel 2 3 6" xfId="1271"/>
    <cellStyle name="Input cel 2 3 6 2" xfId="2512"/>
    <cellStyle name="Input cel 2 3 6 3" xfId="3933"/>
    <cellStyle name="Input cel 2 3 7" xfId="597"/>
    <cellStyle name="Input cel 2 3 8" xfId="2085"/>
    <cellStyle name="Input cel 2 3 9" xfId="297"/>
    <cellStyle name="Input cel 2 4" xfId="288"/>
    <cellStyle name="Input cel 3" xfId="22"/>
    <cellStyle name="Input cel 3 2" xfId="271"/>
    <cellStyle name="Input cel 3 2 10" xfId="424"/>
    <cellStyle name="Input cel 3 2 11" xfId="403"/>
    <cellStyle name="Input cel 3 2 2" xfId="331"/>
    <cellStyle name="Input cel 3 2 2 10" xfId="496"/>
    <cellStyle name="Input cel 3 2 2 11" xfId="3434"/>
    <cellStyle name="Input cel 3 2 2 2" xfId="550"/>
    <cellStyle name="Input cel 3 2 2 2 2" xfId="647"/>
    <cellStyle name="Input cel 3 2 2 2 2 2" xfId="1888"/>
    <cellStyle name="Input cel 3 2 2 2 2 2 2" xfId="3127"/>
    <cellStyle name="Input cel 3 2 2 2 2 2 3" xfId="4539"/>
    <cellStyle name="Input cel 3 2 2 2 2 3" xfId="1569"/>
    <cellStyle name="Input cel 3 2 2 2 2 4" xfId="2809"/>
    <cellStyle name="Input cel 3 2 2 2 2 5" xfId="4223"/>
    <cellStyle name="Input cel 3 2 2 2 3" xfId="1486"/>
    <cellStyle name="Input cel 3 2 2 2 3 2" xfId="2726"/>
    <cellStyle name="Input cel 3 2 2 2 3 3" xfId="4142"/>
    <cellStyle name="Input cel 3 2 2 2 4" xfId="1341"/>
    <cellStyle name="Input cel 3 2 2 2 4 2" xfId="2582"/>
    <cellStyle name="Input cel 3 2 2 2 4 3" xfId="4002"/>
    <cellStyle name="Input cel 3 2 2 2 5" xfId="1308"/>
    <cellStyle name="Input cel 3 2 2 2 5 2" xfId="2549"/>
    <cellStyle name="Input cel 3 2 2 2 5 3" xfId="3969"/>
    <cellStyle name="Input cel 3 2 2 2 6" xfId="948"/>
    <cellStyle name="Input cel 3 2 2 2 6 2" xfId="3616"/>
    <cellStyle name="Input cel 3 2 2 2 7" xfId="2191"/>
    <cellStyle name="Input cel 3 2 2 2 8" xfId="3515"/>
    <cellStyle name="Input cel 3 2 2 3" xfId="696"/>
    <cellStyle name="Input cel 3 2 2 3 2" xfId="1922"/>
    <cellStyle name="Input cel 3 2 2 3 2 2" xfId="3161"/>
    <cellStyle name="Input cel 3 2 2 3 2 3" xfId="4573"/>
    <cellStyle name="Input cel 3 2 2 3 3" xfId="1370"/>
    <cellStyle name="Input cel 3 2 2 3 3 2" xfId="2611"/>
    <cellStyle name="Input cel 3 2 2 3 3 3" xfId="4031"/>
    <cellStyle name="Input cel 3 2 2 3 4" xfId="996"/>
    <cellStyle name="Input cel 3 2 2 3 5" xfId="2239"/>
    <cellStyle name="Input cel 3 2 2 3 6" xfId="3664"/>
    <cellStyle name="Input cel 3 2 2 4" xfId="760"/>
    <cellStyle name="Input cel 3 2 2 4 2" xfId="1986"/>
    <cellStyle name="Input cel 3 2 2 4 2 2" xfId="3225"/>
    <cellStyle name="Input cel 3 2 2 4 2 3" xfId="4637"/>
    <cellStyle name="Input cel 3 2 2 4 3" xfId="1668"/>
    <cellStyle name="Input cel 3 2 2 4 3 2" xfId="2908"/>
    <cellStyle name="Input cel 3 2 2 4 3 3" xfId="4321"/>
    <cellStyle name="Input cel 3 2 2 4 4" xfId="1060"/>
    <cellStyle name="Input cel 3 2 2 4 5" xfId="2303"/>
    <cellStyle name="Input cel 3 2 2 4 6" xfId="3728"/>
    <cellStyle name="Input cel 3 2 2 5" xfId="822"/>
    <cellStyle name="Input cel 3 2 2 5 2" xfId="2048"/>
    <cellStyle name="Input cel 3 2 2 5 2 2" xfId="3287"/>
    <cellStyle name="Input cel 3 2 2 5 2 3" xfId="4699"/>
    <cellStyle name="Input cel 3 2 2 5 3" xfId="1726"/>
    <cellStyle name="Input cel 3 2 2 5 3 2" xfId="2965"/>
    <cellStyle name="Input cel 3 2 2 5 3 3" xfId="4377"/>
    <cellStyle name="Input cel 3 2 2 5 4" xfId="1122"/>
    <cellStyle name="Input cel 3 2 2 5 5" xfId="2365"/>
    <cellStyle name="Input cel 3 2 2 5 6" xfId="3790"/>
    <cellStyle name="Input cel 3 2 2 6" xfId="627"/>
    <cellStyle name="Input cel 3 2 2 6 2" xfId="1550"/>
    <cellStyle name="Input cel 3 2 2 6 3" xfId="2790"/>
    <cellStyle name="Input cel 3 2 2 6 4" xfId="4204"/>
    <cellStyle name="Input cel 3 2 2 7" xfId="1243"/>
    <cellStyle name="Input cel 3 2 2 7 2" xfId="2485"/>
    <cellStyle name="Input cel 3 2 2 7 3" xfId="3909"/>
    <cellStyle name="Input cel 3 2 2 8" xfId="925"/>
    <cellStyle name="Input cel 3 2 2 8 2" xfId="3325"/>
    <cellStyle name="Input cel 3 2 2 9" xfId="2168"/>
    <cellStyle name="Input cel 3 2 3" xfId="385"/>
    <cellStyle name="Input cel 3 2 3 10" xfId="2149"/>
    <cellStyle name="Input cel 3 2 3 11" xfId="477"/>
    <cellStyle name="Input cel 3 2 3 12" xfId="3467"/>
    <cellStyle name="Input cel 3 2 3 2" xfId="532"/>
    <cellStyle name="Input cel 3 2 3 2 2" xfId="678"/>
    <cellStyle name="Input cel 3 2 3 2 2 2" xfId="1599"/>
    <cellStyle name="Input cel 3 2 3 2 2 3" xfId="2839"/>
    <cellStyle name="Input cel 3 2 3 2 2 4" xfId="4253"/>
    <cellStyle name="Input cel 3 2 3 2 3" xfId="1803"/>
    <cellStyle name="Input cel 3 2 3 2 3 2" xfId="3042"/>
    <cellStyle name="Input cel 3 2 3 2 3 3" xfId="4454"/>
    <cellStyle name="Input cel 3 2 3 2 4" xfId="1352"/>
    <cellStyle name="Input cel 3 2 3 2 4 2" xfId="2593"/>
    <cellStyle name="Input cel 3 2 3 2 4 3" xfId="4013"/>
    <cellStyle name="Input cel 3 2 3 2 5" xfId="978"/>
    <cellStyle name="Input cel 3 2 3 2 5 2" xfId="3646"/>
    <cellStyle name="Input cel 3 2 3 2 6" xfId="2221"/>
    <cellStyle name="Input cel 3 2 3 2 7" xfId="3559"/>
    <cellStyle name="Input cel 3 2 3 3" xfId="727"/>
    <cellStyle name="Input cel 3 2 3 3 2" xfId="1638"/>
    <cellStyle name="Input cel 3 2 3 3 2 2" xfId="1953"/>
    <cellStyle name="Input cel 3 2 3 3 2 2 2" xfId="3192"/>
    <cellStyle name="Input cel 3 2 3 3 2 2 3" xfId="4604"/>
    <cellStyle name="Input cel 3 2 3 3 2 3" xfId="2878"/>
    <cellStyle name="Input cel 3 2 3 3 2 4" xfId="4291"/>
    <cellStyle name="Input cel 3 2 3 3 3" xfId="1819"/>
    <cellStyle name="Input cel 3 2 3 3 3 2" xfId="3058"/>
    <cellStyle name="Input cel 3 2 3 3 3 3" xfId="4470"/>
    <cellStyle name="Input cel 3 2 3 3 4" xfId="1412"/>
    <cellStyle name="Input cel 3 2 3 3 4 2" xfId="2653"/>
    <cellStyle name="Input cel 3 2 3 3 4 3" xfId="4073"/>
    <cellStyle name="Input cel 3 2 3 3 5" xfId="1027"/>
    <cellStyle name="Input cel 3 2 3 3 6" xfId="2270"/>
    <cellStyle name="Input cel 3 2 3 3 7" xfId="3695"/>
    <cellStyle name="Input cel 3 2 3 4" xfId="791"/>
    <cellStyle name="Input cel 3 2 3 4 2" xfId="2017"/>
    <cellStyle name="Input cel 3 2 3 4 2 2" xfId="3256"/>
    <cellStyle name="Input cel 3 2 3 4 2 3" xfId="4668"/>
    <cellStyle name="Input cel 3 2 3 4 3" xfId="1699"/>
    <cellStyle name="Input cel 3 2 3 4 3 2" xfId="2939"/>
    <cellStyle name="Input cel 3 2 3 4 3 3" xfId="4352"/>
    <cellStyle name="Input cel 3 2 3 4 4" xfId="1091"/>
    <cellStyle name="Input cel 3 2 3 4 5" xfId="2334"/>
    <cellStyle name="Input cel 3 2 3 4 6" xfId="3759"/>
    <cellStyle name="Input cel 3 2 3 5" xfId="852"/>
    <cellStyle name="Input cel 3 2 3 5 2" xfId="2078"/>
    <cellStyle name="Input cel 3 2 3 5 2 2" xfId="3317"/>
    <cellStyle name="Input cel 3 2 3 5 2 3" xfId="4729"/>
    <cellStyle name="Input cel 3 2 3 5 3" xfId="1756"/>
    <cellStyle name="Input cel 3 2 3 5 3 2" xfId="2995"/>
    <cellStyle name="Input cel 3 2 3 5 3 3" xfId="4407"/>
    <cellStyle name="Input cel 3 2 3 5 4" xfId="1152"/>
    <cellStyle name="Input cel 3 2 3 5 5" xfId="2395"/>
    <cellStyle name="Input cel 3 2 3 5 6" xfId="3820"/>
    <cellStyle name="Input cel 3 2 3 6" xfId="608"/>
    <cellStyle name="Input cel 3 2 3 6 2" xfId="1531"/>
    <cellStyle name="Input cel 3 2 3 6 3" xfId="2771"/>
    <cellStyle name="Input cel 3 2 3 6 4" xfId="4185"/>
    <cellStyle name="Input cel 3 2 3 7" xfId="1315"/>
    <cellStyle name="Input cel 3 2 3 7 2" xfId="2556"/>
    <cellStyle name="Input cel 3 2 3 7 3" xfId="3976"/>
    <cellStyle name="Input cel 3 2 3 8" xfId="1176"/>
    <cellStyle name="Input cel 3 2 3 8 2" xfId="2419"/>
    <cellStyle name="Input cel 3 2 3 8 3" xfId="3844"/>
    <cellStyle name="Input cel 3 2 3 9" xfId="906"/>
    <cellStyle name="Input cel 3 2 3 9 2" xfId="3399"/>
    <cellStyle name="Input cel 3 2 4" xfId="377"/>
    <cellStyle name="Input cel 3 2 4 2" xfId="1518"/>
    <cellStyle name="Input cel 3 2 4 2 2" xfId="1855"/>
    <cellStyle name="Input cel 3 2 4 2 2 2" xfId="3094"/>
    <cellStyle name="Input cel 3 2 4 2 2 3" xfId="4506"/>
    <cellStyle name="Input cel 3 2 4 2 3" xfId="2758"/>
    <cellStyle name="Input cel 3 2 4 2 3 2" xfId="4172"/>
    <cellStyle name="Input cel 3 2 4 2 4" xfId="3552"/>
    <cellStyle name="Input cel 3 2 4 3" xfId="1385"/>
    <cellStyle name="Input cel 3 2 4 3 2" xfId="2626"/>
    <cellStyle name="Input cel 3 2 4 3 3" xfId="4046"/>
    <cellStyle name="Input cel 3 2 4 4" xfId="1287"/>
    <cellStyle name="Input cel 3 2 4 4 2" xfId="2528"/>
    <cellStyle name="Input cel 3 2 4 4 3" xfId="3949"/>
    <cellStyle name="Input cel 3 2 4 5" xfId="887"/>
    <cellStyle name="Input cel 3 2 4 5 2" xfId="3331"/>
    <cellStyle name="Input cel 3 2 4 6" xfId="2131"/>
    <cellStyle name="Input cel 3 2 4 7" xfId="591"/>
    <cellStyle name="Input cel 3 2 5" xfId="741"/>
    <cellStyle name="Input cel 3 2 5 2" xfId="1967"/>
    <cellStyle name="Input cel 3 2 5 2 2" xfId="3206"/>
    <cellStyle name="Input cel 3 2 5 2 3" xfId="4618"/>
    <cellStyle name="Input cel 3 2 5 3" xfId="1324"/>
    <cellStyle name="Input cel 3 2 5 3 2" xfId="2565"/>
    <cellStyle name="Input cel 3 2 5 3 3" xfId="3985"/>
    <cellStyle name="Input cel 3 2 5 4" xfId="1041"/>
    <cellStyle name="Input cel 3 2 5 4 2" xfId="3709"/>
    <cellStyle name="Input cel 3 2 5 5" xfId="2284"/>
    <cellStyle name="Input cel 3 2 5 6" xfId="3481"/>
    <cellStyle name="Input cel 3 2 6" xfId="804"/>
    <cellStyle name="Input cel 3 2 6 2" xfId="2030"/>
    <cellStyle name="Input cel 3 2 6 2 2" xfId="3269"/>
    <cellStyle name="Input cel 3 2 6 2 3" xfId="4681"/>
    <cellStyle name="Input cel 3 2 6 3" xfId="1712"/>
    <cellStyle name="Input cel 3 2 6 3 2" xfId="2952"/>
    <cellStyle name="Input cel 3 2 6 3 3" xfId="4365"/>
    <cellStyle name="Input cel 3 2 6 4" xfId="1104"/>
    <cellStyle name="Input cel 3 2 6 5" xfId="2347"/>
    <cellStyle name="Input cel 3 2 6 6" xfId="3772"/>
    <cellStyle name="Input cel 3 2 7" xfId="507"/>
    <cellStyle name="Input cel 3 2 7 2" xfId="1228"/>
    <cellStyle name="Input cel 3 2 7 2 2" xfId="2470"/>
    <cellStyle name="Input cel 3 2 7 2 3" xfId="3894"/>
    <cellStyle name="Input cel 3 2 7 3" xfId="1459"/>
    <cellStyle name="Input cel 3 2 7 4" xfId="2700"/>
    <cellStyle name="Input cel 3 2 7 5" xfId="4117"/>
    <cellStyle name="Input cel 3 2 8" xfId="1451"/>
    <cellStyle name="Input cel 3 2 8 2" xfId="2692"/>
    <cellStyle name="Input cel 3 2 8 3" xfId="4110"/>
    <cellStyle name="Input cel 3 2 9" xfId="444"/>
    <cellStyle name="Input cel 3 2 9 2" xfId="3578"/>
    <cellStyle name="Input cel 3 3" xfId="209"/>
    <cellStyle name="Input cel 3 3 2" xfId="361"/>
    <cellStyle name="Input cel 3 3 2 10" xfId="2204"/>
    <cellStyle name="Input cel 3 3 2 11" xfId="567"/>
    <cellStyle name="Input cel 3 3 2 12" xfId="3450"/>
    <cellStyle name="Input cel 3 3 2 2" xfId="709"/>
    <cellStyle name="Input cel 3 3 2 2 2" xfId="1935"/>
    <cellStyle name="Input cel 3 3 2 2 2 2" xfId="3174"/>
    <cellStyle name="Input cel 3 3 2 2 2 3" xfId="4586"/>
    <cellStyle name="Input cel 3 3 2 2 3" xfId="1776"/>
    <cellStyle name="Input cel 3 3 2 2 3 2" xfId="3015"/>
    <cellStyle name="Input cel 3 3 2 2 3 3" xfId="4427"/>
    <cellStyle name="Input cel 3 3 2 2 4" xfId="1620"/>
    <cellStyle name="Input cel 3 3 2 2 4 2" xfId="2860"/>
    <cellStyle name="Input cel 3 3 2 2 4 3" xfId="4273"/>
    <cellStyle name="Input cel 3 3 2 2 5" xfId="1009"/>
    <cellStyle name="Input cel 3 3 2 2 5 2" xfId="3677"/>
    <cellStyle name="Input cel 3 3 2 2 6" xfId="2252"/>
    <cellStyle name="Input cel 3 3 2 2 7" xfId="3537"/>
    <cellStyle name="Input cel 3 3 2 3" xfId="773"/>
    <cellStyle name="Input cel 3 3 2 3 2" xfId="1999"/>
    <cellStyle name="Input cel 3 3 2 3 2 2" xfId="3238"/>
    <cellStyle name="Input cel 3 3 2 3 2 3" xfId="4650"/>
    <cellStyle name="Input cel 3 3 2 3 3" xfId="1681"/>
    <cellStyle name="Input cel 3 3 2 3 3 2" xfId="2921"/>
    <cellStyle name="Input cel 3 3 2 3 3 3" xfId="4334"/>
    <cellStyle name="Input cel 3 3 2 3 4" xfId="1073"/>
    <cellStyle name="Input cel 3 3 2 3 5" xfId="2316"/>
    <cellStyle name="Input cel 3 3 2 3 6" xfId="3741"/>
    <cellStyle name="Input cel 3 3 2 4" xfId="835"/>
    <cellStyle name="Input cel 3 3 2 4 2" xfId="2061"/>
    <cellStyle name="Input cel 3 3 2 4 2 2" xfId="3300"/>
    <cellStyle name="Input cel 3 3 2 4 2 3" xfId="4712"/>
    <cellStyle name="Input cel 3 3 2 4 3" xfId="1739"/>
    <cellStyle name="Input cel 3 3 2 4 3 2" xfId="2978"/>
    <cellStyle name="Input cel 3 3 2 4 3 3" xfId="4390"/>
    <cellStyle name="Input cel 3 3 2 4 4" xfId="1135"/>
    <cellStyle name="Input cel 3 3 2 4 5" xfId="2378"/>
    <cellStyle name="Input cel 3 3 2 4 6" xfId="3803"/>
    <cellStyle name="Input cel 3 3 2 5" xfId="660"/>
    <cellStyle name="Input cel 3 3 2 5 2" xfId="1898"/>
    <cellStyle name="Input cel 3 3 2 5 2 2" xfId="3137"/>
    <cellStyle name="Input cel 3 3 2 5 2 3" xfId="4549"/>
    <cellStyle name="Input cel 3 3 2 5 3" xfId="1582"/>
    <cellStyle name="Input cel 3 3 2 5 4" xfId="2822"/>
    <cellStyle name="Input cel 3 3 2 5 5" xfId="4236"/>
    <cellStyle name="Input cel 3 3 2 6" xfId="1502"/>
    <cellStyle name="Input cel 3 3 2 6 2" xfId="2742"/>
    <cellStyle name="Input cel 3 3 2 6 3" xfId="4156"/>
    <cellStyle name="Input cel 3 3 2 7" xfId="1191"/>
    <cellStyle name="Input cel 3 3 2 7 2" xfId="2434"/>
    <cellStyle name="Input cel 3 3 2 7 3" xfId="3859"/>
    <cellStyle name="Input cel 3 3 2 8" xfId="1393"/>
    <cellStyle name="Input cel 3 3 2 8 2" xfId="2634"/>
    <cellStyle name="Input cel 3 3 2 8 3" xfId="4054"/>
    <cellStyle name="Input cel 3 3 2 9" xfId="961"/>
    <cellStyle name="Input cel 3 3 2 9 2" xfId="3629"/>
    <cellStyle name="Input cel 3 3 3" xfId="352"/>
    <cellStyle name="Input cel 3 3 3 2" xfId="1840"/>
    <cellStyle name="Input cel 3 3 3 2 2" xfId="3079"/>
    <cellStyle name="Input cel 3 3 3 2 2 2" xfId="4491"/>
    <cellStyle name="Input cel 3 3 3 2 3" xfId="3528"/>
    <cellStyle name="Input cel 3 3 3 3" xfId="1256"/>
    <cellStyle name="Input cel 3 3 3 3 2" xfId="2498"/>
    <cellStyle name="Input cel 3 3 3 3 3" xfId="3921"/>
    <cellStyle name="Input cel 3 3 3 4" xfId="859"/>
    <cellStyle name="Input cel 3 3 3 4 2" xfId="3403"/>
    <cellStyle name="Input cel 3 3 3 5" xfId="2103"/>
    <cellStyle name="Input cel 3 3 3 6" xfId="3442"/>
    <cellStyle name="Input cel 3 3 4" xfId="1210"/>
    <cellStyle name="Input cel 3 3 4 2" xfId="2452"/>
    <cellStyle name="Input cel 3 3 4 2 2" xfId="3876"/>
    <cellStyle name="Input cel 3 3 4 3" xfId="3373"/>
    <cellStyle name="Input cel 3 3 5" xfId="1498"/>
    <cellStyle name="Input cel 3 3 5 2" xfId="2738"/>
    <cellStyle name="Input cel 3 3 5 3" xfId="3346"/>
    <cellStyle name="Input cel 3 3 6" xfId="1251"/>
    <cellStyle name="Input cel 3 3 6 2" xfId="2493"/>
    <cellStyle name="Input cel 3 3 6 3" xfId="3916"/>
    <cellStyle name="Input cel 3 3 7" xfId="865"/>
    <cellStyle name="Input cel 3 3 8" xfId="2109"/>
    <cellStyle name="Input cel 3 3 9" xfId="397"/>
    <cellStyle name="Input cel 3 4" xfId="286"/>
    <cellStyle name="Input cel 4" xfId="269"/>
    <cellStyle name="Input cel 4 10" xfId="584"/>
    <cellStyle name="Input cel 4 11" xfId="401"/>
    <cellStyle name="Input cel 4 2" xfId="320"/>
    <cellStyle name="Input cel 4 2 10" xfId="491"/>
    <cellStyle name="Input cel 4 2 11" xfId="3428"/>
    <cellStyle name="Input cel 4 2 2" xfId="545"/>
    <cellStyle name="Input cel 4 2 2 2" xfId="642"/>
    <cellStyle name="Input cel 4 2 2 2 2" xfId="1883"/>
    <cellStyle name="Input cel 4 2 2 2 2 2" xfId="3122"/>
    <cellStyle name="Input cel 4 2 2 2 2 3" xfId="4534"/>
    <cellStyle name="Input cel 4 2 2 2 3" xfId="1564"/>
    <cellStyle name="Input cel 4 2 2 2 4" xfId="2804"/>
    <cellStyle name="Input cel 4 2 2 2 5" xfId="4218"/>
    <cellStyle name="Input cel 4 2 2 3" xfId="1481"/>
    <cellStyle name="Input cel 4 2 2 3 2" xfId="2721"/>
    <cellStyle name="Input cel 4 2 2 3 3" xfId="4137"/>
    <cellStyle name="Input cel 4 2 2 4" xfId="1797"/>
    <cellStyle name="Input cel 4 2 2 4 2" xfId="3036"/>
    <cellStyle name="Input cel 4 2 2 4 3" xfId="4448"/>
    <cellStyle name="Input cel 4 2 2 5" xfId="1303"/>
    <cellStyle name="Input cel 4 2 2 5 2" xfId="2544"/>
    <cellStyle name="Input cel 4 2 2 5 3" xfId="3964"/>
    <cellStyle name="Input cel 4 2 2 6" xfId="943"/>
    <cellStyle name="Input cel 4 2 2 6 2" xfId="3611"/>
    <cellStyle name="Input cel 4 2 2 7" xfId="2186"/>
    <cellStyle name="Input cel 4 2 2 8" xfId="3507"/>
    <cellStyle name="Input cel 4 2 3" xfId="691"/>
    <cellStyle name="Input cel 4 2 3 2" xfId="1917"/>
    <cellStyle name="Input cel 4 2 3 2 2" xfId="3156"/>
    <cellStyle name="Input cel 4 2 3 2 3" xfId="4568"/>
    <cellStyle name="Input cel 4 2 3 3" xfId="1365"/>
    <cellStyle name="Input cel 4 2 3 3 2" xfId="2606"/>
    <cellStyle name="Input cel 4 2 3 3 3" xfId="4026"/>
    <cellStyle name="Input cel 4 2 3 4" xfId="991"/>
    <cellStyle name="Input cel 4 2 3 5" xfId="2234"/>
    <cellStyle name="Input cel 4 2 3 6" xfId="3659"/>
    <cellStyle name="Input cel 4 2 4" xfId="755"/>
    <cellStyle name="Input cel 4 2 4 2" xfId="1981"/>
    <cellStyle name="Input cel 4 2 4 2 2" xfId="3220"/>
    <cellStyle name="Input cel 4 2 4 2 3" xfId="4632"/>
    <cellStyle name="Input cel 4 2 4 3" xfId="1663"/>
    <cellStyle name="Input cel 4 2 4 3 2" xfId="2903"/>
    <cellStyle name="Input cel 4 2 4 3 3" xfId="4316"/>
    <cellStyle name="Input cel 4 2 4 4" xfId="1055"/>
    <cellStyle name="Input cel 4 2 4 5" xfId="2298"/>
    <cellStyle name="Input cel 4 2 4 6" xfId="3723"/>
    <cellStyle name="Input cel 4 2 5" xfId="817"/>
    <cellStyle name="Input cel 4 2 5 2" xfId="2043"/>
    <cellStyle name="Input cel 4 2 5 2 2" xfId="3282"/>
    <cellStyle name="Input cel 4 2 5 2 3" xfId="4694"/>
    <cellStyle name="Input cel 4 2 5 3" xfId="1721"/>
    <cellStyle name="Input cel 4 2 5 3 2" xfId="2960"/>
    <cellStyle name="Input cel 4 2 5 3 3" xfId="4372"/>
    <cellStyle name="Input cel 4 2 5 4" xfId="1117"/>
    <cellStyle name="Input cel 4 2 5 5" xfId="2360"/>
    <cellStyle name="Input cel 4 2 5 6" xfId="3785"/>
    <cellStyle name="Input cel 4 2 6" xfId="622"/>
    <cellStyle name="Input cel 4 2 6 2" xfId="1545"/>
    <cellStyle name="Input cel 4 2 6 3" xfId="2785"/>
    <cellStyle name="Input cel 4 2 6 4" xfId="4199"/>
    <cellStyle name="Input cel 4 2 7" xfId="1432"/>
    <cellStyle name="Input cel 4 2 7 2" xfId="2673"/>
    <cellStyle name="Input cel 4 2 7 3" xfId="4093"/>
    <cellStyle name="Input cel 4 2 8" xfId="920"/>
    <cellStyle name="Input cel 4 2 8 2" xfId="3577"/>
    <cellStyle name="Input cel 4 2 9" xfId="2163"/>
    <cellStyle name="Input cel 4 3" xfId="383"/>
    <cellStyle name="Input cel 4 3 10" xfId="2147"/>
    <cellStyle name="Input cel 4 3 11" xfId="475"/>
    <cellStyle name="Input cel 4 3 12" xfId="3465"/>
    <cellStyle name="Input cel 4 3 2" xfId="530"/>
    <cellStyle name="Input cel 4 3 2 2" xfId="676"/>
    <cellStyle name="Input cel 4 3 2 2 2" xfId="1597"/>
    <cellStyle name="Input cel 4 3 2 2 3" xfId="2837"/>
    <cellStyle name="Input cel 4 3 2 2 4" xfId="4251"/>
    <cellStyle name="Input cel 4 3 2 3" xfId="1801"/>
    <cellStyle name="Input cel 4 3 2 3 2" xfId="3040"/>
    <cellStyle name="Input cel 4 3 2 3 3" xfId="4452"/>
    <cellStyle name="Input cel 4 3 2 4" xfId="1350"/>
    <cellStyle name="Input cel 4 3 2 4 2" xfId="2591"/>
    <cellStyle name="Input cel 4 3 2 4 3" xfId="4011"/>
    <cellStyle name="Input cel 4 3 2 5" xfId="976"/>
    <cellStyle name="Input cel 4 3 2 5 2" xfId="3644"/>
    <cellStyle name="Input cel 4 3 2 6" xfId="2219"/>
    <cellStyle name="Input cel 4 3 2 7" xfId="3557"/>
    <cellStyle name="Input cel 4 3 3" xfId="725"/>
    <cellStyle name="Input cel 4 3 3 2" xfId="1636"/>
    <cellStyle name="Input cel 4 3 3 2 2" xfId="1951"/>
    <cellStyle name="Input cel 4 3 3 2 2 2" xfId="3190"/>
    <cellStyle name="Input cel 4 3 3 2 2 3" xfId="4602"/>
    <cellStyle name="Input cel 4 3 3 2 3" xfId="2876"/>
    <cellStyle name="Input cel 4 3 3 2 4" xfId="4289"/>
    <cellStyle name="Input cel 4 3 3 3" xfId="1817"/>
    <cellStyle name="Input cel 4 3 3 3 2" xfId="3056"/>
    <cellStyle name="Input cel 4 3 3 3 3" xfId="4468"/>
    <cellStyle name="Input cel 4 3 3 4" xfId="1410"/>
    <cellStyle name="Input cel 4 3 3 4 2" xfId="2651"/>
    <cellStyle name="Input cel 4 3 3 4 3" xfId="4071"/>
    <cellStyle name="Input cel 4 3 3 5" xfId="1025"/>
    <cellStyle name="Input cel 4 3 3 6" xfId="2268"/>
    <cellStyle name="Input cel 4 3 3 7" xfId="3693"/>
    <cellStyle name="Input cel 4 3 4" xfId="789"/>
    <cellStyle name="Input cel 4 3 4 2" xfId="2015"/>
    <cellStyle name="Input cel 4 3 4 2 2" xfId="3254"/>
    <cellStyle name="Input cel 4 3 4 2 3" xfId="4666"/>
    <cellStyle name="Input cel 4 3 4 3" xfId="1697"/>
    <cellStyle name="Input cel 4 3 4 3 2" xfId="2937"/>
    <cellStyle name="Input cel 4 3 4 3 3" xfId="4350"/>
    <cellStyle name="Input cel 4 3 4 4" xfId="1089"/>
    <cellStyle name="Input cel 4 3 4 5" xfId="2332"/>
    <cellStyle name="Input cel 4 3 4 6" xfId="3757"/>
    <cellStyle name="Input cel 4 3 5" xfId="850"/>
    <cellStyle name="Input cel 4 3 5 2" xfId="2076"/>
    <cellStyle name="Input cel 4 3 5 2 2" xfId="3315"/>
    <cellStyle name="Input cel 4 3 5 2 3" xfId="4727"/>
    <cellStyle name="Input cel 4 3 5 3" xfId="1754"/>
    <cellStyle name="Input cel 4 3 5 3 2" xfId="2993"/>
    <cellStyle name="Input cel 4 3 5 3 3" xfId="4405"/>
    <cellStyle name="Input cel 4 3 5 4" xfId="1150"/>
    <cellStyle name="Input cel 4 3 5 5" xfId="2393"/>
    <cellStyle name="Input cel 4 3 5 6" xfId="3818"/>
    <cellStyle name="Input cel 4 3 6" xfId="606"/>
    <cellStyle name="Input cel 4 3 6 2" xfId="1529"/>
    <cellStyle name="Input cel 4 3 6 3" xfId="2769"/>
    <cellStyle name="Input cel 4 3 6 4" xfId="4183"/>
    <cellStyle name="Input cel 4 3 7" xfId="1209"/>
    <cellStyle name="Input cel 4 3 7 2" xfId="2451"/>
    <cellStyle name="Input cel 4 3 7 3" xfId="3875"/>
    <cellStyle name="Input cel 4 3 8" xfId="1174"/>
    <cellStyle name="Input cel 4 3 8 2" xfId="2417"/>
    <cellStyle name="Input cel 4 3 8 3" xfId="3842"/>
    <cellStyle name="Input cel 4 3 9" xfId="904"/>
    <cellStyle name="Input cel 4 3 9 2" xfId="3412"/>
    <cellStyle name="Input cel 4 4" xfId="379"/>
    <cellStyle name="Input cel 4 4 2" xfId="1514"/>
    <cellStyle name="Input cel 4 4 2 2" xfId="1852"/>
    <cellStyle name="Input cel 4 4 2 2 2" xfId="3091"/>
    <cellStyle name="Input cel 4 4 2 2 3" xfId="4503"/>
    <cellStyle name="Input cel 4 4 2 3" xfId="2754"/>
    <cellStyle name="Input cel 4 4 2 3 2" xfId="4168"/>
    <cellStyle name="Input cel 4 4 2 4" xfId="3553"/>
    <cellStyle name="Input cel 4 4 3" xfId="1793"/>
    <cellStyle name="Input cel 4 4 3 2" xfId="3032"/>
    <cellStyle name="Input cel 4 4 3 3" xfId="4444"/>
    <cellStyle name="Input cel 4 4 4" xfId="1285"/>
    <cellStyle name="Input cel 4 4 4 2" xfId="2526"/>
    <cellStyle name="Input cel 4 4 4 3" xfId="3947"/>
    <cellStyle name="Input cel 4 4 5" xfId="882"/>
    <cellStyle name="Input cel 4 4 5 2" xfId="3409"/>
    <cellStyle name="Input cel 4 4 6" xfId="2126"/>
    <cellStyle name="Input cel 4 4 7" xfId="587"/>
    <cellStyle name="Input cel 4 5" xfId="739"/>
    <cellStyle name="Input cel 4 5 2" xfId="1965"/>
    <cellStyle name="Input cel 4 5 2 2" xfId="3204"/>
    <cellStyle name="Input cel 4 5 2 3" xfId="4616"/>
    <cellStyle name="Input cel 4 5 3" xfId="1322"/>
    <cellStyle name="Input cel 4 5 3 2" xfId="2563"/>
    <cellStyle name="Input cel 4 5 3 3" xfId="3983"/>
    <cellStyle name="Input cel 4 5 4" xfId="1039"/>
    <cellStyle name="Input cel 4 5 4 2" xfId="3707"/>
    <cellStyle name="Input cel 4 5 5" xfId="2282"/>
    <cellStyle name="Input cel 4 5 6" xfId="3479"/>
    <cellStyle name="Input cel 4 6" xfId="802"/>
    <cellStyle name="Input cel 4 6 2" xfId="2028"/>
    <cellStyle name="Input cel 4 6 2 2" xfId="3267"/>
    <cellStyle name="Input cel 4 6 2 3" xfId="4679"/>
    <cellStyle name="Input cel 4 6 3" xfId="1710"/>
    <cellStyle name="Input cel 4 6 3 2" xfId="2950"/>
    <cellStyle name="Input cel 4 6 3 3" xfId="4363"/>
    <cellStyle name="Input cel 4 6 4" xfId="1102"/>
    <cellStyle name="Input cel 4 6 5" xfId="2345"/>
    <cellStyle name="Input cel 4 6 6" xfId="3770"/>
    <cellStyle name="Input cel 4 7" xfId="503"/>
    <cellStyle name="Input cel 4 7 2" xfId="1229"/>
    <cellStyle name="Input cel 4 7 2 2" xfId="2471"/>
    <cellStyle name="Input cel 4 7 2 3" xfId="3895"/>
    <cellStyle name="Input cel 4 7 3" xfId="1456"/>
    <cellStyle name="Input cel 4 7 4" xfId="2697"/>
    <cellStyle name="Input cel 4 7 5" xfId="4114"/>
    <cellStyle name="Input cel 4 8" xfId="1447"/>
    <cellStyle name="Input cel 4 8 2" xfId="2688"/>
    <cellStyle name="Input cel 4 8 3" xfId="4108"/>
    <cellStyle name="Input cel 4 9" xfId="439"/>
    <cellStyle name="Input cel 4 9 2" xfId="3593"/>
    <cellStyle name="Input cel 5" xfId="207"/>
    <cellStyle name="Input cel 5 2" xfId="359"/>
    <cellStyle name="Input cel 5 2 10" xfId="2202"/>
    <cellStyle name="Input cel 5 2 11" xfId="565"/>
    <cellStyle name="Input cel 5 2 12" xfId="3448"/>
    <cellStyle name="Input cel 5 2 2" xfId="707"/>
    <cellStyle name="Input cel 5 2 2 2" xfId="1933"/>
    <cellStyle name="Input cel 5 2 2 2 2" xfId="3172"/>
    <cellStyle name="Input cel 5 2 2 2 3" xfId="4584"/>
    <cellStyle name="Input cel 5 2 2 3" xfId="1647"/>
    <cellStyle name="Input cel 5 2 2 3 2" xfId="2887"/>
    <cellStyle name="Input cel 5 2 2 3 3" xfId="4300"/>
    <cellStyle name="Input cel 5 2 2 4" xfId="1618"/>
    <cellStyle name="Input cel 5 2 2 4 2" xfId="2858"/>
    <cellStyle name="Input cel 5 2 2 4 3" xfId="4271"/>
    <cellStyle name="Input cel 5 2 2 5" xfId="1007"/>
    <cellStyle name="Input cel 5 2 2 5 2" xfId="3675"/>
    <cellStyle name="Input cel 5 2 2 6" xfId="2250"/>
    <cellStyle name="Input cel 5 2 2 7" xfId="3535"/>
    <cellStyle name="Input cel 5 2 3" xfId="771"/>
    <cellStyle name="Input cel 5 2 3 2" xfId="1997"/>
    <cellStyle name="Input cel 5 2 3 2 2" xfId="3236"/>
    <cellStyle name="Input cel 5 2 3 2 3" xfId="4648"/>
    <cellStyle name="Input cel 5 2 3 3" xfId="1679"/>
    <cellStyle name="Input cel 5 2 3 3 2" xfId="2919"/>
    <cellStyle name="Input cel 5 2 3 3 3" xfId="4332"/>
    <cellStyle name="Input cel 5 2 3 4" xfId="1071"/>
    <cellStyle name="Input cel 5 2 3 5" xfId="2314"/>
    <cellStyle name="Input cel 5 2 3 6" xfId="3739"/>
    <cellStyle name="Input cel 5 2 4" xfId="833"/>
    <cellStyle name="Input cel 5 2 4 2" xfId="2059"/>
    <cellStyle name="Input cel 5 2 4 2 2" xfId="3298"/>
    <cellStyle name="Input cel 5 2 4 2 3" xfId="4710"/>
    <cellStyle name="Input cel 5 2 4 3" xfId="1737"/>
    <cellStyle name="Input cel 5 2 4 3 2" xfId="2976"/>
    <cellStyle name="Input cel 5 2 4 3 3" xfId="4388"/>
    <cellStyle name="Input cel 5 2 4 4" xfId="1133"/>
    <cellStyle name="Input cel 5 2 4 5" xfId="2376"/>
    <cellStyle name="Input cel 5 2 4 6" xfId="3801"/>
    <cellStyle name="Input cel 5 2 5" xfId="658"/>
    <cellStyle name="Input cel 5 2 5 2" xfId="1896"/>
    <cellStyle name="Input cel 5 2 5 2 2" xfId="3135"/>
    <cellStyle name="Input cel 5 2 5 2 3" xfId="4547"/>
    <cellStyle name="Input cel 5 2 5 3" xfId="1580"/>
    <cellStyle name="Input cel 5 2 5 4" xfId="2820"/>
    <cellStyle name="Input cel 5 2 5 5" xfId="4234"/>
    <cellStyle name="Input cel 5 2 6" xfId="1500"/>
    <cellStyle name="Input cel 5 2 6 2" xfId="2740"/>
    <cellStyle name="Input cel 5 2 6 3" xfId="4154"/>
    <cellStyle name="Input cel 5 2 7" xfId="1294"/>
    <cellStyle name="Input cel 5 2 7 2" xfId="2535"/>
    <cellStyle name="Input cel 5 2 7 3" xfId="3956"/>
    <cellStyle name="Input cel 5 2 8" xfId="1391"/>
    <cellStyle name="Input cel 5 2 8 2" xfId="2632"/>
    <cellStyle name="Input cel 5 2 8 3" xfId="4052"/>
    <cellStyle name="Input cel 5 2 9" xfId="959"/>
    <cellStyle name="Input cel 5 2 9 2" xfId="3627"/>
    <cellStyle name="Input cel 5 3" xfId="294"/>
    <cellStyle name="Input cel 5 3 2" xfId="1856"/>
    <cellStyle name="Input cel 5 3 2 2" xfId="3095"/>
    <cellStyle name="Input cel 5 3 2 2 2" xfId="4507"/>
    <cellStyle name="Input cel 5 3 2 3" xfId="3495"/>
    <cellStyle name="Input cel 5 3 3" xfId="1219"/>
    <cellStyle name="Input cel 5 3 3 2" xfId="2461"/>
    <cellStyle name="Input cel 5 3 3 3" xfId="3885"/>
    <cellStyle name="Input cel 5 3 4" xfId="889"/>
    <cellStyle name="Input cel 5 3 4 2" xfId="3591"/>
    <cellStyle name="Input cel 5 3 5" xfId="2133"/>
    <cellStyle name="Input cel 5 3 6" xfId="3419"/>
    <cellStyle name="Input cel 5 4" xfId="1890"/>
    <cellStyle name="Input cel 5 4 2" xfId="3129"/>
    <cellStyle name="Input cel 5 4 2 2" xfId="4541"/>
    <cellStyle name="Input cel 5 4 3" xfId="3371"/>
    <cellStyle name="Input cel 5 5" xfId="1198"/>
    <cellStyle name="Input cel 5 5 2" xfId="2441"/>
    <cellStyle name="Input cel 5 5 3" xfId="3395"/>
    <cellStyle name="Input cel 5 6" xfId="1185"/>
    <cellStyle name="Input cel 5 6 2" xfId="2428"/>
    <cellStyle name="Input cel 5 6 3" xfId="3853"/>
    <cellStyle name="Input cel 5 7" xfId="863"/>
    <cellStyle name="Input cel 5 8" xfId="2107"/>
    <cellStyle name="Input cel 5 9" xfId="296"/>
    <cellStyle name="Input cel 6" xfId="289"/>
    <cellStyle name="Input cel new" xfId="23"/>
    <cellStyle name="Input cel new 2" xfId="24"/>
    <cellStyle name="Input cel new 2 2" xfId="168"/>
    <cellStyle name="Input cel new 2 2 2" xfId="276"/>
    <cellStyle name="Input cel new 2 2 2 10" xfId="408"/>
    <cellStyle name="Input cel new 2 2 2 2" xfId="345"/>
    <cellStyle name="Input cel new 2 2 2 2 10" xfId="500"/>
    <cellStyle name="Input cel new 2 2 2 2 11" xfId="3439"/>
    <cellStyle name="Input cel new 2 2 2 2 2" xfId="554"/>
    <cellStyle name="Input cel new 2 2 2 2 2 2" xfId="651"/>
    <cellStyle name="Input cel new 2 2 2 2 2 2 2" xfId="1573"/>
    <cellStyle name="Input cel new 2 2 2 2 2 2 3" xfId="2813"/>
    <cellStyle name="Input cel new 2 2 2 2 2 2 4" xfId="4227"/>
    <cellStyle name="Input cel new 2 2 2 2 2 3" xfId="1490"/>
    <cellStyle name="Input cel new 2 2 2 2 2 3 2" xfId="2730"/>
    <cellStyle name="Input cel new 2 2 2 2 2 3 3" xfId="4146"/>
    <cellStyle name="Input cel new 2 2 2 2 2 4" xfId="1785"/>
    <cellStyle name="Input cel new 2 2 2 2 2 4 2" xfId="3024"/>
    <cellStyle name="Input cel new 2 2 2 2 2 4 3" xfId="4436"/>
    <cellStyle name="Input cel new 2 2 2 2 2 5" xfId="1312"/>
    <cellStyle name="Input cel new 2 2 2 2 2 5 2" xfId="2553"/>
    <cellStyle name="Input cel new 2 2 2 2 2 5 3" xfId="3973"/>
    <cellStyle name="Input cel new 2 2 2 2 2 6" xfId="952"/>
    <cellStyle name="Input cel new 2 2 2 2 2 6 2" xfId="3620"/>
    <cellStyle name="Input cel new 2 2 2 2 2 7" xfId="2195"/>
    <cellStyle name="Input cel new 2 2 2 2 2 8" xfId="3523"/>
    <cellStyle name="Input cel new 2 2 2 2 3" xfId="700"/>
    <cellStyle name="Input cel new 2 2 2 2 3 2" xfId="1926"/>
    <cellStyle name="Input cel new 2 2 2 2 3 2 2" xfId="3165"/>
    <cellStyle name="Input cel new 2 2 2 2 3 2 3" xfId="4577"/>
    <cellStyle name="Input cel new 2 2 2 2 3 3" xfId="1333"/>
    <cellStyle name="Input cel new 2 2 2 2 3 3 2" xfId="2574"/>
    <cellStyle name="Input cel new 2 2 2 2 3 3 3" xfId="3994"/>
    <cellStyle name="Input cel new 2 2 2 2 3 4" xfId="1374"/>
    <cellStyle name="Input cel new 2 2 2 2 3 4 2" xfId="2615"/>
    <cellStyle name="Input cel new 2 2 2 2 3 4 3" xfId="4035"/>
    <cellStyle name="Input cel new 2 2 2 2 3 5" xfId="1000"/>
    <cellStyle name="Input cel new 2 2 2 2 3 6" xfId="2243"/>
    <cellStyle name="Input cel new 2 2 2 2 3 7" xfId="3668"/>
    <cellStyle name="Input cel new 2 2 2 2 4" xfId="764"/>
    <cellStyle name="Input cel new 2 2 2 2 4 2" xfId="1990"/>
    <cellStyle name="Input cel new 2 2 2 2 4 2 2" xfId="3229"/>
    <cellStyle name="Input cel new 2 2 2 2 4 2 3" xfId="4641"/>
    <cellStyle name="Input cel new 2 2 2 2 4 3" xfId="1672"/>
    <cellStyle name="Input cel new 2 2 2 2 4 3 2" xfId="2912"/>
    <cellStyle name="Input cel new 2 2 2 2 4 3 3" xfId="4325"/>
    <cellStyle name="Input cel new 2 2 2 2 4 4" xfId="1064"/>
    <cellStyle name="Input cel new 2 2 2 2 4 5" xfId="2307"/>
    <cellStyle name="Input cel new 2 2 2 2 4 6" xfId="3732"/>
    <cellStyle name="Input cel new 2 2 2 2 5" xfId="826"/>
    <cellStyle name="Input cel new 2 2 2 2 5 2" xfId="2052"/>
    <cellStyle name="Input cel new 2 2 2 2 5 2 2" xfId="3291"/>
    <cellStyle name="Input cel new 2 2 2 2 5 2 3" xfId="4703"/>
    <cellStyle name="Input cel new 2 2 2 2 5 3" xfId="1730"/>
    <cellStyle name="Input cel new 2 2 2 2 5 3 2" xfId="2969"/>
    <cellStyle name="Input cel new 2 2 2 2 5 3 3" xfId="4381"/>
    <cellStyle name="Input cel new 2 2 2 2 5 4" xfId="1126"/>
    <cellStyle name="Input cel new 2 2 2 2 5 5" xfId="2369"/>
    <cellStyle name="Input cel new 2 2 2 2 5 6" xfId="3794"/>
    <cellStyle name="Input cel new 2 2 2 2 6" xfId="631"/>
    <cellStyle name="Input cel new 2 2 2 2 6 2" xfId="1554"/>
    <cellStyle name="Input cel new 2 2 2 2 6 3" xfId="2794"/>
    <cellStyle name="Input cel new 2 2 2 2 6 4" xfId="4208"/>
    <cellStyle name="Input cel new 2 2 2 2 7" xfId="1254"/>
    <cellStyle name="Input cel new 2 2 2 2 7 2" xfId="2496"/>
    <cellStyle name="Input cel new 2 2 2 2 7 3" xfId="3919"/>
    <cellStyle name="Input cel new 2 2 2 2 8" xfId="929"/>
    <cellStyle name="Input cel new 2 2 2 2 8 2" xfId="3389"/>
    <cellStyle name="Input cel new 2 2 2 2 9" xfId="2172"/>
    <cellStyle name="Input cel new 2 2 2 3" xfId="390"/>
    <cellStyle name="Input cel new 2 2 2 3 10" xfId="2154"/>
    <cellStyle name="Input cel new 2 2 2 3 11" xfId="482"/>
    <cellStyle name="Input cel new 2 2 2 3 12" xfId="3472"/>
    <cellStyle name="Input cel new 2 2 2 3 2" xfId="537"/>
    <cellStyle name="Input cel new 2 2 2 3 2 2" xfId="683"/>
    <cellStyle name="Input cel new 2 2 2 3 2 2 2" xfId="1909"/>
    <cellStyle name="Input cel new 2 2 2 3 2 2 2 2" xfId="3148"/>
    <cellStyle name="Input cel new 2 2 2 3 2 2 2 3" xfId="4560"/>
    <cellStyle name="Input cel new 2 2 2 3 2 2 3" xfId="1604"/>
    <cellStyle name="Input cel new 2 2 2 3 2 2 4" xfId="2844"/>
    <cellStyle name="Input cel new 2 2 2 3 2 2 5" xfId="4258"/>
    <cellStyle name="Input cel new 2 2 2 3 2 3" xfId="1824"/>
    <cellStyle name="Input cel new 2 2 2 3 2 3 2" xfId="3063"/>
    <cellStyle name="Input cel new 2 2 2 3 2 3 3" xfId="4475"/>
    <cellStyle name="Input cel new 2 2 2 3 2 4" xfId="1357"/>
    <cellStyle name="Input cel new 2 2 2 3 2 4 2" xfId="2598"/>
    <cellStyle name="Input cel new 2 2 2 3 2 4 3" xfId="4018"/>
    <cellStyle name="Input cel new 2 2 2 3 2 5" xfId="983"/>
    <cellStyle name="Input cel new 2 2 2 3 2 5 2" xfId="3651"/>
    <cellStyle name="Input cel new 2 2 2 3 2 6" xfId="2226"/>
    <cellStyle name="Input cel new 2 2 2 3 2 7" xfId="3564"/>
    <cellStyle name="Input cel new 2 2 2 3 3" xfId="732"/>
    <cellStyle name="Input cel new 2 2 2 3 3 2" xfId="1643"/>
    <cellStyle name="Input cel new 2 2 2 3 3 2 2" xfId="2883"/>
    <cellStyle name="Input cel new 2 2 2 3 3 2 3" xfId="4296"/>
    <cellStyle name="Input cel new 2 2 2 3 3 3" xfId="1958"/>
    <cellStyle name="Input cel new 2 2 2 3 3 3 2" xfId="3197"/>
    <cellStyle name="Input cel new 2 2 2 3 3 3 3" xfId="4609"/>
    <cellStyle name="Input cel new 2 2 2 3 3 4" xfId="1417"/>
    <cellStyle name="Input cel new 2 2 2 3 3 4 2" xfId="2658"/>
    <cellStyle name="Input cel new 2 2 2 3 3 4 3" xfId="4078"/>
    <cellStyle name="Input cel new 2 2 2 3 3 5" xfId="1032"/>
    <cellStyle name="Input cel new 2 2 2 3 3 6" xfId="2275"/>
    <cellStyle name="Input cel new 2 2 2 3 3 7" xfId="3700"/>
    <cellStyle name="Input cel new 2 2 2 3 4" xfId="796"/>
    <cellStyle name="Input cel new 2 2 2 3 4 2" xfId="2022"/>
    <cellStyle name="Input cel new 2 2 2 3 4 2 2" xfId="3261"/>
    <cellStyle name="Input cel new 2 2 2 3 4 2 3" xfId="4673"/>
    <cellStyle name="Input cel new 2 2 2 3 4 3" xfId="1704"/>
    <cellStyle name="Input cel new 2 2 2 3 4 3 2" xfId="2944"/>
    <cellStyle name="Input cel new 2 2 2 3 4 3 3" xfId="4357"/>
    <cellStyle name="Input cel new 2 2 2 3 4 4" xfId="1096"/>
    <cellStyle name="Input cel new 2 2 2 3 4 5" xfId="2339"/>
    <cellStyle name="Input cel new 2 2 2 3 4 6" xfId="3764"/>
    <cellStyle name="Input cel new 2 2 2 3 5" xfId="857"/>
    <cellStyle name="Input cel new 2 2 2 3 5 2" xfId="2083"/>
    <cellStyle name="Input cel new 2 2 2 3 5 2 2" xfId="3322"/>
    <cellStyle name="Input cel new 2 2 2 3 5 2 3" xfId="4734"/>
    <cellStyle name="Input cel new 2 2 2 3 5 3" xfId="1761"/>
    <cellStyle name="Input cel new 2 2 2 3 5 3 2" xfId="3000"/>
    <cellStyle name="Input cel new 2 2 2 3 5 3 3" xfId="4412"/>
    <cellStyle name="Input cel new 2 2 2 3 5 4" xfId="1157"/>
    <cellStyle name="Input cel new 2 2 2 3 5 5" xfId="2400"/>
    <cellStyle name="Input cel new 2 2 2 3 5 6" xfId="3825"/>
    <cellStyle name="Input cel new 2 2 2 3 6" xfId="613"/>
    <cellStyle name="Input cel new 2 2 2 3 6 2" xfId="1536"/>
    <cellStyle name="Input cel new 2 2 2 3 6 3" xfId="2776"/>
    <cellStyle name="Input cel new 2 2 2 3 6 4" xfId="4190"/>
    <cellStyle name="Input cel new 2 2 2 3 7" xfId="1376"/>
    <cellStyle name="Input cel new 2 2 2 3 7 2" xfId="2617"/>
    <cellStyle name="Input cel new 2 2 2 3 7 3" xfId="4037"/>
    <cellStyle name="Input cel new 2 2 2 3 8" xfId="1181"/>
    <cellStyle name="Input cel new 2 2 2 3 8 2" xfId="2424"/>
    <cellStyle name="Input cel new 2 2 2 3 8 3" xfId="3849"/>
    <cellStyle name="Input cel new 2 2 2 3 9" xfId="911"/>
    <cellStyle name="Input cel new 2 2 2 3 9 2" xfId="3400"/>
    <cellStyle name="Input cel new 2 2 2 4" xfId="308"/>
    <cellStyle name="Input cel new 2 2 2 4 2" xfId="1461"/>
    <cellStyle name="Input cel new 2 2 2 4 2 2" xfId="2702"/>
    <cellStyle name="Input cel new 2 2 2 4 2 2 2" xfId="4119"/>
    <cellStyle name="Input cel new 2 2 2 4 2 3" xfId="3499"/>
    <cellStyle name="Input cel new 2 2 2 4 3" xfId="1764"/>
    <cellStyle name="Input cel new 2 2 2 4 3 2" xfId="3003"/>
    <cellStyle name="Input cel new 2 2 2 4 3 3" xfId="4415"/>
    <cellStyle name="Input cel new 2 2 2 4 4" xfId="862"/>
    <cellStyle name="Input cel new 2 2 2 4 4 2" xfId="3352"/>
    <cellStyle name="Input cel new 2 2 2 4 5" xfId="2106"/>
    <cellStyle name="Input cel new 2 2 2 4 6" xfId="509"/>
    <cellStyle name="Input cel new 2 2 2 5" xfId="746"/>
    <cellStyle name="Input cel new 2 2 2 5 2" xfId="1654"/>
    <cellStyle name="Input cel new 2 2 2 5 2 2" xfId="1972"/>
    <cellStyle name="Input cel new 2 2 2 5 2 2 2" xfId="3211"/>
    <cellStyle name="Input cel new 2 2 2 5 2 2 3" xfId="4623"/>
    <cellStyle name="Input cel new 2 2 2 5 2 3" xfId="2894"/>
    <cellStyle name="Input cel new 2 2 2 5 2 4" xfId="4307"/>
    <cellStyle name="Input cel new 2 2 2 5 3" xfId="1404"/>
    <cellStyle name="Input cel new 2 2 2 5 3 2" xfId="2645"/>
    <cellStyle name="Input cel new 2 2 2 5 3 3" xfId="4065"/>
    <cellStyle name="Input cel new 2 2 2 5 4" xfId="1292"/>
    <cellStyle name="Input cel new 2 2 2 5 4 2" xfId="2533"/>
    <cellStyle name="Input cel new 2 2 2 5 4 3" xfId="3954"/>
    <cellStyle name="Input cel new 2 2 2 5 5" xfId="1046"/>
    <cellStyle name="Input cel new 2 2 2 5 5 2" xfId="3714"/>
    <cellStyle name="Input cel new 2 2 2 5 6" xfId="2289"/>
    <cellStyle name="Input cel new 2 2 2 5 7" xfId="3486"/>
    <cellStyle name="Input cel new 2 2 2 6" xfId="809"/>
    <cellStyle name="Input cel new 2 2 2 6 2" xfId="2035"/>
    <cellStyle name="Input cel new 2 2 2 6 2 2" xfId="3274"/>
    <cellStyle name="Input cel new 2 2 2 6 2 3" xfId="4686"/>
    <cellStyle name="Input cel new 2 2 2 6 3" xfId="1329"/>
    <cellStyle name="Input cel new 2 2 2 6 3 2" xfId="2570"/>
    <cellStyle name="Input cel new 2 2 2 6 3 3" xfId="3990"/>
    <cellStyle name="Input cel new 2 2 2 6 4" xfId="1109"/>
    <cellStyle name="Input cel new 2 2 2 6 5" xfId="2352"/>
    <cellStyle name="Input cel new 2 2 2 6 6" xfId="3777"/>
    <cellStyle name="Input cel new 2 2 2 7" xfId="577"/>
    <cellStyle name="Input cel new 2 2 2 7 2" xfId="1769"/>
    <cellStyle name="Input cel new 2 2 2 7 2 2" xfId="3008"/>
    <cellStyle name="Input cel new 2 2 2 7 2 3" xfId="4420"/>
    <cellStyle name="Input cel new 2 2 2 7 3" xfId="1509"/>
    <cellStyle name="Input cel new 2 2 2 7 4" xfId="2749"/>
    <cellStyle name="Input cel new 2 2 2 7 5" xfId="4163"/>
    <cellStyle name="Input cel new 2 2 2 8" xfId="516"/>
    <cellStyle name="Input cel new 2 2 2 8 2" xfId="3592"/>
    <cellStyle name="Input cel new 2 2 2 9" xfId="524"/>
    <cellStyle name="Input cel new 2 2 3" xfId="232"/>
    <cellStyle name="Input cel new 2 2 3 2" xfId="369"/>
    <cellStyle name="Input cel new 2 2 3 2 10" xfId="570"/>
    <cellStyle name="Input cel new 2 2 3 2 11" xfId="3456"/>
    <cellStyle name="Input cel new 2 2 3 2 2" xfId="715"/>
    <cellStyle name="Input cel new 2 2 3 2 2 2" xfId="1626"/>
    <cellStyle name="Input cel new 2 2 3 2 2 2 2" xfId="1941"/>
    <cellStyle name="Input cel new 2 2 3 2 2 2 2 2" xfId="3180"/>
    <cellStyle name="Input cel new 2 2 3 2 2 2 2 3" xfId="4592"/>
    <cellStyle name="Input cel new 2 2 3 2 2 2 3" xfId="2866"/>
    <cellStyle name="Input cel new 2 2 3 2 2 2 4" xfId="4279"/>
    <cellStyle name="Input cel new 2 2 3 2 2 3" xfId="1807"/>
    <cellStyle name="Input cel new 2 2 3 2 2 3 2" xfId="3046"/>
    <cellStyle name="Input cel new 2 2 3 2 2 3 3" xfId="4458"/>
    <cellStyle name="Input cel new 2 2 3 2 2 4" xfId="1399"/>
    <cellStyle name="Input cel new 2 2 3 2 2 4 2" xfId="2640"/>
    <cellStyle name="Input cel new 2 2 3 2 2 4 3" xfId="4060"/>
    <cellStyle name="Input cel new 2 2 3 2 2 5" xfId="1015"/>
    <cellStyle name="Input cel new 2 2 3 2 2 5 2" xfId="3683"/>
    <cellStyle name="Input cel new 2 2 3 2 2 6" xfId="2258"/>
    <cellStyle name="Input cel new 2 2 3 2 2 7" xfId="3545"/>
    <cellStyle name="Input cel new 2 2 3 2 3" xfId="779"/>
    <cellStyle name="Input cel new 2 2 3 2 3 2" xfId="2005"/>
    <cellStyle name="Input cel new 2 2 3 2 3 2 2" xfId="3244"/>
    <cellStyle name="Input cel new 2 2 3 2 3 2 3" xfId="4656"/>
    <cellStyle name="Input cel new 2 2 3 2 3 3" xfId="1687"/>
    <cellStyle name="Input cel new 2 2 3 2 3 3 2" xfId="2927"/>
    <cellStyle name="Input cel new 2 2 3 2 3 3 3" xfId="4340"/>
    <cellStyle name="Input cel new 2 2 3 2 3 4" xfId="1079"/>
    <cellStyle name="Input cel new 2 2 3 2 3 5" xfId="2322"/>
    <cellStyle name="Input cel new 2 2 3 2 3 6" xfId="3747"/>
    <cellStyle name="Input cel new 2 2 3 2 4" xfId="841"/>
    <cellStyle name="Input cel new 2 2 3 2 4 2" xfId="2067"/>
    <cellStyle name="Input cel new 2 2 3 2 4 2 2" xfId="3306"/>
    <cellStyle name="Input cel new 2 2 3 2 4 2 3" xfId="4718"/>
    <cellStyle name="Input cel new 2 2 3 2 4 3" xfId="1745"/>
    <cellStyle name="Input cel new 2 2 3 2 4 3 2" xfId="2984"/>
    <cellStyle name="Input cel new 2 2 3 2 4 3 3" xfId="4396"/>
    <cellStyle name="Input cel new 2 2 3 2 4 4" xfId="1141"/>
    <cellStyle name="Input cel new 2 2 3 2 4 5" xfId="2384"/>
    <cellStyle name="Input cel new 2 2 3 2 4 6" xfId="3809"/>
    <cellStyle name="Input cel new 2 2 3 2 5" xfId="666"/>
    <cellStyle name="Input cel new 2 2 3 2 5 2" xfId="1901"/>
    <cellStyle name="Input cel new 2 2 3 2 5 2 2" xfId="3140"/>
    <cellStyle name="Input cel new 2 2 3 2 5 2 3" xfId="4552"/>
    <cellStyle name="Input cel new 2 2 3 2 5 3" xfId="1588"/>
    <cellStyle name="Input cel new 2 2 3 2 5 4" xfId="2828"/>
    <cellStyle name="Input cel new 2 2 3 2 5 5" xfId="4242"/>
    <cellStyle name="Input cel new 2 2 3 2 6" xfId="1609"/>
    <cellStyle name="Input cel new 2 2 3 2 6 2" xfId="2849"/>
    <cellStyle name="Input cel new 2 2 3 2 6 3" xfId="4263"/>
    <cellStyle name="Input cel new 2 2 3 2 7" xfId="1232"/>
    <cellStyle name="Input cel new 2 2 3 2 7 2" xfId="2474"/>
    <cellStyle name="Input cel new 2 2 3 2 7 3" xfId="3898"/>
    <cellStyle name="Input cel new 2 2 3 2 8" xfId="967"/>
    <cellStyle name="Input cel new 2 2 3 2 8 2" xfId="3635"/>
    <cellStyle name="Input cel new 2 2 3 2 9" xfId="2210"/>
    <cellStyle name="Input cel new 2 2 3 3" xfId="307"/>
    <cellStyle name="Input cel new 2 2 3 3 2" xfId="1865"/>
    <cellStyle name="Input cel new 2 2 3 3 2 2" xfId="3104"/>
    <cellStyle name="Input cel new 2 2 3 3 2 2 2" xfId="4516"/>
    <cellStyle name="Input cel new 2 2 3 3 2 3" xfId="3498"/>
    <cellStyle name="Input cel new 2 2 3 3 3" xfId="1441"/>
    <cellStyle name="Input cel new 2 2 3 3 3 2" xfId="2682"/>
    <cellStyle name="Input cel new 2 2 3 3 3 3" xfId="4102"/>
    <cellStyle name="Input cel new 2 2 3 3 4" xfId="899"/>
    <cellStyle name="Input cel new 2 2 3 3 4 2" xfId="3349"/>
    <cellStyle name="Input cel new 2 2 3 3 5" xfId="2142"/>
    <cellStyle name="Input cel new 2 2 3 3 6" xfId="3422"/>
    <cellStyle name="Input cel new 2 2 3 4" xfId="1843"/>
    <cellStyle name="Input cel new 2 2 3 4 2" xfId="3082"/>
    <cellStyle name="Input cel new 2 2 3 4 2 2" xfId="4494"/>
    <cellStyle name="Input cel new 2 2 3 4 3" xfId="3391"/>
    <cellStyle name="Input cel new 2 2 3 5" xfId="1499"/>
    <cellStyle name="Input cel new 2 2 3 5 2" xfId="2739"/>
    <cellStyle name="Input cel new 2 2 3 5 3" xfId="347"/>
    <cellStyle name="Input cel new 2 2 3 6" xfId="877"/>
    <cellStyle name="Input cel new 2 2 3 7" xfId="2121"/>
    <cellStyle name="Input cel new 2 2 3 8" xfId="341"/>
    <cellStyle name="Input cel new 2 2 4" xfId="1163"/>
    <cellStyle name="Input cel new 2 2 4 2" xfId="2406"/>
    <cellStyle name="Input cel new 2 2 4 3" xfId="3831"/>
    <cellStyle name="Input cel new 2 2 5" xfId="298"/>
    <cellStyle name="Input cel new 2 3" xfId="273"/>
    <cellStyle name="Input cel new 2 3 10" xfId="405"/>
    <cellStyle name="Input cel new 2 3 2" xfId="342"/>
    <cellStyle name="Input cel new 2 3 2 10" xfId="497"/>
    <cellStyle name="Input cel new 2 3 2 11" xfId="3436"/>
    <cellStyle name="Input cel new 2 3 2 2" xfId="551"/>
    <cellStyle name="Input cel new 2 3 2 2 2" xfId="648"/>
    <cellStyle name="Input cel new 2 3 2 2 2 2" xfId="1570"/>
    <cellStyle name="Input cel new 2 3 2 2 2 3" xfId="2810"/>
    <cellStyle name="Input cel new 2 3 2 2 2 4" xfId="4224"/>
    <cellStyle name="Input cel new 2 3 2 2 3" xfId="1487"/>
    <cellStyle name="Input cel new 2 3 2 2 3 2" xfId="2727"/>
    <cellStyle name="Input cel new 2 3 2 2 3 3" xfId="4143"/>
    <cellStyle name="Input cel new 2 3 2 2 4" xfId="1782"/>
    <cellStyle name="Input cel new 2 3 2 2 4 2" xfId="3021"/>
    <cellStyle name="Input cel new 2 3 2 2 4 3" xfId="4433"/>
    <cellStyle name="Input cel new 2 3 2 2 5" xfId="1309"/>
    <cellStyle name="Input cel new 2 3 2 2 5 2" xfId="2550"/>
    <cellStyle name="Input cel new 2 3 2 2 5 3" xfId="3970"/>
    <cellStyle name="Input cel new 2 3 2 2 6" xfId="949"/>
    <cellStyle name="Input cel new 2 3 2 2 6 2" xfId="3617"/>
    <cellStyle name="Input cel new 2 3 2 2 7" xfId="2192"/>
    <cellStyle name="Input cel new 2 3 2 2 8" xfId="3520"/>
    <cellStyle name="Input cel new 2 3 2 3" xfId="697"/>
    <cellStyle name="Input cel new 2 3 2 3 2" xfId="1923"/>
    <cellStyle name="Input cel new 2 3 2 3 2 2" xfId="3162"/>
    <cellStyle name="Input cel new 2 3 2 3 2 3" xfId="4574"/>
    <cellStyle name="Input cel new 2 3 2 3 3" xfId="1452"/>
    <cellStyle name="Input cel new 2 3 2 3 3 2" xfId="2693"/>
    <cellStyle name="Input cel new 2 3 2 3 3 3" xfId="4111"/>
    <cellStyle name="Input cel new 2 3 2 3 4" xfId="1371"/>
    <cellStyle name="Input cel new 2 3 2 3 4 2" xfId="2612"/>
    <cellStyle name="Input cel new 2 3 2 3 4 3" xfId="4032"/>
    <cellStyle name="Input cel new 2 3 2 3 5" xfId="997"/>
    <cellStyle name="Input cel new 2 3 2 3 6" xfId="2240"/>
    <cellStyle name="Input cel new 2 3 2 3 7" xfId="3665"/>
    <cellStyle name="Input cel new 2 3 2 4" xfId="761"/>
    <cellStyle name="Input cel new 2 3 2 4 2" xfId="1987"/>
    <cellStyle name="Input cel new 2 3 2 4 2 2" xfId="3226"/>
    <cellStyle name="Input cel new 2 3 2 4 2 3" xfId="4638"/>
    <cellStyle name="Input cel new 2 3 2 4 3" xfId="1669"/>
    <cellStyle name="Input cel new 2 3 2 4 3 2" xfId="2909"/>
    <cellStyle name="Input cel new 2 3 2 4 3 3" xfId="4322"/>
    <cellStyle name="Input cel new 2 3 2 4 4" xfId="1061"/>
    <cellStyle name="Input cel new 2 3 2 4 5" xfId="2304"/>
    <cellStyle name="Input cel new 2 3 2 4 6" xfId="3729"/>
    <cellStyle name="Input cel new 2 3 2 5" xfId="823"/>
    <cellStyle name="Input cel new 2 3 2 5 2" xfId="2049"/>
    <cellStyle name="Input cel new 2 3 2 5 2 2" xfId="3288"/>
    <cellStyle name="Input cel new 2 3 2 5 2 3" xfId="4700"/>
    <cellStyle name="Input cel new 2 3 2 5 3" xfId="1727"/>
    <cellStyle name="Input cel new 2 3 2 5 3 2" xfId="2966"/>
    <cellStyle name="Input cel new 2 3 2 5 3 3" xfId="4378"/>
    <cellStyle name="Input cel new 2 3 2 5 4" xfId="1123"/>
    <cellStyle name="Input cel new 2 3 2 5 5" xfId="2366"/>
    <cellStyle name="Input cel new 2 3 2 5 6" xfId="3791"/>
    <cellStyle name="Input cel new 2 3 2 6" xfId="628"/>
    <cellStyle name="Input cel new 2 3 2 6 2" xfId="1551"/>
    <cellStyle name="Input cel new 2 3 2 6 3" xfId="2791"/>
    <cellStyle name="Input cel new 2 3 2 6 4" xfId="4205"/>
    <cellStyle name="Input cel new 2 3 2 7" xfId="1192"/>
    <cellStyle name="Input cel new 2 3 2 7 2" xfId="2435"/>
    <cellStyle name="Input cel new 2 3 2 7 3" xfId="3860"/>
    <cellStyle name="Input cel new 2 3 2 8" xfId="926"/>
    <cellStyle name="Input cel new 2 3 2 8 2" xfId="3393"/>
    <cellStyle name="Input cel new 2 3 2 9" xfId="2169"/>
    <cellStyle name="Input cel new 2 3 3" xfId="387"/>
    <cellStyle name="Input cel new 2 3 3 10" xfId="2151"/>
    <cellStyle name="Input cel new 2 3 3 11" xfId="479"/>
    <cellStyle name="Input cel new 2 3 3 12" xfId="3469"/>
    <cellStyle name="Input cel new 2 3 3 2" xfId="534"/>
    <cellStyle name="Input cel new 2 3 3 2 2" xfId="680"/>
    <cellStyle name="Input cel new 2 3 3 2 2 2" xfId="1906"/>
    <cellStyle name="Input cel new 2 3 3 2 2 2 2" xfId="3145"/>
    <cellStyle name="Input cel new 2 3 3 2 2 2 3" xfId="4557"/>
    <cellStyle name="Input cel new 2 3 3 2 2 3" xfId="1601"/>
    <cellStyle name="Input cel new 2 3 3 2 2 4" xfId="2841"/>
    <cellStyle name="Input cel new 2 3 3 2 2 5" xfId="4255"/>
    <cellStyle name="Input cel new 2 3 3 2 3" xfId="1821"/>
    <cellStyle name="Input cel new 2 3 3 2 3 2" xfId="3060"/>
    <cellStyle name="Input cel new 2 3 3 2 3 3" xfId="4472"/>
    <cellStyle name="Input cel new 2 3 3 2 4" xfId="1354"/>
    <cellStyle name="Input cel new 2 3 3 2 4 2" xfId="2595"/>
    <cellStyle name="Input cel new 2 3 3 2 4 3" xfId="4015"/>
    <cellStyle name="Input cel new 2 3 3 2 5" xfId="980"/>
    <cellStyle name="Input cel new 2 3 3 2 5 2" xfId="3648"/>
    <cellStyle name="Input cel new 2 3 3 2 6" xfId="2223"/>
    <cellStyle name="Input cel new 2 3 3 2 7" xfId="3561"/>
    <cellStyle name="Input cel new 2 3 3 3" xfId="729"/>
    <cellStyle name="Input cel new 2 3 3 3 2" xfId="1640"/>
    <cellStyle name="Input cel new 2 3 3 3 2 2" xfId="2880"/>
    <cellStyle name="Input cel new 2 3 3 3 2 3" xfId="4293"/>
    <cellStyle name="Input cel new 2 3 3 3 3" xfId="1955"/>
    <cellStyle name="Input cel new 2 3 3 3 3 2" xfId="3194"/>
    <cellStyle name="Input cel new 2 3 3 3 3 3" xfId="4606"/>
    <cellStyle name="Input cel new 2 3 3 3 4" xfId="1414"/>
    <cellStyle name="Input cel new 2 3 3 3 4 2" xfId="2655"/>
    <cellStyle name="Input cel new 2 3 3 3 4 3" xfId="4075"/>
    <cellStyle name="Input cel new 2 3 3 3 5" xfId="1029"/>
    <cellStyle name="Input cel new 2 3 3 3 6" xfId="2272"/>
    <cellStyle name="Input cel new 2 3 3 3 7" xfId="3697"/>
    <cellStyle name="Input cel new 2 3 3 4" xfId="793"/>
    <cellStyle name="Input cel new 2 3 3 4 2" xfId="2019"/>
    <cellStyle name="Input cel new 2 3 3 4 2 2" xfId="3258"/>
    <cellStyle name="Input cel new 2 3 3 4 2 3" xfId="4670"/>
    <cellStyle name="Input cel new 2 3 3 4 3" xfId="1701"/>
    <cellStyle name="Input cel new 2 3 3 4 3 2" xfId="2941"/>
    <cellStyle name="Input cel new 2 3 3 4 3 3" xfId="4354"/>
    <cellStyle name="Input cel new 2 3 3 4 4" xfId="1093"/>
    <cellStyle name="Input cel new 2 3 3 4 5" xfId="2336"/>
    <cellStyle name="Input cel new 2 3 3 4 6" xfId="3761"/>
    <cellStyle name="Input cel new 2 3 3 5" xfId="854"/>
    <cellStyle name="Input cel new 2 3 3 5 2" xfId="2080"/>
    <cellStyle name="Input cel new 2 3 3 5 2 2" xfId="3319"/>
    <cellStyle name="Input cel new 2 3 3 5 2 3" xfId="4731"/>
    <cellStyle name="Input cel new 2 3 3 5 3" xfId="1758"/>
    <cellStyle name="Input cel new 2 3 3 5 3 2" xfId="2997"/>
    <cellStyle name="Input cel new 2 3 3 5 3 3" xfId="4409"/>
    <cellStyle name="Input cel new 2 3 3 5 4" xfId="1154"/>
    <cellStyle name="Input cel new 2 3 3 5 5" xfId="2397"/>
    <cellStyle name="Input cel new 2 3 3 5 6" xfId="3822"/>
    <cellStyle name="Input cel new 2 3 3 6" xfId="610"/>
    <cellStyle name="Input cel new 2 3 3 6 2" xfId="1533"/>
    <cellStyle name="Input cel new 2 3 3 6 3" xfId="2773"/>
    <cellStyle name="Input cel new 2 3 3 6 4" xfId="4187"/>
    <cellStyle name="Input cel new 2 3 3 7" xfId="1220"/>
    <cellStyle name="Input cel new 2 3 3 7 2" xfId="2462"/>
    <cellStyle name="Input cel new 2 3 3 7 3" xfId="3886"/>
    <cellStyle name="Input cel new 2 3 3 8" xfId="1178"/>
    <cellStyle name="Input cel new 2 3 3 8 2" xfId="2421"/>
    <cellStyle name="Input cel new 2 3 3 8 3" xfId="3846"/>
    <cellStyle name="Input cel new 2 3 3 9" xfId="908"/>
    <cellStyle name="Input cel new 2 3 3 9 2" xfId="3334"/>
    <cellStyle name="Input cel new 2 3 4" xfId="362"/>
    <cellStyle name="Input cel new 2 3 4 2" xfId="1438"/>
    <cellStyle name="Input cel new 2 3 4 2 2" xfId="2679"/>
    <cellStyle name="Input cel new 2 3 4 2 2 2" xfId="4099"/>
    <cellStyle name="Input cel new 2 3 4 2 3" xfId="3538"/>
    <cellStyle name="Input cel new 2 3 4 3" xfId="1384"/>
    <cellStyle name="Input cel new 2 3 4 3 2" xfId="2625"/>
    <cellStyle name="Input cel new 2 3 4 3 3" xfId="4045"/>
    <cellStyle name="Input cel new 2 3 4 4" xfId="434"/>
    <cellStyle name="Input cel new 2 3 4 4 2" xfId="3413"/>
    <cellStyle name="Input cel new 2 3 4 5" xfId="2087"/>
    <cellStyle name="Input cel new 2 3 4 6" xfId="468"/>
    <cellStyle name="Input cel new 2 3 5" xfId="743"/>
    <cellStyle name="Input cel new 2 3 5 2" xfId="1651"/>
    <cellStyle name="Input cel new 2 3 5 2 2" xfId="1969"/>
    <cellStyle name="Input cel new 2 3 5 2 2 2" xfId="3208"/>
    <cellStyle name="Input cel new 2 3 5 2 2 3" xfId="4620"/>
    <cellStyle name="Input cel new 2 3 5 2 3" xfId="2891"/>
    <cellStyle name="Input cel new 2 3 5 2 4" xfId="4304"/>
    <cellStyle name="Input cel new 2 3 5 3" xfId="1267"/>
    <cellStyle name="Input cel new 2 3 5 3 2" xfId="2508"/>
    <cellStyle name="Input cel new 2 3 5 3 3" xfId="3929"/>
    <cellStyle name="Input cel new 2 3 5 4" xfId="1289"/>
    <cellStyle name="Input cel new 2 3 5 4 2" xfId="2530"/>
    <cellStyle name="Input cel new 2 3 5 4 3" xfId="3951"/>
    <cellStyle name="Input cel new 2 3 5 5" xfId="1043"/>
    <cellStyle name="Input cel new 2 3 5 5 2" xfId="3711"/>
    <cellStyle name="Input cel new 2 3 5 6" xfId="2286"/>
    <cellStyle name="Input cel new 2 3 5 7" xfId="3483"/>
    <cellStyle name="Input cel new 2 3 6" xfId="806"/>
    <cellStyle name="Input cel new 2 3 6 2" xfId="2032"/>
    <cellStyle name="Input cel new 2 3 6 2 2" xfId="3271"/>
    <cellStyle name="Input cel new 2 3 6 2 3" xfId="4683"/>
    <cellStyle name="Input cel new 2 3 6 3" xfId="1326"/>
    <cellStyle name="Input cel new 2 3 6 3 2" xfId="2567"/>
    <cellStyle name="Input cel new 2 3 6 3 3" xfId="3987"/>
    <cellStyle name="Input cel new 2 3 6 4" xfId="1106"/>
    <cellStyle name="Input cel new 2 3 6 5" xfId="2349"/>
    <cellStyle name="Input cel new 2 3 6 6" xfId="3774"/>
    <cellStyle name="Input cel new 2 3 7" xfId="576"/>
    <cellStyle name="Input cel new 2 3 7 2" xfId="1445"/>
    <cellStyle name="Input cel new 2 3 7 2 2" xfId="2686"/>
    <cellStyle name="Input cel new 2 3 7 2 3" xfId="4106"/>
    <cellStyle name="Input cel new 2 3 7 3" xfId="1508"/>
    <cellStyle name="Input cel new 2 3 7 4" xfId="2748"/>
    <cellStyle name="Input cel new 2 3 7 5" xfId="4162"/>
    <cellStyle name="Input cel new 2 3 8" xfId="412"/>
    <cellStyle name="Input cel new 2 3 8 2" xfId="3585"/>
    <cellStyle name="Input cel new 2 3 9" xfId="464"/>
    <cellStyle name="Input cel new 2 4" xfId="211"/>
    <cellStyle name="Input cel new 2 4 2" xfId="358"/>
    <cellStyle name="Input cel new 2 4 2 10" xfId="564"/>
    <cellStyle name="Input cel new 2 4 2 11" xfId="3447"/>
    <cellStyle name="Input cel new 2 4 2 2" xfId="706"/>
    <cellStyle name="Input cel new 2 4 2 2 2" xfId="1617"/>
    <cellStyle name="Input cel new 2 4 2 2 2 2" xfId="1932"/>
    <cellStyle name="Input cel new 2 4 2 2 2 2 2" xfId="3171"/>
    <cellStyle name="Input cel new 2 4 2 2 2 2 3" xfId="4583"/>
    <cellStyle name="Input cel new 2 4 2 2 2 3" xfId="2857"/>
    <cellStyle name="Input cel new 2 4 2 2 2 4" xfId="4270"/>
    <cellStyle name="Input cel new 2 4 2 2 3" xfId="1804"/>
    <cellStyle name="Input cel new 2 4 2 2 3 2" xfId="3043"/>
    <cellStyle name="Input cel new 2 4 2 2 3 3" xfId="4455"/>
    <cellStyle name="Input cel new 2 4 2 2 4" xfId="1390"/>
    <cellStyle name="Input cel new 2 4 2 2 4 2" xfId="2631"/>
    <cellStyle name="Input cel new 2 4 2 2 4 3" xfId="4051"/>
    <cellStyle name="Input cel new 2 4 2 2 5" xfId="1006"/>
    <cellStyle name="Input cel new 2 4 2 2 5 2" xfId="3674"/>
    <cellStyle name="Input cel new 2 4 2 2 6" xfId="2249"/>
    <cellStyle name="Input cel new 2 4 2 2 7" xfId="3534"/>
    <cellStyle name="Input cel new 2 4 2 3" xfId="770"/>
    <cellStyle name="Input cel new 2 4 2 3 2" xfId="1996"/>
    <cellStyle name="Input cel new 2 4 2 3 2 2" xfId="3235"/>
    <cellStyle name="Input cel new 2 4 2 3 2 3" xfId="4647"/>
    <cellStyle name="Input cel new 2 4 2 3 3" xfId="1678"/>
    <cellStyle name="Input cel new 2 4 2 3 3 2" xfId="2918"/>
    <cellStyle name="Input cel new 2 4 2 3 3 3" xfId="4331"/>
    <cellStyle name="Input cel new 2 4 2 3 4" xfId="1070"/>
    <cellStyle name="Input cel new 2 4 2 3 5" xfId="2313"/>
    <cellStyle name="Input cel new 2 4 2 3 6" xfId="3738"/>
    <cellStyle name="Input cel new 2 4 2 4" xfId="832"/>
    <cellStyle name="Input cel new 2 4 2 4 2" xfId="2058"/>
    <cellStyle name="Input cel new 2 4 2 4 2 2" xfId="3297"/>
    <cellStyle name="Input cel new 2 4 2 4 2 3" xfId="4709"/>
    <cellStyle name="Input cel new 2 4 2 4 3" xfId="1736"/>
    <cellStyle name="Input cel new 2 4 2 4 3 2" xfId="2975"/>
    <cellStyle name="Input cel new 2 4 2 4 3 3" xfId="4387"/>
    <cellStyle name="Input cel new 2 4 2 4 4" xfId="1132"/>
    <cellStyle name="Input cel new 2 4 2 4 5" xfId="2375"/>
    <cellStyle name="Input cel new 2 4 2 4 6" xfId="3800"/>
    <cellStyle name="Input cel new 2 4 2 5" xfId="657"/>
    <cellStyle name="Input cel new 2 4 2 5 2" xfId="1895"/>
    <cellStyle name="Input cel new 2 4 2 5 2 2" xfId="3134"/>
    <cellStyle name="Input cel new 2 4 2 5 2 3" xfId="4546"/>
    <cellStyle name="Input cel new 2 4 2 5 3" xfId="1579"/>
    <cellStyle name="Input cel new 2 4 2 5 4" xfId="2819"/>
    <cellStyle name="Input cel new 2 4 2 5 5" xfId="4233"/>
    <cellStyle name="Input cel new 2 4 2 6" xfId="1469"/>
    <cellStyle name="Input cel new 2 4 2 6 2" xfId="2710"/>
    <cellStyle name="Input cel new 2 4 2 6 3" xfId="4127"/>
    <cellStyle name="Input cel new 2 4 2 7" xfId="1235"/>
    <cellStyle name="Input cel new 2 4 2 7 2" xfId="2477"/>
    <cellStyle name="Input cel new 2 4 2 7 3" xfId="3901"/>
    <cellStyle name="Input cel new 2 4 2 8" xfId="958"/>
    <cellStyle name="Input cel new 2 4 2 8 2" xfId="3626"/>
    <cellStyle name="Input cel new 2 4 2 9" xfId="2201"/>
    <cellStyle name="Input cel new 2 4 3" xfId="293"/>
    <cellStyle name="Input cel new 2 4 3 2" xfId="1864"/>
    <cellStyle name="Input cel new 2 4 3 2 2" xfId="3103"/>
    <cellStyle name="Input cel new 2 4 3 2 2 2" xfId="4515"/>
    <cellStyle name="Input cel new 2 4 3 2 3" xfId="3494"/>
    <cellStyle name="Input cel new 2 4 3 3" xfId="1280"/>
    <cellStyle name="Input cel new 2 4 3 3 2" xfId="2521"/>
    <cellStyle name="Input cel new 2 4 3 3 3" xfId="3942"/>
    <cellStyle name="Input cel new 2 4 3 4" xfId="898"/>
    <cellStyle name="Input cel new 2 4 3 4 2" xfId="3342"/>
    <cellStyle name="Input cel new 2 4 3 5" xfId="2141"/>
    <cellStyle name="Input cel new 2 4 3 6" xfId="3418"/>
    <cellStyle name="Input cel new 2 4 4" xfId="1829"/>
    <cellStyle name="Input cel new 2 4 4 2" xfId="3068"/>
    <cellStyle name="Input cel new 2 4 4 2 2" xfId="4480"/>
    <cellStyle name="Input cel new 2 4 4 3" xfId="3375"/>
    <cellStyle name="Input cel new 2 4 5" xfId="1714"/>
    <cellStyle name="Input cel new 2 4 5 2" xfId="2953"/>
    <cellStyle name="Input cel new 2 4 5 3" xfId="3355"/>
    <cellStyle name="Input cel new 2 4 6" xfId="579"/>
    <cellStyle name="Input cel new 2 4 7" xfId="2090"/>
    <cellStyle name="Input cel new 2 4 8" xfId="304"/>
    <cellStyle name="Input cel new 2 5" xfId="871"/>
    <cellStyle name="Input cel new 2 5 2" xfId="2115"/>
    <cellStyle name="Input cel new 2 5 3" xfId="3513"/>
    <cellStyle name="Input cel new 2 6" xfId="1160"/>
    <cellStyle name="Input cel new 2 6 2" xfId="2403"/>
    <cellStyle name="Input cel new 2 6 3" xfId="3828"/>
    <cellStyle name="Input cel new 2 7" xfId="336"/>
    <cellStyle name="Input cel new 3" xfId="25"/>
    <cellStyle name="Input cel new 3 2" xfId="169"/>
    <cellStyle name="Input cel new 3 2 2" xfId="277"/>
    <cellStyle name="Input cel new 3 2 2 10" xfId="409"/>
    <cellStyle name="Input cel new 3 2 2 2" xfId="346"/>
    <cellStyle name="Input cel new 3 2 2 2 10" xfId="501"/>
    <cellStyle name="Input cel new 3 2 2 2 11" xfId="3440"/>
    <cellStyle name="Input cel new 3 2 2 2 2" xfId="555"/>
    <cellStyle name="Input cel new 3 2 2 2 2 2" xfId="652"/>
    <cellStyle name="Input cel new 3 2 2 2 2 2 2" xfId="1574"/>
    <cellStyle name="Input cel new 3 2 2 2 2 2 3" xfId="2814"/>
    <cellStyle name="Input cel new 3 2 2 2 2 2 4" xfId="4228"/>
    <cellStyle name="Input cel new 3 2 2 2 2 3" xfId="1491"/>
    <cellStyle name="Input cel new 3 2 2 2 2 3 2" xfId="2731"/>
    <cellStyle name="Input cel new 3 2 2 2 2 3 3" xfId="4147"/>
    <cellStyle name="Input cel new 3 2 2 2 2 4" xfId="1786"/>
    <cellStyle name="Input cel new 3 2 2 2 2 4 2" xfId="3025"/>
    <cellStyle name="Input cel new 3 2 2 2 2 4 3" xfId="4437"/>
    <cellStyle name="Input cel new 3 2 2 2 2 5" xfId="1313"/>
    <cellStyle name="Input cel new 3 2 2 2 2 5 2" xfId="2554"/>
    <cellStyle name="Input cel new 3 2 2 2 2 5 3" xfId="3974"/>
    <cellStyle name="Input cel new 3 2 2 2 2 6" xfId="953"/>
    <cellStyle name="Input cel new 3 2 2 2 2 6 2" xfId="3621"/>
    <cellStyle name="Input cel new 3 2 2 2 2 7" xfId="2196"/>
    <cellStyle name="Input cel new 3 2 2 2 2 8" xfId="3524"/>
    <cellStyle name="Input cel new 3 2 2 2 3" xfId="701"/>
    <cellStyle name="Input cel new 3 2 2 2 3 2" xfId="1927"/>
    <cellStyle name="Input cel new 3 2 2 2 3 2 2" xfId="3166"/>
    <cellStyle name="Input cel new 3 2 2 2 3 2 3" xfId="4578"/>
    <cellStyle name="Input cel new 3 2 2 2 3 3" xfId="1268"/>
    <cellStyle name="Input cel new 3 2 2 2 3 3 2" xfId="2509"/>
    <cellStyle name="Input cel new 3 2 2 2 3 3 3" xfId="3930"/>
    <cellStyle name="Input cel new 3 2 2 2 3 4" xfId="1375"/>
    <cellStyle name="Input cel new 3 2 2 2 3 4 2" xfId="2616"/>
    <cellStyle name="Input cel new 3 2 2 2 3 4 3" xfId="4036"/>
    <cellStyle name="Input cel new 3 2 2 2 3 5" xfId="1001"/>
    <cellStyle name="Input cel new 3 2 2 2 3 6" xfId="2244"/>
    <cellStyle name="Input cel new 3 2 2 2 3 7" xfId="3669"/>
    <cellStyle name="Input cel new 3 2 2 2 4" xfId="765"/>
    <cellStyle name="Input cel new 3 2 2 2 4 2" xfId="1991"/>
    <cellStyle name="Input cel new 3 2 2 2 4 2 2" xfId="3230"/>
    <cellStyle name="Input cel new 3 2 2 2 4 2 3" xfId="4642"/>
    <cellStyle name="Input cel new 3 2 2 2 4 3" xfId="1673"/>
    <cellStyle name="Input cel new 3 2 2 2 4 3 2" xfId="2913"/>
    <cellStyle name="Input cel new 3 2 2 2 4 3 3" xfId="4326"/>
    <cellStyle name="Input cel new 3 2 2 2 4 4" xfId="1065"/>
    <cellStyle name="Input cel new 3 2 2 2 4 5" xfId="2308"/>
    <cellStyle name="Input cel new 3 2 2 2 4 6" xfId="3733"/>
    <cellStyle name="Input cel new 3 2 2 2 5" xfId="827"/>
    <cellStyle name="Input cel new 3 2 2 2 5 2" xfId="2053"/>
    <cellStyle name="Input cel new 3 2 2 2 5 2 2" xfId="3292"/>
    <cellStyle name="Input cel new 3 2 2 2 5 2 3" xfId="4704"/>
    <cellStyle name="Input cel new 3 2 2 2 5 3" xfId="1731"/>
    <cellStyle name="Input cel new 3 2 2 2 5 3 2" xfId="2970"/>
    <cellStyle name="Input cel new 3 2 2 2 5 3 3" xfId="4382"/>
    <cellStyle name="Input cel new 3 2 2 2 5 4" xfId="1127"/>
    <cellStyle name="Input cel new 3 2 2 2 5 5" xfId="2370"/>
    <cellStyle name="Input cel new 3 2 2 2 5 6" xfId="3795"/>
    <cellStyle name="Input cel new 3 2 2 2 6" xfId="632"/>
    <cellStyle name="Input cel new 3 2 2 2 6 2" xfId="1555"/>
    <cellStyle name="Input cel new 3 2 2 2 6 3" xfId="2795"/>
    <cellStyle name="Input cel new 3 2 2 2 6 4" xfId="4209"/>
    <cellStyle name="Input cel new 3 2 2 2 7" xfId="1201"/>
    <cellStyle name="Input cel new 3 2 2 2 7 2" xfId="2443"/>
    <cellStyle name="Input cel new 3 2 2 2 7 3" xfId="3867"/>
    <cellStyle name="Input cel new 3 2 2 2 8" xfId="930"/>
    <cellStyle name="Input cel new 3 2 2 2 8 2" xfId="3343"/>
    <cellStyle name="Input cel new 3 2 2 2 9" xfId="2173"/>
    <cellStyle name="Input cel new 3 2 2 3" xfId="391"/>
    <cellStyle name="Input cel new 3 2 2 3 10" xfId="2155"/>
    <cellStyle name="Input cel new 3 2 2 3 11" xfId="483"/>
    <cellStyle name="Input cel new 3 2 2 3 12" xfId="3473"/>
    <cellStyle name="Input cel new 3 2 2 3 2" xfId="538"/>
    <cellStyle name="Input cel new 3 2 2 3 2 2" xfId="684"/>
    <cellStyle name="Input cel new 3 2 2 3 2 2 2" xfId="1910"/>
    <cellStyle name="Input cel new 3 2 2 3 2 2 2 2" xfId="3149"/>
    <cellStyle name="Input cel new 3 2 2 3 2 2 2 3" xfId="4561"/>
    <cellStyle name="Input cel new 3 2 2 3 2 2 3" xfId="1605"/>
    <cellStyle name="Input cel new 3 2 2 3 2 2 4" xfId="2845"/>
    <cellStyle name="Input cel new 3 2 2 3 2 2 5" xfId="4259"/>
    <cellStyle name="Input cel new 3 2 2 3 2 3" xfId="1825"/>
    <cellStyle name="Input cel new 3 2 2 3 2 3 2" xfId="3064"/>
    <cellStyle name="Input cel new 3 2 2 3 2 3 3" xfId="4476"/>
    <cellStyle name="Input cel new 3 2 2 3 2 4" xfId="1358"/>
    <cellStyle name="Input cel new 3 2 2 3 2 4 2" xfId="2599"/>
    <cellStyle name="Input cel new 3 2 2 3 2 4 3" xfId="4019"/>
    <cellStyle name="Input cel new 3 2 2 3 2 5" xfId="984"/>
    <cellStyle name="Input cel new 3 2 2 3 2 5 2" xfId="3652"/>
    <cellStyle name="Input cel new 3 2 2 3 2 6" xfId="2227"/>
    <cellStyle name="Input cel new 3 2 2 3 2 7" xfId="3565"/>
    <cellStyle name="Input cel new 3 2 2 3 3" xfId="733"/>
    <cellStyle name="Input cel new 3 2 2 3 3 2" xfId="1644"/>
    <cellStyle name="Input cel new 3 2 2 3 3 2 2" xfId="2884"/>
    <cellStyle name="Input cel new 3 2 2 3 3 2 3" xfId="4297"/>
    <cellStyle name="Input cel new 3 2 2 3 3 3" xfId="1959"/>
    <cellStyle name="Input cel new 3 2 2 3 3 3 2" xfId="3198"/>
    <cellStyle name="Input cel new 3 2 2 3 3 3 3" xfId="4610"/>
    <cellStyle name="Input cel new 3 2 2 3 3 4" xfId="1418"/>
    <cellStyle name="Input cel new 3 2 2 3 3 4 2" xfId="2659"/>
    <cellStyle name="Input cel new 3 2 2 3 3 4 3" xfId="4079"/>
    <cellStyle name="Input cel new 3 2 2 3 3 5" xfId="1033"/>
    <cellStyle name="Input cel new 3 2 2 3 3 6" xfId="2276"/>
    <cellStyle name="Input cel new 3 2 2 3 3 7" xfId="3701"/>
    <cellStyle name="Input cel new 3 2 2 3 4" xfId="797"/>
    <cellStyle name="Input cel new 3 2 2 3 4 2" xfId="2023"/>
    <cellStyle name="Input cel new 3 2 2 3 4 2 2" xfId="3262"/>
    <cellStyle name="Input cel new 3 2 2 3 4 2 3" xfId="4674"/>
    <cellStyle name="Input cel new 3 2 2 3 4 3" xfId="1705"/>
    <cellStyle name="Input cel new 3 2 2 3 4 3 2" xfId="2945"/>
    <cellStyle name="Input cel new 3 2 2 3 4 3 3" xfId="4358"/>
    <cellStyle name="Input cel new 3 2 2 3 4 4" xfId="1097"/>
    <cellStyle name="Input cel new 3 2 2 3 4 5" xfId="2340"/>
    <cellStyle name="Input cel new 3 2 2 3 4 6" xfId="3765"/>
    <cellStyle name="Input cel new 3 2 2 3 5" xfId="858"/>
    <cellStyle name="Input cel new 3 2 2 3 5 2" xfId="2084"/>
    <cellStyle name="Input cel new 3 2 2 3 5 2 2" xfId="3323"/>
    <cellStyle name="Input cel new 3 2 2 3 5 2 3" xfId="4735"/>
    <cellStyle name="Input cel new 3 2 2 3 5 3" xfId="1762"/>
    <cellStyle name="Input cel new 3 2 2 3 5 3 2" xfId="3001"/>
    <cellStyle name="Input cel new 3 2 2 3 5 3 3" xfId="4413"/>
    <cellStyle name="Input cel new 3 2 2 3 5 4" xfId="1158"/>
    <cellStyle name="Input cel new 3 2 2 3 5 5" xfId="2401"/>
    <cellStyle name="Input cel new 3 2 2 3 5 6" xfId="3826"/>
    <cellStyle name="Input cel new 3 2 2 3 6" xfId="614"/>
    <cellStyle name="Input cel new 3 2 2 3 6 2" xfId="1537"/>
    <cellStyle name="Input cel new 3 2 2 3 6 3" xfId="2777"/>
    <cellStyle name="Input cel new 3 2 2 3 6 4" xfId="4191"/>
    <cellStyle name="Input cel new 3 2 2 3 7" xfId="1381"/>
    <cellStyle name="Input cel new 3 2 2 3 7 2" xfId="2622"/>
    <cellStyle name="Input cel new 3 2 2 3 7 3" xfId="4042"/>
    <cellStyle name="Input cel new 3 2 2 3 8" xfId="1182"/>
    <cellStyle name="Input cel new 3 2 2 3 8 2" xfId="2425"/>
    <cellStyle name="Input cel new 3 2 2 3 8 3" xfId="3850"/>
    <cellStyle name="Input cel new 3 2 2 3 9" xfId="912"/>
    <cellStyle name="Input cel new 3 2 2 3 9 2" xfId="3387"/>
    <cellStyle name="Input cel new 3 2 2 4" xfId="335"/>
    <cellStyle name="Input cel new 3 2 2 4 2" xfId="1457"/>
    <cellStyle name="Input cel new 3 2 2 4 2 2" xfId="2698"/>
    <cellStyle name="Input cel new 3 2 2 4 2 2 2" xfId="4115"/>
    <cellStyle name="Input cel new 3 2 2 4 2 3" xfId="3517"/>
    <cellStyle name="Input cel new 3 2 2 4 3" xfId="1765"/>
    <cellStyle name="Input cel new 3 2 2 4 3 2" xfId="3004"/>
    <cellStyle name="Input cel new 3 2 2 4 3 3" xfId="4416"/>
    <cellStyle name="Input cel new 3 2 2 4 4" xfId="867"/>
    <cellStyle name="Input cel new 3 2 2 4 4 2" xfId="3525"/>
    <cellStyle name="Input cel new 3 2 2 4 5" xfId="2111"/>
    <cellStyle name="Input cel new 3 2 2 4 6" xfId="506"/>
    <cellStyle name="Input cel new 3 2 2 5" xfId="747"/>
    <cellStyle name="Input cel new 3 2 2 5 2" xfId="1655"/>
    <cellStyle name="Input cel new 3 2 2 5 2 2" xfId="1973"/>
    <cellStyle name="Input cel new 3 2 2 5 2 2 2" xfId="3212"/>
    <cellStyle name="Input cel new 3 2 2 5 2 2 3" xfId="4624"/>
    <cellStyle name="Input cel new 3 2 2 5 2 3" xfId="2895"/>
    <cellStyle name="Input cel new 3 2 2 5 2 4" xfId="4308"/>
    <cellStyle name="Input cel new 3 2 2 5 3" xfId="1777"/>
    <cellStyle name="Input cel new 3 2 2 5 3 2" xfId="3016"/>
    <cellStyle name="Input cel new 3 2 2 5 3 3" xfId="4428"/>
    <cellStyle name="Input cel new 3 2 2 5 4" xfId="1293"/>
    <cellStyle name="Input cel new 3 2 2 5 4 2" xfId="2534"/>
    <cellStyle name="Input cel new 3 2 2 5 4 3" xfId="3955"/>
    <cellStyle name="Input cel new 3 2 2 5 5" xfId="1047"/>
    <cellStyle name="Input cel new 3 2 2 5 5 2" xfId="3715"/>
    <cellStyle name="Input cel new 3 2 2 5 6" xfId="2290"/>
    <cellStyle name="Input cel new 3 2 2 5 7" xfId="3487"/>
    <cellStyle name="Input cel new 3 2 2 6" xfId="810"/>
    <cellStyle name="Input cel new 3 2 2 6 2" xfId="2036"/>
    <cellStyle name="Input cel new 3 2 2 6 2 2" xfId="3275"/>
    <cellStyle name="Input cel new 3 2 2 6 2 3" xfId="4687"/>
    <cellStyle name="Input cel new 3 2 2 6 3" xfId="1330"/>
    <cellStyle name="Input cel new 3 2 2 6 3 2" xfId="2571"/>
    <cellStyle name="Input cel new 3 2 2 6 3 3" xfId="3991"/>
    <cellStyle name="Input cel new 3 2 2 6 4" xfId="1110"/>
    <cellStyle name="Input cel new 3 2 2 6 5" xfId="2353"/>
    <cellStyle name="Input cel new 3 2 2 6 6" xfId="3778"/>
    <cellStyle name="Input cel new 3 2 2 7" xfId="557"/>
    <cellStyle name="Input cel new 3 2 2 7 2" xfId="1770"/>
    <cellStyle name="Input cel new 3 2 2 7 2 2" xfId="3009"/>
    <cellStyle name="Input cel new 3 2 2 7 2 3" xfId="4421"/>
    <cellStyle name="Input cel new 3 2 2 7 3" xfId="1493"/>
    <cellStyle name="Input cel new 3 2 2 7 4" xfId="2733"/>
    <cellStyle name="Input cel new 3 2 2 7 5" xfId="4149"/>
    <cellStyle name="Input cel new 3 2 2 8" xfId="426"/>
    <cellStyle name="Input cel new 3 2 2 8 2" xfId="3597"/>
    <cellStyle name="Input cel new 3 2 2 9" xfId="425"/>
    <cellStyle name="Input cel new 3 2 3" xfId="233"/>
    <cellStyle name="Input cel new 3 2 3 2" xfId="368"/>
    <cellStyle name="Input cel new 3 2 3 2 10" xfId="569"/>
    <cellStyle name="Input cel new 3 2 3 2 11" xfId="3455"/>
    <cellStyle name="Input cel new 3 2 3 2 2" xfId="714"/>
    <cellStyle name="Input cel new 3 2 3 2 2 2" xfId="1625"/>
    <cellStyle name="Input cel new 3 2 3 2 2 2 2" xfId="1940"/>
    <cellStyle name="Input cel new 3 2 3 2 2 2 2 2" xfId="3179"/>
    <cellStyle name="Input cel new 3 2 3 2 2 2 2 3" xfId="4591"/>
    <cellStyle name="Input cel new 3 2 3 2 2 2 3" xfId="2865"/>
    <cellStyle name="Input cel new 3 2 3 2 2 2 4" xfId="4278"/>
    <cellStyle name="Input cel new 3 2 3 2 2 3" xfId="1766"/>
    <cellStyle name="Input cel new 3 2 3 2 2 3 2" xfId="3005"/>
    <cellStyle name="Input cel new 3 2 3 2 2 3 3" xfId="4417"/>
    <cellStyle name="Input cel new 3 2 3 2 2 4" xfId="1398"/>
    <cellStyle name="Input cel new 3 2 3 2 2 4 2" xfId="2639"/>
    <cellStyle name="Input cel new 3 2 3 2 2 4 3" xfId="4059"/>
    <cellStyle name="Input cel new 3 2 3 2 2 5" xfId="1014"/>
    <cellStyle name="Input cel new 3 2 3 2 2 5 2" xfId="3682"/>
    <cellStyle name="Input cel new 3 2 3 2 2 6" xfId="2257"/>
    <cellStyle name="Input cel new 3 2 3 2 2 7" xfId="3544"/>
    <cellStyle name="Input cel new 3 2 3 2 3" xfId="778"/>
    <cellStyle name="Input cel new 3 2 3 2 3 2" xfId="2004"/>
    <cellStyle name="Input cel new 3 2 3 2 3 2 2" xfId="3243"/>
    <cellStyle name="Input cel new 3 2 3 2 3 2 3" xfId="4655"/>
    <cellStyle name="Input cel new 3 2 3 2 3 3" xfId="1686"/>
    <cellStyle name="Input cel new 3 2 3 2 3 3 2" xfId="2926"/>
    <cellStyle name="Input cel new 3 2 3 2 3 3 3" xfId="4339"/>
    <cellStyle name="Input cel new 3 2 3 2 3 4" xfId="1078"/>
    <cellStyle name="Input cel new 3 2 3 2 3 5" xfId="2321"/>
    <cellStyle name="Input cel new 3 2 3 2 3 6" xfId="3746"/>
    <cellStyle name="Input cel new 3 2 3 2 4" xfId="840"/>
    <cellStyle name="Input cel new 3 2 3 2 4 2" xfId="2066"/>
    <cellStyle name="Input cel new 3 2 3 2 4 2 2" xfId="3305"/>
    <cellStyle name="Input cel new 3 2 3 2 4 2 3" xfId="4717"/>
    <cellStyle name="Input cel new 3 2 3 2 4 3" xfId="1744"/>
    <cellStyle name="Input cel new 3 2 3 2 4 3 2" xfId="2983"/>
    <cellStyle name="Input cel new 3 2 3 2 4 3 3" xfId="4395"/>
    <cellStyle name="Input cel new 3 2 3 2 4 4" xfId="1140"/>
    <cellStyle name="Input cel new 3 2 3 2 4 5" xfId="2383"/>
    <cellStyle name="Input cel new 3 2 3 2 4 6" xfId="3808"/>
    <cellStyle name="Input cel new 3 2 3 2 5" xfId="665"/>
    <cellStyle name="Input cel new 3 2 3 2 5 2" xfId="1900"/>
    <cellStyle name="Input cel new 3 2 3 2 5 2 2" xfId="3139"/>
    <cellStyle name="Input cel new 3 2 3 2 5 2 3" xfId="4551"/>
    <cellStyle name="Input cel new 3 2 3 2 5 3" xfId="1587"/>
    <cellStyle name="Input cel new 3 2 3 2 5 4" xfId="2827"/>
    <cellStyle name="Input cel new 3 2 3 2 5 5" xfId="4241"/>
    <cellStyle name="Input cel new 3 2 3 2 6" xfId="1453"/>
    <cellStyle name="Input cel new 3 2 3 2 6 2" xfId="2694"/>
    <cellStyle name="Input cel new 3 2 3 2 6 3" xfId="4112"/>
    <cellStyle name="Input cel new 3 2 3 2 7" xfId="1233"/>
    <cellStyle name="Input cel new 3 2 3 2 7 2" xfId="2475"/>
    <cellStyle name="Input cel new 3 2 3 2 7 3" xfId="3899"/>
    <cellStyle name="Input cel new 3 2 3 2 8" xfId="966"/>
    <cellStyle name="Input cel new 3 2 3 2 8 2" xfId="3634"/>
    <cellStyle name="Input cel new 3 2 3 2 9" xfId="2209"/>
    <cellStyle name="Input cel new 3 2 3 3" xfId="337"/>
    <cellStyle name="Input cel new 3 2 3 3 2" xfId="1866"/>
    <cellStyle name="Input cel new 3 2 3 3 2 2" xfId="3105"/>
    <cellStyle name="Input cel new 3 2 3 3 2 2 2" xfId="4517"/>
    <cellStyle name="Input cel new 3 2 3 3 2 3" xfId="3518"/>
    <cellStyle name="Input cel new 3 2 3 3 3" xfId="1442"/>
    <cellStyle name="Input cel new 3 2 3 3 3 2" xfId="2683"/>
    <cellStyle name="Input cel new 3 2 3 3 3 3" xfId="4103"/>
    <cellStyle name="Input cel new 3 2 3 3 4" xfId="900"/>
    <cellStyle name="Input cel new 3 2 3 3 4 2" xfId="3327"/>
    <cellStyle name="Input cel new 3 2 3 3 5" xfId="2143"/>
    <cellStyle name="Input cel new 3 2 3 3 6" xfId="3435"/>
    <cellStyle name="Input cel new 3 2 3 4" xfId="1869"/>
    <cellStyle name="Input cel new 3 2 3 4 2" xfId="3108"/>
    <cellStyle name="Input cel new 3 2 3 4 2 2" xfId="4520"/>
    <cellStyle name="Input cel new 3 2 3 4 3" xfId="3392"/>
    <cellStyle name="Input cel new 3 2 3 5" xfId="1262"/>
    <cellStyle name="Input cel new 3 2 3 5 2" xfId="2503"/>
    <cellStyle name="Input cel new 3 2 3 5 3" xfId="3367"/>
    <cellStyle name="Input cel new 3 2 3 6" xfId="876"/>
    <cellStyle name="Input cel new 3 2 3 7" xfId="2120"/>
    <cellStyle name="Input cel new 3 2 3 8" xfId="339"/>
    <cellStyle name="Input cel new 3 2 4" xfId="1164"/>
    <cellStyle name="Input cel new 3 2 4 2" xfId="2407"/>
    <cellStyle name="Input cel new 3 2 4 3" xfId="3832"/>
    <cellStyle name="Input cel new 3 2 5" xfId="378"/>
    <cellStyle name="Input cel new 3 3" xfId="274"/>
    <cellStyle name="Input cel new 3 3 10" xfId="406"/>
    <cellStyle name="Input cel new 3 3 2" xfId="343"/>
    <cellStyle name="Input cel new 3 3 2 10" xfId="498"/>
    <cellStyle name="Input cel new 3 3 2 11" xfId="3437"/>
    <cellStyle name="Input cel new 3 3 2 2" xfId="552"/>
    <cellStyle name="Input cel new 3 3 2 2 2" xfId="649"/>
    <cellStyle name="Input cel new 3 3 2 2 2 2" xfId="1571"/>
    <cellStyle name="Input cel new 3 3 2 2 2 3" xfId="2811"/>
    <cellStyle name="Input cel new 3 3 2 2 2 4" xfId="4225"/>
    <cellStyle name="Input cel new 3 3 2 2 3" xfId="1488"/>
    <cellStyle name="Input cel new 3 3 2 2 3 2" xfId="2728"/>
    <cellStyle name="Input cel new 3 3 2 2 3 3" xfId="4144"/>
    <cellStyle name="Input cel new 3 3 2 2 4" xfId="1783"/>
    <cellStyle name="Input cel new 3 3 2 2 4 2" xfId="3022"/>
    <cellStyle name="Input cel new 3 3 2 2 4 3" xfId="4434"/>
    <cellStyle name="Input cel new 3 3 2 2 5" xfId="1310"/>
    <cellStyle name="Input cel new 3 3 2 2 5 2" xfId="2551"/>
    <cellStyle name="Input cel new 3 3 2 2 5 3" xfId="3971"/>
    <cellStyle name="Input cel new 3 3 2 2 6" xfId="950"/>
    <cellStyle name="Input cel new 3 3 2 2 6 2" xfId="3618"/>
    <cellStyle name="Input cel new 3 3 2 2 7" xfId="2193"/>
    <cellStyle name="Input cel new 3 3 2 2 8" xfId="3521"/>
    <cellStyle name="Input cel new 3 3 2 3" xfId="698"/>
    <cellStyle name="Input cel new 3 3 2 3 2" xfId="1924"/>
    <cellStyle name="Input cel new 3 3 2 3 2 2" xfId="3163"/>
    <cellStyle name="Input cel new 3 3 2 3 2 3" xfId="4575"/>
    <cellStyle name="Input cel new 3 3 2 3 3" xfId="1610"/>
    <cellStyle name="Input cel new 3 3 2 3 3 2" xfId="2850"/>
    <cellStyle name="Input cel new 3 3 2 3 3 3" xfId="4264"/>
    <cellStyle name="Input cel new 3 3 2 3 4" xfId="1372"/>
    <cellStyle name="Input cel new 3 3 2 3 4 2" xfId="2613"/>
    <cellStyle name="Input cel new 3 3 2 3 4 3" xfId="4033"/>
    <cellStyle name="Input cel new 3 3 2 3 5" xfId="998"/>
    <cellStyle name="Input cel new 3 3 2 3 6" xfId="2241"/>
    <cellStyle name="Input cel new 3 3 2 3 7" xfId="3666"/>
    <cellStyle name="Input cel new 3 3 2 4" xfId="762"/>
    <cellStyle name="Input cel new 3 3 2 4 2" xfId="1988"/>
    <cellStyle name="Input cel new 3 3 2 4 2 2" xfId="3227"/>
    <cellStyle name="Input cel new 3 3 2 4 2 3" xfId="4639"/>
    <cellStyle name="Input cel new 3 3 2 4 3" xfId="1670"/>
    <cellStyle name="Input cel new 3 3 2 4 3 2" xfId="2910"/>
    <cellStyle name="Input cel new 3 3 2 4 3 3" xfId="4323"/>
    <cellStyle name="Input cel new 3 3 2 4 4" xfId="1062"/>
    <cellStyle name="Input cel new 3 3 2 4 5" xfId="2305"/>
    <cellStyle name="Input cel new 3 3 2 4 6" xfId="3730"/>
    <cellStyle name="Input cel new 3 3 2 5" xfId="824"/>
    <cellStyle name="Input cel new 3 3 2 5 2" xfId="2050"/>
    <cellStyle name="Input cel new 3 3 2 5 2 2" xfId="3289"/>
    <cellStyle name="Input cel new 3 3 2 5 2 3" xfId="4701"/>
    <cellStyle name="Input cel new 3 3 2 5 3" xfId="1728"/>
    <cellStyle name="Input cel new 3 3 2 5 3 2" xfId="2967"/>
    <cellStyle name="Input cel new 3 3 2 5 3 3" xfId="4379"/>
    <cellStyle name="Input cel new 3 3 2 5 4" xfId="1124"/>
    <cellStyle name="Input cel new 3 3 2 5 5" xfId="2367"/>
    <cellStyle name="Input cel new 3 3 2 5 6" xfId="3792"/>
    <cellStyle name="Input cel new 3 3 2 6" xfId="629"/>
    <cellStyle name="Input cel new 3 3 2 6 2" xfId="1552"/>
    <cellStyle name="Input cel new 3 3 2 6 3" xfId="2792"/>
    <cellStyle name="Input cel new 3 3 2 6 4" xfId="4206"/>
    <cellStyle name="Input cel new 3 3 2 7" xfId="1237"/>
    <cellStyle name="Input cel new 3 3 2 7 2" xfId="2479"/>
    <cellStyle name="Input cel new 3 3 2 7 3" xfId="3903"/>
    <cellStyle name="Input cel new 3 3 2 8" xfId="927"/>
    <cellStyle name="Input cel new 3 3 2 8 2" xfId="3381"/>
    <cellStyle name="Input cel new 3 3 2 9" xfId="2170"/>
    <cellStyle name="Input cel new 3 3 3" xfId="388"/>
    <cellStyle name="Input cel new 3 3 3 10" xfId="2152"/>
    <cellStyle name="Input cel new 3 3 3 11" xfId="480"/>
    <cellStyle name="Input cel new 3 3 3 12" xfId="3470"/>
    <cellStyle name="Input cel new 3 3 3 2" xfId="535"/>
    <cellStyle name="Input cel new 3 3 3 2 2" xfId="681"/>
    <cellStyle name="Input cel new 3 3 3 2 2 2" xfId="1907"/>
    <cellStyle name="Input cel new 3 3 3 2 2 2 2" xfId="3146"/>
    <cellStyle name="Input cel new 3 3 3 2 2 2 3" xfId="4558"/>
    <cellStyle name="Input cel new 3 3 3 2 2 3" xfId="1602"/>
    <cellStyle name="Input cel new 3 3 3 2 2 4" xfId="2842"/>
    <cellStyle name="Input cel new 3 3 3 2 2 5" xfId="4256"/>
    <cellStyle name="Input cel new 3 3 3 2 3" xfId="1822"/>
    <cellStyle name="Input cel new 3 3 3 2 3 2" xfId="3061"/>
    <cellStyle name="Input cel new 3 3 3 2 3 3" xfId="4473"/>
    <cellStyle name="Input cel new 3 3 3 2 4" xfId="1355"/>
    <cellStyle name="Input cel new 3 3 3 2 4 2" xfId="2596"/>
    <cellStyle name="Input cel new 3 3 3 2 4 3" xfId="4016"/>
    <cellStyle name="Input cel new 3 3 3 2 5" xfId="981"/>
    <cellStyle name="Input cel new 3 3 3 2 5 2" xfId="3649"/>
    <cellStyle name="Input cel new 3 3 3 2 6" xfId="2224"/>
    <cellStyle name="Input cel new 3 3 3 2 7" xfId="3562"/>
    <cellStyle name="Input cel new 3 3 3 3" xfId="730"/>
    <cellStyle name="Input cel new 3 3 3 3 2" xfId="1641"/>
    <cellStyle name="Input cel new 3 3 3 3 2 2" xfId="2881"/>
    <cellStyle name="Input cel new 3 3 3 3 2 3" xfId="4294"/>
    <cellStyle name="Input cel new 3 3 3 3 3" xfId="1956"/>
    <cellStyle name="Input cel new 3 3 3 3 3 2" xfId="3195"/>
    <cellStyle name="Input cel new 3 3 3 3 3 3" xfId="4607"/>
    <cellStyle name="Input cel new 3 3 3 3 4" xfId="1415"/>
    <cellStyle name="Input cel new 3 3 3 3 4 2" xfId="2656"/>
    <cellStyle name="Input cel new 3 3 3 3 4 3" xfId="4076"/>
    <cellStyle name="Input cel new 3 3 3 3 5" xfId="1030"/>
    <cellStyle name="Input cel new 3 3 3 3 6" xfId="2273"/>
    <cellStyle name="Input cel new 3 3 3 3 7" xfId="3698"/>
    <cellStyle name="Input cel new 3 3 3 4" xfId="794"/>
    <cellStyle name="Input cel new 3 3 3 4 2" xfId="2020"/>
    <cellStyle name="Input cel new 3 3 3 4 2 2" xfId="3259"/>
    <cellStyle name="Input cel new 3 3 3 4 2 3" xfId="4671"/>
    <cellStyle name="Input cel new 3 3 3 4 3" xfId="1702"/>
    <cellStyle name="Input cel new 3 3 3 4 3 2" xfId="2942"/>
    <cellStyle name="Input cel new 3 3 3 4 3 3" xfId="4355"/>
    <cellStyle name="Input cel new 3 3 3 4 4" xfId="1094"/>
    <cellStyle name="Input cel new 3 3 3 4 5" xfId="2337"/>
    <cellStyle name="Input cel new 3 3 3 4 6" xfId="3762"/>
    <cellStyle name="Input cel new 3 3 3 5" xfId="855"/>
    <cellStyle name="Input cel new 3 3 3 5 2" xfId="2081"/>
    <cellStyle name="Input cel new 3 3 3 5 2 2" xfId="3320"/>
    <cellStyle name="Input cel new 3 3 3 5 2 3" xfId="4732"/>
    <cellStyle name="Input cel new 3 3 3 5 3" xfId="1759"/>
    <cellStyle name="Input cel new 3 3 3 5 3 2" xfId="2998"/>
    <cellStyle name="Input cel new 3 3 3 5 3 3" xfId="4410"/>
    <cellStyle name="Input cel new 3 3 3 5 4" xfId="1155"/>
    <cellStyle name="Input cel new 3 3 3 5 5" xfId="2398"/>
    <cellStyle name="Input cel new 3 3 3 5 6" xfId="3823"/>
    <cellStyle name="Input cel new 3 3 3 6" xfId="611"/>
    <cellStyle name="Input cel new 3 3 3 6 2" xfId="1534"/>
    <cellStyle name="Input cel new 3 3 3 6 3" xfId="2774"/>
    <cellStyle name="Input cel new 3 3 3 6 4" xfId="4188"/>
    <cellStyle name="Input cel new 3 3 3 7" xfId="1236"/>
    <cellStyle name="Input cel new 3 3 3 7 2" xfId="2478"/>
    <cellStyle name="Input cel new 3 3 3 7 3" xfId="3902"/>
    <cellStyle name="Input cel new 3 3 3 8" xfId="1179"/>
    <cellStyle name="Input cel new 3 3 3 8 2" xfId="2422"/>
    <cellStyle name="Input cel new 3 3 3 8 3" xfId="3847"/>
    <cellStyle name="Input cel new 3 3 3 9" xfId="909"/>
    <cellStyle name="Input cel new 3 3 3 9 2" xfId="3407"/>
    <cellStyle name="Input cel new 3 3 4" xfId="284"/>
    <cellStyle name="Input cel new 3 3 4 2" xfId="1515"/>
    <cellStyle name="Input cel new 3 3 4 2 2" xfId="2755"/>
    <cellStyle name="Input cel new 3 3 4 2 2 2" xfId="4169"/>
    <cellStyle name="Input cel new 3 3 4 2 3" xfId="3489"/>
    <cellStyle name="Input cel new 3 3 4 3" xfId="1195"/>
    <cellStyle name="Input cel new 3 3 4 3 2" xfId="2438"/>
    <cellStyle name="Input cel new 3 3 4 3 3" xfId="3863"/>
    <cellStyle name="Input cel new 3 3 4 4" xfId="883"/>
    <cellStyle name="Input cel new 3 3 4 4 2" xfId="3581"/>
    <cellStyle name="Input cel new 3 3 4 5" xfId="2127"/>
    <cellStyle name="Input cel new 3 3 4 6" xfId="588"/>
    <cellStyle name="Input cel new 3 3 5" xfId="744"/>
    <cellStyle name="Input cel new 3 3 5 2" xfId="1652"/>
    <cellStyle name="Input cel new 3 3 5 2 2" xfId="1970"/>
    <cellStyle name="Input cel new 3 3 5 2 2 2" xfId="3209"/>
    <cellStyle name="Input cel new 3 3 5 2 2 3" xfId="4621"/>
    <cellStyle name="Input cel new 3 3 5 2 3" xfId="2892"/>
    <cellStyle name="Input cel new 3 3 5 2 4" xfId="4305"/>
    <cellStyle name="Input cel new 3 3 5 3" xfId="1214"/>
    <cellStyle name="Input cel new 3 3 5 3 2" xfId="2456"/>
    <cellStyle name="Input cel new 3 3 5 3 3" xfId="3880"/>
    <cellStyle name="Input cel new 3 3 5 4" xfId="1290"/>
    <cellStyle name="Input cel new 3 3 5 4 2" xfId="2531"/>
    <cellStyle name="Input cel new 3 3 5 4 3" xfId="3952"/>
    <cellStyle name="Input cel new 3 3 5 5" xfId="1044"/>
    <cellStyle name="Input cel new 3 3 5 5 2" xfId="3712"/>
    <cellStyle name="Input cel new 3 3 5 6" xfId="2287"/>
    <cellStyle name="Input cel new 3 3 5 7" xfId="3484"/>
    <cellStyle name="Input cel new 3 3 6" xfId="807"/>
    <cellStyle name="Input cel new 3 3 6 2" xfId="2033"/>
    <cellStyle name="Input cel new 3 3 6 2 2" xfId="3272"/>
    <cellStyle name="Input cel new 3 3 6 2 3" xfId="4684"/>
    <cellStyle name="Input cel new 3 3 6 3" xfId="1327"/>
    <cellStyle name="Input cel new 3 3 6 3 2" xfId="2568"/>
    <cellStyle name="Input cel new 3 3 6 3 3" xfId="3988"/>
    <cellStyle name="Input cel new 3 3 6 4" xfId="1107"/>
    <cellStyle name="Input cel new 3 3 6 5" xfId="2350"/>
    <cellStyle name="Input cel new 3 3 6 6" xfId="3775"/>
    <cellStyle name="Input cel new 3 3 7" xfId="558"/>
    <cellStyle name="Input cel new 3 3 7 2" xfId="1240"/>
    <cellStyle name="Input cel new 3 3 7 2 2" xfId="2482"/>
    <cellStyle name="Input cel new 3 3 7 2 3" xfId="3906"/>
    <cellStyle name="Input cel new 3 3 7 3" xfId="1494"/>
    <cellStyle name="Input cel new 3 3 7 4" xfId="2734"/>
    <cellStyle name="Input cel new 3 3 7 5" xfId="4150"/>
    <cellStyle name="Input cel new 3 3 8" xfId="447"/>
    <cellStyle name="Input cel new 3 3 8 2" xfId="3589"/>
    <cellStyle name="Input cel new 3 3 9" xfId="514"/>
    <cellStyle name="Input cel new 3 4" xfId="212"/>
    <cellStyle name="Input cel new 3 4 2" xfId="357"/>
    <cellStyle name="Input cel new 3 4 2 10" xfId="563"/>
    <cellStyle name="Input cel new 3 4 2 11" xfId="3446"/>
    <cellStyle name="Input cel new 3 4 2 2" xfId="705"/>
    <cellStyle name="Input cel new 3 4 2 2 2" xfId="1616"/>
    <cellStyle name="Input cel new 3 4 2 2 2 2" xfId="1931"/>
    <cellStyle name="Input cel new 3 4 2 2 2 2 2" xfId="3170"/>
    <cellStyle name="Input cel new 3 4 2 2 2 2 3" xfId="4582"/>
    <cellStyle name="Input cel new 3 4 2 2 2 3" xfId="2856"/>
    <cellStyle name="Input cel new 3 4 2 2 2 4" xfId="4269"/>
    <cellStyle name="Input cel new 3 4 2 2 3" xfId="1606"/>
    <cellStyle name="Input cel new 3 4 2 2 3 2" xfId="2846"/>
    <cellStyle name="Input cel new 3 4 2 2 3 3" xfId="4260"/>
    <cellStyle name="Input cel new 3 4 2 2 4" xfId="1389"/>
    <cellStyle name="Input cel new 3 4 2 2 4 2" xfId="2630"/>
    <cellStyle name="Input cel new 3 4 2 2 4 3" xfId="4050"/>
    <cellStyle name="Input cel new 3 4 2 2 5" xfId="1005"/>
    <cellStyle name="Input cel new 3 4 2 2 5 2" xfId="3673"/>
    <cellStyle name="Input cel new 3 4 2 2 6" xfId="2248"/>
    <cellStyle name="Input cel new 3 4 2 2 7" xfId="3533"/>
    <cellStyle name="Input cel new 3 4 2 3" xfId="769"/>
    <cellStyle name="Input cel new 3 4 2 3 2" xfId="1995"/>
    <cellStyle name="Input cel new 3 4 2 3 2 2" xfId="3234"/>
    <cellStyle name="Input cel new 3 4 2 3 2 3" xfId="4646"/>
    <cellStyle name="Input cel new 3 4 2 3 3" xfId="1677"/>
    <cellStyle name="Input cel new 3 4 2 3 3 2" xfId="2917"/>
    <cellStyle name="Input cel new 3 4 2 3 3 3" xfId="4330"/>
    <cellStyle name="Input cel new 3 4 2 3 4" xfId="1069"/>
    <cellStyle name="Input cel new 3 4 2 3 5" xfId="2312"/>
    <cellStyle name="Input cel new 3 4 2 3 6" xfId="3737"/>
    <cellStyle name="Input cel new 3 4 2 4" xfId="831"/>
    <cellStyle name="Input cel new 3 4 2 4 2" xfId="2057"/>
    <cellStyle name="Input cel new 3 4 2 4 2 2" xfId="3296"/>
    <cellStyle name="Input cel new 3 4 2 4 2 3" xfId="4708"/>
    <cellStyle name="Input cel new 3 4 2 4 3" xfId="1735"/>
    <cellStyle name="Input cel new 3 4 2 4 3 2" xfId="2974"/>
    <cellStyle name="Input cel new 3 4 2 4 3 3" xfId="4386"/>
    <cellStyle name="Input cel new 3 4 2 4 4" xfId="1131"/>
    <cellStyle name="Input cel new 3 4 2 4 5" xfId="2374"/>
    <cellStyle name="Input cel new 3 4 2 4 6" xfId="3799"/>
    <cellStyle name="Input cel new 3 4 2 5" xfId="656"/>
    <cellStyle name="Input cel new 3 4 2 5 2" xfId="1894"/>
    <cellStyle name="Input cel new 3 4 2 5 2 2" xfId="3133"/>
    <cellStyle name="Input cel new 3 4 2 5 2 3" xfId="4545"/>
    <cellStyle name="Input cel new 3 4 2 5 3" xfId="1578"/>
    <cellStyle name="Input cel new 3 4 2 5 4" xfId="2818"/>
    <cellStyle name="Input cel new 3 4 2 5 5" xfId="4232"/>
    <cellStyle name="Input cel new 3 4 2 6" xfId="1241"/>
    <cellStyle name="Input cel new 3 4 2 6 2" xfId="2483"/>
    <cellStyle name="Input cel new 3 4 2 6 3" xfId="3907"/>
    <cellStyle name="Input cel new 3 4 2 7" xfId="1189"/>
    <cellStyle name="Input cel new 3 4 2 7 2" xfId="2432"/>
    <cellStyle name="Input cel new 3 4 2 7 3" xfId="3857"/>
    <cellStyle name="Input cel new 3 4 2 8" xfId="957"/>
    <cellStyle name="Input cel new 3 4 2 8 2" xfId="3625"/>
    <cellStyle name="Input cel new 3 4 2 9" xfId="2200"/>
    <cellStyle name="Input cel new 3 4 3" xfId="290"/>
    <cellStyle name="Input cel new 3 4 3 2" xfId="1848"/>
    <cellStyle name="Input cel new 3 4 3 2 2" xfId="3087"/>
    <cellStyle name="Input cel new 3 4 3 2 2 2" xfId="4499"/>
    <cellStyle name="Input cel new 3 4 3 2 3" xfId="3491"/>
    <cellStyle name="Input cel new 3 4 3 3" xfId="1428"/>
    <cellStyle name="Input cel new 3 4 3 3 2" xfId="2669"/>
    <cellStyle name="Input cel new 3 4 3 3 3" xfId="4089"/>
    <cellStyle name="Input cel new 3 4 3 4" xfId="874"/>
    <cellStyle name="Input cel new 3 4 3 4 2" xfId="3379"/>
    <cellStyle name="Input cel new 3 4 3 5" xfId="2118"/>
    <cellStyle name="Input cel new 3 4 3 6" xfId="3415"/>
    <cellStyle name="Input cel new 3 4 4" xfId="1853"/>
    <cellStyle name="Input cel new 3 4 4 2" xfId="3092"/>
    <cellStyle name="Input cel new 3 4 4 2 2" xfId="4504"/>
    <cellStyle name="Input cel new 3 4 4 3" xfId="3376"/>
    <cellStyle name="Input cel new 3 4 5" xfId="1474"/>
    <cellStyle name="Input cel new 3 4 5 2" xfId="2714"/>
    <cellStyle name="Input cel new 3 4 5 3" xfId="3359"/>
    <cellStyle name="Input cel new 3 4 6" xfId="430"/>
    <cellStyle name="Input cel new 3 4 7" xfId="2089"/>
    <cellStyle name="Input cel new 3 4 8" xfId="295"/>
    <cellStyle name="Input cel new 3 5" xfId="933"/>
    <cellStyle name="Input cel new 3 5 2" xfId="2176"/>
    <cellStyle name="Input cel new 3 5 3" xfId="3601"/>
    <cellStyle name="Input cel new 3 6" xfId="1161"/>
    <cellStyle name="Input cel new 3 6 2" xfId="2404"/>
    <cellStyle name="Input cel new 3 6 3" xfId="3829"/>
    <cellStyle name="Input cel new 3 7" xfId="325"/>
    <cellStyle name="Input cel new 4" xfId="167"/>
    <cellStyle name="Input cel new 4 2" xfId="275"/>
    <cellStyle name="Input cel new 4 2 10" xfId="407"/>
    <cellStyle name="Input cel new 4 2 2" xfId="344"/>
    <cellStyle name="Input cel new 4 2 2 10" xfId="499"/>
    <cellStyle name="Input cel new 4 2 2 11" xfId="3438"/>
    <cellStyle name="Input cel new 4 2 2 2" xfId="553"/>
    <cellStyle name="Input cel new 4 2 2 2 2" xfId="650"/>
    <cellStyle name="Input cel new 4 2 2 2 2 2" xfId="1572"/>
    <cellStyle name="Input cel new 4 2 2 2 2 3" xfId="2812"/>
    <cellStyle name="Input cel new 4 2 2 2 2 4" xfId="4226"/>
    <cellStyle name="Input cel new 4 2 2 2 3" xfId="1489"/>
    <cellStyle name="Input cel new 4 2 2 2 3 2" xfId="2729"/>
    <cellStyle name="Input cel new 4 2 2 2 3 3" xfId="4145"/>
    <cellStyle name="Input cel new 4 2 2 2 4" xfId="1784"/>
    <cellStyle name="Input cel new 4 2 2 2 4 2" xfId="3023"/>
    <cellStyle name="Input cel new 4 2 2 2 4 3" xfId="4435"/>
    <cellStyle name="Input cel new 4 2 2 2 5" xfId="1311"/>
    <cellStyle name="Input cel new 4 2 2 2 5 2" xfId="2552"/>
    <cellStyle name="Input cel new 4 2 2 2 5 3" xfId="3972"/>
    <cellStyle name="Input cel new 4 2 2 2 6" xfId="951"/>
    <cellStyle name="Input cel new 4 2 2 2 6 2" xfId="3619"/>
    <cellStyle name="Input cel new 4 2 2 2 7" xfId="2194"/>
    <cellStyle name="Input cel new 4 2 2 2 8" xfId="3522"/>
    <cellStyle name="Input cel new 4 2 2 3" xfId="699"/>
    <cellStyle name="Input cel new 4 2 2 3 2" xfId="1925"/>
    <cellStyle name="Input cel new 4 2 2 3 2 2" xfId="3164"/>
    <cellStyle name="Input cel new 4 2 2 3 2 3" xfId="4576"/>
    <cellStyle name="Input cel new 4 2 2 3 3" xfId="1216"/>
    <cellStyle name="Input cel new 4 2 2 3 3 2" xfId="2458"/>
    <cellStyle name="Input cel new 4 2 2 3 3 3" xfId="3882"/>
    <cellStyle name="Input cel new 4 2 2 3 4" xfId="1373"/>
    <cellStyle name="Input cel new 4 2 2 3 4 2" xfId="2614"/>
    <cellStyle name="Input cel new 4 2 2 3 4 3" xfId="4034"/>
    <cellStyle name="Input cel new 4 2 2 3 5" xfId="999"/>
    <cellStyle name="Input cel new 4 2 2 3 6" xfId="2242"/>
    <cellStyle name="Input cel new 4 2 2 3 7" xfId="3667"/>
    <cellStyle name="Input cel new 4 2 2 4" xfId="763"/>
    <cellStyle name="Input cel new 4 2 2 4 2" xfId="1989"/>
    <cellStyle name="Input cel new 4 2 2 4 2 2" xfId="3228"/>
    <cellStyle name="Input cel new 4 2 2 4 2 3" xfId="4640"/>
    <cellStyle name="Input cel new 4 2 2 4 3" xfId="1671"/>
    <cellStyle name="Input cel new 4 2 2 4 3 2" xfId="2911"/>
    <cellStyle name="Input cel new 4 2 2 4 3 3" xfId="4324"/>
    <cellStyle name="Input cel new 4 2 2 4 4" xfId="1063"/>
    <cellStyle name="Input cel new 4 2 2 4 5" xfId="2306"/>
    <cellStyle name="Input cel new 4 2 2 4 6" xfId="3731"/>
    <cellStyle name="Input cel new 4 2 2 5" xfId="825"/>
    <cellStyle name="Input cel new 4 2 2 5 2" xfId="2051"/>
    <cellStyle name="Input cel new 4 2 2 5 2 2" xfId="3290"/>
    <cellStyle name="Input cel new 4 2 2 5 2 3" xfId="4702"/>
    <cellStyle name="Input cel new 4 2 2 5 3" xfId="1729"/>
    <cellStyle name="Input cel new 4 2 2 5 3 2" xfId="2968"/>
    <cellStyle name="Input cel new 4 2 2 5 3 3" xfId="4380"/>
    <cellStyle name="Input cel new 4 2 2 5 4" xfId="1125"/>
    <cellStyle name="Input cel new 4 2 2 5 5" xfId="2368"/>
    <cellStyle name="Input cel new 4 2 2 5 6" xfId="3793"/>
    <cellStyle name="Input cel new 4 2 2 6" xfId="630"/>
    <cellStyle name="Input cel new 4 2 2 6 2" xfId="1553"/>
    <cellStyle name="Input cel new 4 2 2 6 3" xfId="2793"/>
    <cellStyle name="Input cel new 4 2 2 6 4" xfId="4207"/>
    <cellStyle name="Input cel new 4 2 2 7" xfId="1265"/>
    <cellStyle name="Input cel new 4 2 2 7 2" xfId="2506"/>
    <cellStyle name="Input cel new 4 2 2 7 3" xfId="3927"/>
    <cellStyle name="Input cel new 4 2 2 8" xfId="928"/>
    <cellStyle name="Input cel new 4 2 2 8 2" xfId="3380"/>
    <cellStyle name="Input cel new 4 2 2 9" xfId="2171"/>
    <cellStyle name="Input cel new 4 2 3" xfId="389"/>
    <cellStyle name="Input cel new 4 2 3 10" xfId="2153"/>
    <cellStyle name="Input cel new 4 2 3 11" xfId="481"/>
    <cellStyle name="Input cel new 4 2 3 12" xfId="3471"/>
    <cellStyle name="Input cel new 4 2 3 2" xfId="536"/>
    <cellStyle name="Input cel new 4 2 3 2 2" xfId="682"/>
    <cellStyle name="Input cel new 4 2 3 2 2 2" xfId="1908"/>
    <cellStyle name="Input cel new 4 2 3 2 2 2 2" xfId="3147"/>
    <cellStyle name="Input cel new 4 2 3 2 2 2 3" xfId="4559"/>
    <cellStyle name="Input cel new 4 2 3 2 2 3" xfId="1603"/>
    <cellStyle name="Input cel new 4 2 3 2 2 4" xfId="2843"/>
    <cellStyle name="Input cel new 4 2 3 2 2 5" xfId="4257"/>
    <cellStyle name="Input cel new 4 2 3 2 3" xfId="1823"/>
    <cellStyle name="Input cel new 4 2 3 2 3 2" xfId="3062"/>
    <cellStyle name="Input cel new 4 2 3 2 3 3" xfId="4474"/>
    <cellStyle name="Input cel new 4 2 3 2 4" xfId="1356"/>
    <cellStyle name="Input cel new 4 2 3 2 4 2" xfId="2597"/>
    <cellStyle name="Input cel new 4 2 3 2 4 3" xfId="4017"/>
    <cellStyle name="Input cel new 4 2 3 2 5" xfId="982"/>
    <cellStyle name="Input cel new 4 2 3 2 5 2" xfId="3650"/>
    <cellStyle name="Input cel new 4 2 3 2 6" xfId="2225"/>
    <cellStyle name="Input cel new 4 2 3 2 7" xfId="3563"/>
    <cellStyle name="Input cel new 4 2 3 3" xfId="731"/>
    <cellStyle name="Input cel new 4 2 3 3 2" xfId="1642"/>
    <cellStyle name="Input cel new 4 2 3 3 2 2" xfId="2882"/>
    <cellStyle name="Input cel new 4 2 3 3 2 3" xfId="4295"/>
    <cellStyle name="Input cel new 4 2 3 3 3" xfId="1957"/>
    <cellStyle name="Input cel new 4 2 3 3 3 2" xfId="3196"/>
    <cellStyle name="Input cel new 4 2 3 3 3 3" xfId="4608"/>
    <cellStyle name="Input cel new 4 2 3 3 4" xfId="1416"/>
    <cellStyle name="Input cel new 4 2 3 3 4 2" xfId="2657"/>
    <cellStyle name="Input cel new 4 2 3 3 4 3" xfId="4077"/>
    <cellStyle name="Input cel new 4 2 3 3 5" xfId="1031"/>
    <cellStyle name="Input cel new 4 2 3 3 6" xfId="2274"/>
    <cellStyle name="Input cel new 4 2 3 3 7" xfId="3699"/>
    <cellStyle name="Input cel new 4 2 3 4" xfId="795"/>
    <cellStyle name="Input cel new 4 2 3 4 2" xfId="2021"/>
    <cellStyle name="Input cel new 4 2 3 4 2 2" xfId="3260"/>
    <cellStyle name="Input cel new 4 2 3 4 2 3" xfId="4672"/>
    <cellStyle name="Input cel new 4 2 3 4 3" xfId="1703"/>
    <cellStyle name="Input cel new 4 2 3 4 3 2" xfId="2943"/>
    <cellStyle name="Input cel new 4 2 3 4 3 3" xfId="4356"/>
    <cellStyle name="Input cel new 4 2 3 4 4" xfId="1095"/>
    <cellStyle name="Input cel new 4 2 3 4 5" xfId="2338"/>
    <cellStyle name="Input cel new 4 2 3 4 6" xfId="3763"/>
    <cellStyle name="Input cel new 4 2 3 5" xfId="856"/>
    <cellStyle name="Input cel new 4 2 3 5 2" xfId="2082"/>
    <cellStyle name="Input cel new 4 2 3 5 2 2" xfId="3321"/>
    <cellStyle name="Input cel new 4 2 3 5 2 3" xfId="4733"/>
    <cellStyle name="Input cel new 4 2 3 5 3" xfId="1760"/>
    <cellStyle name="Input cel new 4 2 3 5 3 2" xfId="2999"/>
    <cellStyle name="Input cel new 4 2 3 5 3 3" xfId="4411"/>
    <cellStyle name="Input cel new 4 2 3 5 4" xfId="1156"/>
    <cellStyle name="Input cel new 4 2 3 5 5" xfId="2399"/>
    <cellStyle name="Input cel new 4 2 3 5 6" xfId="3824"/>
    <cellStyle name="Input cel new 4 2 3 6" xfId="612"/>
    <cellStyle name="Input cel new 4 2 3 6 2" xfId="1535"/>
    <cellStyle name="Input cel new 4 2 3 6 3" xfId="2775"/>
    <cellStyle name="Input cel new 4 2 3 6 4" xfId="4189"/>
    <cellStyle name="Input cel new 4 2 3 7" xfId="1206"/>
    <cellStyle name="Input cel new 4 2 3 7 2" xfId="2448"/>
    <cellStyle name="Input cel new 4 2 3 7 3" xfId="3872"/>
    <cellStyle name="Input cel new 4 2 3 8" xfId="1180"/>
    <cellStyle name="Input cel new 4 2 3 8 2" xfId="2423"/>
    <cellStyle name="Input cel new 4 2 3 8 3" xfId="3848"/>
    <cellStyle name="Input cel new 4 2 3 9" xfId="910"/>
    <cellStyle name="Input cel new 4 2 3 9 2" xfId="3404"/>
    <cellStyle name="Input cel new 4 2 4" xfId="363"/>
    <cellStyle name="Input cel new 4 2 4 2" xfId="1517"/>
    <cellStyle name="Input cel new 4 2 4 2 2" xfId="2757"/>
    <cellStyle name="Input cel new 4 2 4 2 2 2" xfId="4171"/>
    <cellStyle name="Input cel new 4 2 4 2 3" xfId="3539"/>
    <cellStyle name="Input cel new 4 2 4 3" xfId="1763"/>
    <cellStyle name="Input cel new 4 2 4 3 2" xfId="3002"/>
    <cellStyle name="Input cel new 4 2 4 3 3" xfId="4414"/>
    <cellStyle name="Input cel new 4 2 4 4" xfId="886"/>
    <cellStyle name="Input cel new 4 2 4 4 2" xfId="3571"/>
    <cellStyle name="Input cel new 4 2 4 5" xfId="2130"/>
    <cellStyle name="Input cel new 4 2 4 6" xfId="590"/>
    <cellStyle name="Input cel new 4 2 5" xfId="745"/>
    <cellStyle name="Input cel new 4 2 5 2" xfId="1653"/>
    <cellStyle name="Input cel new 4 2 5 2 2" xfId="1971"/>
    <cellStyle name="Input cel new 4 2 5 2 2 2" xfId="3210"/>
    <cellStyle name="Input cel new 4 2 5 2 2 3" xfId="4622"/>
    <cellStyle name="Input cel new 4 2 5 2 3" xfId="2893"/>
    <cellStyle name="Input cel new 4 2 5 2 4" xfId="4306"/>
    <cellStyle name="Input cel new 4 2 5 3" xfId="1419"/>
    <cellStyle name="Input cel new 4 2 5 3 2" xfId="2660"/>
    <cellStyle name="Input cel new 4 2 5 3 3" xfId="4080"/>
    <cellStyle name="Input cel new 4 2 5 4" xfId="1291"/>
    <cellStyle name="Input cel new 4 2 5 4 2" xfId="2532"/>
    <cellStyle name="Input cel new 4 2 5 4 3" xfId="3953"/>
    <cellStyle name="Input cel new 4 2 5 5" xfId="1045"/>
    <cellStyle name="Input cel new 4 2 5 5 2" xfId="3713"/>
    <cellStyle name="Input cel new 4 2 5 6" xfId="2288"/>
    <cellStyle name="Input cel new 4 2 5 7" xfId="3485"/>
    <cellStyle name="Input cel new 4 2 6" xfId="808"/>
    <cellStyle name="Input cel new 4 2 6 2" xfId="2034"/>
    <cellStyle name="Input cel new 4 2 6 2 2" xfId="3273"/>
    <cellStyle name="Input cel new 4 2 6 2 3" xfId="4685"/>
    <cellStyle name="Input cel new 4 2 6 3" xfId="1328"/>
    <cellStyle name="Input cel new 4 2 6 3 2" xfId="2569"/>
    <cellStyle name="Input cel new 4 2 6 3 3" xfId="3989"/>
    <cellStyle name="Input cel new 4 2 6 4" xfId="1108"/>
    <cellStyle name="Input cel new 4 2 6 5" xfId="2351"/>
    <cellStyle name="Input cel new 4 2 6 6" xfId="3776"/>
    <cellStyle name="Input cel new 4 2 7" xfId="435"/>
    <cellStyle name="Input cel new 4 2 7 2" xfId="1378"/>
    <cellStyle name="Input cel new 4 2 7 2 2" xfId="2619"/>
    <cellStyle name="Input cel new 4 2 7 2 3" xfId="4039"/>
    <cellStyle name="Input cel new 4 2 7 3" xfId="1204"/>
    <cellStyle name="Input cel new 4 2 7 4" xfId="2446"/>
    <cellStyle name="Input cel new 4 2 7 5" xfId="3870"/>
    <cellStyle name="Input cel new 4 2 8" xfId="437"/>
    <cellStyle name="Input cel new 4 2 8 2" xfId="3333"/>
    <cellStyle name="Input cel new 4 2 9" xfId="600"/>
    <cellStyle name="Input cel new 4 3" xfId="231"/>
    <cellStyle name="Input cel new 4 3 2" xfId="370"/>
    <cellStyle name="Input cel new 4 3 2 10" xfId="571"/>
    <cellStyle name="Input cel new 4 3 2 11" xfId="3457"/>
    <cellStyle name="Input cel new 4 3 2 2" xfId="716"/>
    <cellStyle name="Input cel new 4 3 2 2 2" xfId="1627"/>
    <cellStyle name="Input cel new 4 3 2 2 2 2" xfId="1942"/>
    <cellStyle name="Input cel new 4 3 2 2 2 2 2" xfId="3181"/>
    <cellStyle name="Input cel new 4 3 2 2 2 2 3" xfId="4593"/>
    <cellStyle name="Input cel new 4 3 2 2 2 3" xfId="2867"/>
    <cellStyle name="Input cel new 4 3 2 2 2 4" xfId="4280"/>
    <cellStyle name="Input cel new 4 3 2 2 3" xfId="1808"/>
    <cellStyle name="Input cel new 4 3 2 2 3 2" xfId="3047"/>
    <cellStyle name="Input cel new 4 3 2 2 3 3" xfId="4459"/>
    <cellStyle name="Input cel new 4 3 2 2 4" xfId="1400"/>
    <cellStyle name="Input cel new 4 3 2 2 4 2" xfId="2641"/>
    <cellStyle name="Input cel new 4 3 2 2 4 3" xfId="4061"/>
    <cellStyle name="Input cel new 4 3 2 2 5" xfId="1016"/>
    <cellStyle name="Input cel new 4 3 2 2 5 2" xfId="3684"/>
    <cellStyle name="Input cel new 4 3 2 2 6" xfId="2259"/>
    <cellStyle name="Input cel new 4 3 2 2 7" xfId="3546"/>
    <cellStyle name="Input cel new 4 3 2 3" xfId="780"/>
    <cellStyle name="Input cel new 4 3 2 3 2" xfId="2006"/>
    <cellStyle name="Input cel new 4 3 2 3 2 2" xfId="3245"/>
    <cellStyle name="Input cel new 4 3 2 3 2 3" xfId="4657"/>
    <cellStyle name="Input cel new 4 3 2 3 3" xfId="1688"/>
    <cellStyle name="Input cel new 4 3 2 3 3 2" xfId="2928"/>
    <cellStyle name="Input cel new 4 3 2 3 3 3" xfId="4341"/>
    <cellStyle name="Input cel new 4 3 2 3 4" xfId="1080"/>
    <cellStyle name="Input cel new 4 3 2 3 5" xfId="2323"/>
    <cellStyle name="Input cel new 4 3 2 3 6" xfId="3748"/>
    <cellStyle name="Input cel new 4 3 2 4" xfId="842"/>
    <cellStyle name="Input cel new 4 3 2 4 2" xfId="2068"/>
    <cellStyle name="Input cel new 4 3 2 4 2 2" xfId="3307"/>
    <cellStyle name="Input cel new 4 3 2 4 2 3" xfId="4719"/>
    <cellStyle name="Input cel new 4 3 2 4 3" xfId="1746"/>
    <cellStyle name="Input cel new 4 3 2 4 3 2" xfId="2985"/>
    <cellStyle name="Input cel new 4 3 2 4 3 3" xfId="4397"/>
    <cellStyle name="Input cel new 4 3 2 4 4" xfId="1142"/>
    <cellStyle name="Input cel new 4 3 2 4 5" xfId="2385"/>
    <cellStyle name="Input cel new 4 3 2 4 6" xfId="3810"/>
    <cellStyle name="Input cel new 4 3 2 5" xfId="667"/>
    <cellStyle name="Input cel new 4 3 2 5 2" xfId="1902"/>
    <cellStyle name="Input cel new 4 3 2 5 2 2" xfId="3141"/>
    <cellStyle name="Input cel new 4 3 2 5 2 3" xfId="4553"/>
    <cellStyle name="Input cel new 4 3 2 5 3" xfId="1589"/>
    <cellStyle name="Input cel new 4 3 2 5 4" xfId="2829"/>
    <cellStyle name="Input cel new 4 3 2 5 5" xfId="4243"/>
    <cellStyle name="Input cel new 4 3 2 6" xfId="1203"/>
    <cellStyle name="Input cel new 4 3 2 6 2" xfId="2445"/>
    <cellStyle name="Input cel new 4 3 2 6 3" xfId="3869"/>
    <cellStyle name="Input cel new 4 3 2 7" xfId="1275"/>
    <cellStyle name="Input cel new 4 3 2 7 2" xfId="2516"/>
    <cellStyle name="Input cel new 4 3 2 7 3" xfId="3937"/>
    <cellStyle name="Input cel new 4 3 2 8" xfId="968"/>
    <cellStyle name="Input cel new 4 3 2 8 2" xfId="3636"/>
    <cellStyle name="Input cel new 4 3 2 9" xfId="2211"/>
    <cellStyle name="Input cel new 4 3 3" xfId="303"/>
    <cellStyle name="Input cel new 4 3 3 2" xfId="1863"/>
    <cellStyle name="Input cel new 4 3 3 2 2" xfId="3102"/>
    <cellStyle name="Input cel new 4 3 3 2 2 2" xfId="4514"/>
    <cellStyle name="Input cel new 4 3 3 2 3" xfId="3496"/>
    <cellStyle name="Input cel new 4 3 3 3" xfId="1440"/>
    <cellStyle name="Input cel new 4 3 3 3 2" xfId="2681"/>
    <cellStyle name="Input cel new 4 3 3 3 3" xfId="4101"/>
    <cellStyle name="Input cel new 4 3 3 4" xfId="897"/>
    <cellStyle name="Input cel new 4 3 3 4 2" xfId="3411"/>
    <cellStyle name="Input cel new 4 3 3 5" xfId="2140"/>
    <cellStyle name="Input cel new 4 3 3 6" xfId="3421"/>
    <cellStyle name="Input cel new 4 3 4" xfId="1849"/>
    <cellStyle name="Input cel new 4 3 4 2" xfId="3088"/>
    <cellStyle name="Input cel new 4 3 4 2 2" xfId="4500"/>
    <cellStyle name="Input cel new 4 3 4 3" xfId="3390"/>
    <cellStyle name="Input cel new 4 3 5" xfId="1264"/>
    <cellStyle name="Input cel new 4 3 5 2" xfId="2505"/>
    <cellStyle name="Input cel new 4 3 5 3" xfId="3324"/>
    <cellStyle name="Input cel new 4 3 6" xfId="878"/>
    <cellStyle name="Input cel new 4 3 7" xfId="2122"/>
    <cellStyle name="Input cel new 4 3 8" xfId="321"/>
    <cellStyle name="Input cel new 4 4" xfId="1162"/>
    <cellStyle name="Input cel new 4 4 2" xfId="2405"/>
    <cellStyle name="Input cel new 4 4 3" xfId="3830"/>
    <cellStyle name="Input cel new 4 5" xfId="330"/>
    <cellStyle name="Input cel new 5" xfId="272"/>
    <cellStyle name="Input cel new 5 10" xfId="404"/>
    <cellStyle name="Input cel new 5 2" xfId="316"/>
    <cellStyle name="Input cel new 5 2 10" xfId="487"/>
    <cellStyle name="Input cel new 5 2 11" xfId="3424"/>
    <cellStyle name="Input cel new 5 2 2" xfId="541"/>
    <cellStyle name="Input cel new 5 2 2 2" xfId="638"/>
    <cellStyle name="Input cel new 5 2 2 2 2" xfId="1560"/>
    <cellStyle name="Input cel new 5 2 2 2 3" xfId="2800"/>
    <cellStyle name="Input cel new 5 2 2 2 4" xfId="4214"/>
    <cellStyle name="Input cel new 5 2 2 3" xfId="1477"/>
    <cellStyle name="Input cel new 5 2 2 3 2" xfId="2717"/>
    <cellStyle name="Input cel new 5 2 2 3 3" xfId="4133"/>
    <cellStyle name="Input cel new 5 2 2 4" xfId="1781"/>
    <cellStyle name="Input cel new 5 2 2 4 2" xfId="3020"/>
    <cellStyle name="Input cel new 5 2 2 4 3" xfId="4432"/>
    <cellStyle name="Input cel new 5 2 2 5" xfId="1299"/>
    <cellStyle name="Input cel new 5 2 2 5 2" xfId="2540"/>
    <cellStyle name="Input cel new 5 2 2 5 3" xfId="3960"/>
    <cellStyle name="Input cel new 5 2 2 6" xfId="939"/>
    <cellStyle name="Input cel new 5 2 2 6 2" xfId="3607"/>
    <cellStyle name="Input cel new 5 2 2 7" xfId="2182"/>
    <cellStyle name="Input cel new 5 2 2 8" xfId="3503"/>
    <cellStyle name="Input cel new 5 2 3" xfId="687"/>
    <cellStyle name="Input cel new 5 2 3 2" xfId="1913"/>
    <cellStyle name="Input cel new 5 2 3 2 2" xfId="3152"/>
    <cellStyle name="Input cel new 5 2 3 2 3" xfId="4564"/>
    <cellStyle name="Input cel new 5 2 3 3" xfId="1796"/>
    <cellStyle name="Input cel new 5 2 3 3 2" xfId="3035"/>
    <cellStyle name="Input cel new 5 2 3 3 3" xfId="4447"/>
    <cellStyle name="Input cel new 5 2 3 4" xfId="1361"/>
    <cellStyle name="Input cel new 5 2 3 4 2" xfId="2602"/>
    <cellStyle name="Input cel new 5 2 3 4 3" xfId="4022"/>
    <cellStyle name="Input cel new 5 2 3 5" xfId="987"/>
    <cellStyle name="Input cel new 5 2 3 6" xfId="2230"/>
    <cellStyle name="Input cel new 5 2 3 7" xfId="3655"/>
    <cellStyle name="Input cel new 5 2 4" xfId="751"/>
    <cellStyle name="Input cel new 5 2 4 2" xfId="1977"/>
    <cellStyle name="Input cel new 5 2 4 2 2" xfId="3216"/>
    <cellStyle name="Input cel new 5 2 4 2 3" xfId="4628"/>
    <cellStyle name="Input cel new 5 2 4 3" xfId="1659"/>
    <cellStyle name="Input cel new 5 2 4 3 2" xfId="2899"/>
    <cellStyle name="Input cel new 5 2 4 3 3" xfId="4312"/>
    <cellStyle name="Input cel new 5 2 4 4" xfId="1051"/>
    <cellStyle name="Input cel new 5 2 4 5" xfId="2294"/>
    <cellStyle name="Input cel new 5 2 4 6" xfId="3719"/>
    <cellStyle name="Input cel new 5 2 5" xfId="813"/>
    <cellStyle name="Input cel new 5 2 5 2" xfId="2039"/>
    <cellStyle name="Input cel new 5 2 5 2 2" xfId="3278"/>
    <cellStyle name="Input cel new 5 2 5 2 3" xfId="4690"/>
    <cellStyle name="Input cel new 5 2 5 3" xfId="1717"/>
    <cellStyle name="Input cel new 5 2 5 3 2" xfId="2956"/>
    <cellStyle name="Input cel new 5 2 5 3 3" xfId="4368"/>
    <cellStyle name="Input cel new 5 2 5 4" xfId="1113"/>
    <cellStyle name="Input cel new 5 2 5 5" xfId="2356"/>
    <cellStyle name="Input cel new 5 2 5 6" xfId="3781"/>
    <cellStyle name="Input cel new 5 2 6" xfId="618"/>
    <cellStyle name="Input cel new 5 2 6 2" xfId="1541"/>
    <cellStyle name="Input cel new 5 2 6 3" xfId="2781"/>
    <cellStyle name="Input cel new 5 2 6 4" xfId="4195"/>
    <cellStyle name="Input cel new 5 2 7" xfId="1257"/>
    <cellStyle name="Input cel new 5 2 7 2" xfId="2499"/>
    <cellStyle name="Input cel new 5 2 7 3" xfId="3922"/>
    <cellStyle name="Input cel new 5 2 8" xfId="916"/>
    <cellStyle name="Input cel new 5 2 8 2" xfId="3394"/>
    <cellStyle name="Input cel new 5 2 9" xfId="2159"/>
    <cellStyle name="Input cel new 5 3" xfId="386"/>
    <cellStyle name="Input cel new 5 3 10" xfId="2150"/>
    <cellStyle name="Input cel new 5 3 11" xfId="478"/>
    <cellStyle name="Input cel new 5 3 12" xfId="3468"/>
    <cellStyle name="Input cel new 5 3 2" xfId="533"/>
    <cellStyle name="Input cel new 5 3 2 2" xfId="679"/>
    <cellStyle name="Input cel new 5 3 2 2 2" xfId="1905"/>
    <cellStyle name="Input cel new 5 3 2 2 2 2" xfId="3144"/>
    <cellStyle name="Input cel new 5 3 2 2 2 3" xfId="4556"/>
    <cellStyle name="Input cel new 5 3 2 2 3" xfId="1600"/>
    <cellStyle name="Input cel new 5 3 2 2 4" xfId="2840"/>
    <cellStyle name="Input cel new 5 3 2 2 5" xfId="4254"/>
    <cellStyle name="Input cel new 5 3 2 3" xfId="1820"/>
    <cellStyle name="Input cel new 5 3 2 3 2" xfId="3059"/>
    <cellStyle name="Input cel new 5 3 2 3 3" xfId="4471"/>
    <cellStyle name="Input cel new 5 3 2 4" xfId="1353"/>
    <cellStyle name="Input cel new 5 3 2 4 2" xfId="2594"/>
    <cellStyle name="Input cel new 5 3 2 4 3" xfId="4014"/>
    <cellStyle name="Input cel new 5 3 2 5" xfId="979"/>
    <cellStyle name="Input cel new 5 3 2 5 2" xfId="3647"/>
    <cellStyle name="Input cel new 5 3 2 6" xfId="2222"/>
    <cellStyle name="Input cel new 5 3 2 7" xfId="3560"/>
    <cellStyle name="Input cel new 5 3 3" xfId="728"/>
    <cellStyle name="Input cel new 5 3 3 2" xfId="1639"/>
    <cellStyle name="Input cel new 5 3 3 2 2" xfId="2879"/>
    <cellStyle name="Input cel new 5 3 3 2 3" xfId="4292"/>
    <cellStyle name="Input cel new 5 3 3 3" xfId="1954"/>
    <cellStyle name="Input cel new 5 3 3 3 2" xfId="3193"/>
    <cellStyle name="Input cel new 5 3 3 3 3" xfId="4605"/>
    <cellStyle name="Input cel new 5 3 3 4" xfId="1413"/>
    <cellStyle name="Input cel new 5 3 3 4 2" xfId="2654"/>
    <cellStyle name="Input cel new 5 3 3 4 3" xfId="4074"/>
    <cellStyle name="Input cel new 5 3 3 5" xfId="1028"/>
    <cellStyle name="Input cel new 5 3 3 6" xfId="2271"/>
    <cellStyle name="Input cel new 5 3 3 7" xfId="3696"/>
    <cellStyle name="Input cel new 5 3 4" xfId="792"/>
    <cellStyle name="Input cel new 5 3 4 2" xfId="2018"/>
    <cellStyle name="Input cel new 5 3 4 2 2" xfId="3257"/>
    <cellStyle name="Input cel new 5 3 4 2 3" xfId="4669"/>
    <cellStyle name="Input cel new 5 3 4 3" xfId="1700"/>
    <cellStyle name="Input cel new 5 3 4 3 2" xfId="2940"/>
    <cellStyle name="Input cel new 5 3 4 3 3" xfId="4353"/>
    <cellStyle name="Input cel new 5 3 4 4" xfId="1092"/>
    <cellStyle name="Input cel new 5 3 4 5" xfId="2335"/>
    <cellStyle name="Input cel new 5 3 4 6" xfId="3760"/>
    <cellStyle name="Input cel new 5 3 5" xfId="853"/>
    <cellStyle name="Input cel new 5 3 5 2" xfId="2079"/>
    <cellStyle name="Input cel new 5 3 5 2 2" xfId="3318"/>
    <cellStyle name="Input cel new 5 3 5 2 3" xfId="4730"/>
    <cellStyle name="Input cel new 5 3 5 3" xfId="1757"/>
    <cellStyle name="Input cel new 5 3 5 3 2" xfId="2996"/>
    <cellStyle name="Input cel new 5 3 5 3 3" xfId="4408"/>
    <cellStyle name="Input cel new 5 3 5 4" xfId="1153"/>
    <cellStyle name="Input cel new 5 3 5 5" xfId="2396"/>
    <cellStyle name="Input cel new 5 3 5 6" xfId="3821"/>
    <cellStyle name="Input cel new 5 3 6" xfId="609"/>
    <cellStyle name="Input cel new 5 3 6 2" xfId="1532"/>
    <cellStyle name="Input cel new 5 3 6 3" xfId="2772"/>
    <cellStyle name="Input cel new 5 3 6 4" xfId="4186"/>
    <cellStyle name="Input cel new 5 3 7" xfId="1279"/>
    <cellStyle name="Input cel new 5 3 7 2" xfId="2520"/>
    <cellStyle name="Input cel new 5 3 7 3" xfId="3941"/>
    <cellStyle name="Input cel new 5 3 8" xfId="1177"/>
    <cellStyle name="Input cel new 5 3 8 2" xfId="2420"/>
    <cellStyle name="Input cel new 5 3 8 3" xfId="3845"/>
    <cellStyle name="Input cel new 5 3 9" xfId="907"/>
    <cellStyle name="Input cel new 5 3 9 2" xfId="3401"/>
    <cellStyle name="Input cel new 5 4" xfId="312"/>
    <cellStyle name="Input cel new 5 4 2" xfId="1519"/>
    <cellStyle name="Input cel new 5 4 2 2" xfId="2759"/>
    <cellStyle name="Input cel new 5 4 2 2 2" xfId="4173"/>
    <cellStyle name="Input cel new 5 4 2 3" xfId="3500"/>
    <cellStyle name="Input cel new 5 4 3" xfId="1331"/>
    <cellStyle name="Input cel new 5 4 3 2" xfId="2572"/>
    <cellStyle name="Input cel new 5 4 3 3" xfId="3992"/>
    <cellStyle name="Input cel new 5 4 4" xfId="888"/>
    <cellStyle name="Input cel new 5 4 4 2" xfId="3598"/>
    <cellStyle name="Input cel new 5 4 5" xfId="2132"/>
    <cellStyle name="Input cel new 5 4 6" xfId="592"/>
    <cellStyle name="Input cel new 5 5" xfId="742"/>
    <cellStyle name="Input cel new 5 5 2" xfId="1650"/>
    <cellStyle name="Input cel new 5 5 2 2" xfId="1968"/>
    <cellStyle name="Input cel new 5 5 2 2 2" xfId="3207"/>
    <cellStyle name="Input cel new 5 5 2 2 3" xfId="4619"/>
    <cellStyle name="Input cel new 5 5 2 3" xfId="2890"/>
    <cellStyle name="Input cel new 5 5 2 4" xfId="4303"/>
    <cellStyle name="Input cel new 5 5 3" xfId="1778"/>
    <cellStyle name="Input cel new 5 5 3 2" xfId="3017"/>
    <cellStyle name="Input cel new 5 5 3 3" xfId="4429"/>
    <cellStyle name="Input cel new 5 5 4" xfId="1288"/>
    <cellStyle name="Input cel new 5 5 4 2" xfId="2529"/>
    <cellStyle name="Input cel new 5 5 4 3" xfId="3950"/>
    <cellStyle name="Input cel new 5 5 5" xfId="1042"/>
    <cellStyle name="Input cel new 5 5 5 2" xfId="3710"/>
    <cellStyle name="Input cel new 5 5 6" xfId="2285"/>
    <cellStyle name="Input cel new 5 5 7" xfId="3482"/>
    <cellStyle name="Input cel new 5 6" xfId="805"/>
    <cellStyle name="Input cel new 5 6 2" xfId="2031"/>
    <cellStyle name="Input cel new 5 6 2 2" xfId="3270"/>
    <cellStyle name="Input cel new 5 6 2 3" xfId="4682"/>
    <cellStyle name="Input cel new 5 6 3" xfId="1325"/>
    <cellStyle name="Input cel new 5 6 3 2" xfId="2566"/>
    <cellStyle name="Input cel new 5 6 3 3" xfId="3986"/>
    <cellStyle name="Input cel new 5 6 4" xfId="1105"/>
    <cellStyle name="Input cel new 5 6 5" xfId="2348"/>
    <cellStyle name="Input cel new 5 6 6" xfId="3773"/>
    <cellStyle name="Input cel new 5 7" xfId="417"/>
    <cellStyle name="Input cel new 5 7 2" xfId="1212"/>
    <cellStyle name="Input cel new 5 7 2 2" xfId="2454"/>
    <cellStyle name="Input cel new 5 7 2 3" xfId="3878"/>
    <cellStyle name="Input cel new 5 7 3" xfId="1222"/>
    <cellStyle name="Input cel new 5 7 4" xfId="2464"/>
    <cellStyle name="Input cel new 5 7 5" xfId="3888"/>
    <cellStyle name="Input cel new 5 8" xfId="512"/>
    <cellStyle name="Input cel new 5 8 2" xfId="3572"/>
    <cellStyle name="Input cel new 5 9" xfId="449"/>
    <cellStyle name="Input cel new 6" xfId="210"/>
    <cellStyle name="Input cel new 6 2" xfId="364"/>
    <cellStyle name="Input cel new 6 2 10" xfId="568"/>
    <cellStyle name="Input cel new 6 2 11" xfId="3451"/>
    <cellStyle name="Input cel new 6 2 2" xfId="710"/>
    <cellStyle name="Input cel new 6 2 2 2" xfId="1621"/>
    <cellStyle name="Input cel new 6 2 2 2 2" xfId="1936"/>
    <cellStyle name="Input cel new 6 2 2 2 2 2" xfId="3175"/>
    <cellStyle name="Input cel new 6 2 2 2 2 3" xfId="4587"/>
    <cellStyle name="Input cel new 6 2 2 2 3" xfId="2861"/>
    <cellStyle name="Input cel new 6 2 2 2 4" xfId="4274"/>
    <cellStyle name="Input cel new 6 2 2 3" xfId="1773"/>
    <cellStyle name="Input cel new 6 2 2 3 2" xfId="3012"/>
    <cellStyle name="Input cel new 6 2 2 3 3" xfId="4424"/>
    <cellStyle name="Input cel new 6 2 2 4" xfId="1394"/>
    <cellStyle name="Input cel new 6 2 2 4 2" xfId="2635"/>
    <cellStyle name="Input cel new 6 2 2 4 3" xfId="4055"/>
    <cellStyle name="Input cel new 6 2 2 5" xfId="1010"/>
    <cellStyle name="Input cel new 6 2 2 5 2" xfId="3678"/>
    <cellStyle name="Input cel new 6 2 2 6" xfId="2253"/>
    <cellStyle name="Input cel new 6 2 2 7" xfId="3540"/>
    <cellStyle name="Input cel new 6 2 3" xfId="774"/>
    <cellStyle name="Input cel new 6 2 3 2" xfId="2000"/>
    <cellStyle name="Input cel new 6 2 3 2 2" xfId="3239"/>
    <cellStyle name="Input cel new 6 2 3 2 3" xfId="4651"/>
    <cellStyle name="Input cel new 6 2 3 3" xfId="1682"/>
    <cellStyle name="Input cel new 6 2 3 3 2" xfId="2922"/>
    <cellStyle name="Input cel new 6 2 3 3 3" xfId="4335"/>
    <cellStyle name="Input cel new 6 2 3 4" xfId="1074"/>
    <cellStyle name="Input cel new 6 2 3 5" xfId="2317"/>
    <cellStyle name="Input cel new 6 2 3 6" xfId="3742"/>
    <cellStyle name="Input cel new 6 2 4" xfId="836"/>
    <cellStyle name="Input cel new 6 2 4 2" xfId="2062"/>
    <cellStyle name="Input cel new 6 2 4 2 2" xfId="3301"/>
    <cellStyle name="Input cel new 6 2 4 2 3" xfId="4713"/>
    <cellStyle name="Input cel new 6 2 4 3" xfId="1740"/>
    <cellStyle name="Input cel new 6 2 4 3 2" xfId="2979"/>
    <cellStyle name="Input cel new 6 2 4 3 3" xfId="4391"/>
    <cellStyle name="Input cel new 6 2 4 4" xfId="1136"/>
    <cellStyle name="Input cel new 6 2 4 5" xfId="2379"/>
    <cellStyle name="Input cel new 6 2 4 6" xfId="3804"/>
    <cellStyle name="Input cel new 6 2 5" xfId="661"/>
    <cellStyle name="Input cel new 6 2 5 2" xfId="1899"/>
    <cellStyle name="Input cel new 6 2 5 2 2" xfId="3138"/>
    <cellStyle name="Input cel new 6 2 5 2 3" xfId="4550"/>
    <cellStyle name="Input cel new 6 2 5 3" xfId="1583"/>
    <cellStyle name="Input cel new 6 2 5 4" xfId="2823"/>
    <cellStyle name="Input cel new 6 2 5 5" xfId="4237"/>
    <cellStyle name="Input cel new 6 2 6" xfId="1403"/>
    <cellStyle name="Input cel new 6 2 6 2" xfId="2644"/>
    <cellStyle name="Input cel new 6 2 6 3" xfId="4064"/>
    <cellStyle name="Input cel new 6 2 7" xfId="1253"/>
    <cellStyle name="Input cel new 6 2 7 2" xfId="2495"/>
    <cellStyle name="Input cel new 6 2 7 3" xfId="3918"/>
    <cellStyle name="Input cel new 6 2 8" xfId="962"/>
    <cellStyle name="Input cel new 6 2 8 2" xfId="3630"/>
    <cellStyle name="Input cel new 6 2 9" xfId="2205"/>
    <cellStyle name="Input cel new 6 3" xfId="292"/>
    <cellStyle name="Input cel new 6 3 2" xfId="1873"/>
    <cellStyle name="Input cel new 6 3 2 2" xfId="3112"/>
    <cellStyle name="Input cel new 6 3 2 2 2" xfId="4524"/>
    <cellStyle name="Input cel new 6 3 2 3" xfId="3493"/>
    <cellStyle name="Input cel new 6 3 3" xfId="1437"/>
    <cellStyle name="Input cel new 6 3 3 2" xfId="2678"/>
    <cellStyle name="Input cel new 6 3 3 3" xfId="4098"/>
    <cellStyle name="Input cel new 6 3 4" xfId="931"/>
    <cellStyle name="Input cel new 6 3 4 2" xfId="3599"/>
    <cellStyle name="Input cel new 6 3 5" xfId="2174"/>
    <cellStyle name="Input cel new 6 3 6" xfId="3417"/>
    <cellStyle name="Input cel new 6 4" xfId="1345"/>
    <cellStyle name="Input cel new 6 4 2" xfId="2586"/>
    <cellStyle name="Input cel new 6 4 2 2" xfId="4006"/>
    <cellStyle name="Input cel new 6 4 3" xfId="3374"/>
    <cellStyle name="Input cel new 6 5" xfId="1247"/>
    <cellStyle name="Input cel new 6 5 2" xfId="2489"/>
    <cellStyle name="Input cel new 6 5 3" xfId="314"/>
    <cellStyle name="Input cel new 6 6" xfId="868"/>
    <cellStyle name="Input cel new 6 7" xfId="2112"/>
    <cellStyle name="Input cel new 6 8" xfId="299"/>
    <cellStyle name="Input cel new 7" xfId="431"/>
    <cellStyle name="Input cel new 7 2" xfId="2099"/>
    <cellStyle name="Input cel new 7 3" xfId="3350"/>
    <cellStyle name="Input cel new 8" xfId="1159"/>
    <cellStyle name="Input cel new 8 2" xfId="2402"/>
    <cellStyle name="Input cel new 8 3" xfId="3827"/>
    <cellStyle name="Input cel new 9" xfId="285"/>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713"/>
    <cellStyle name="Normal 15 3" xfId="1258"/>
    <cellStyle name="Normal 16" xfId="235"/>
    <cellStyle name="Normal 16 2" xfId="1473"/>
    <cellStyle name="Normal 16 3" xfId="1200"/>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582"/>
    <cellStyle name="Normal GHG Numbers (0.00) 2 11" xfId="305"/>
    <cellStyle name="Normal GHG Numbers (0.00) 2 2" xfId="319"/>
    <cellStyle name="Normal GHG Numbers (0.00) 2 2 10" xfId="490"/>
    <cellStyle name="Normal GHG Numbers (0.00) 2 2 11" xfId="3427"/>
    <cellStyle name="Normal GHG Numbers (0.00) 2 2 2" xfId="544"/>
    <cellStyle name="Normal GHG Numbers (0.00) 2 2 2 2" xfId="641"/>
    <cellStyle name="Normal GHG Numbers (0.00) 2 2 2 2 2" xfId="1882"/>
    <cellStyle name="Normal GHG Numbers (0.00) 2 2 2 2 2 2" xfId="3121"/>
    <cellStyle name="Normal GHG Numbers (0.00) 2 2 2 2 2 3" xfId="4533"/>
    <cellStyle name="Normal GHG Numbers (0.00) 2 2 2 2 3" xfId="1563"/>
    <cellStyle name="Normal GHG Numbers (0.00) 2 2 2 2 4" xfId="2803"/>
    <cellStyle name="Normal GHG Numbers (0.00) 2 2 2 2 5" xfId="4217"/>
    <cellStyle name="Normal GHG Numbers (0.00) 2 2 2 3" xfId="1480"/>
    <cellStyle name="Normal GHG Numbers (0.00) 2 2 2 3 2" xfId="2720"/>
    <cellStyle name="Normal GHG Numbers (0.00) 2 2 2 3 3" xfId="4136"/>
    <cellStyle name="Normal GHG Numbers (0.00) 2 2 2 4" xfId="1465"/>
    <cellStyle name="Normal GHG Numbers (0.00) 2 2 2 4 2" xfId="2706"/>
    <cellStyle name="Normal GHG Numbers (0.00) 2 2 2 4 3" xfId="4123"/>
    <cellStyle name="Normal GHG Numbers (0.00) 2 2 2 5" xfId="1302"/>
    <cellStyle name="Normal GHG Numbers (0.00) 2 2 2 5 2" xfId="2543"/>
    <cellStyle name="Normal GHG Numbers (0.00) 2 2 2 5 3" xfId="3963"/>
    <cellStyle name="Normal GHG Numbers (0.00) 2 2 2 6" xfId="942"/>
    <cellStyle name="Normal GHG Numbers (0.00) 2 2 2 6 2" xfId="3610"/>
    <cellStyle name="Normal GHG Numbers (0.00) 2 2 2 7" xfId="2185"/>
    <cellStyle name="Normal GHG Numbers (0.00) 2 2 2 8" xfId="3506"/>
    <cellStyle name="Normal GHG Numbers (0.00) 2 2 3" xfId="690"/>
    <cellStyle name="Normal GHG Numbers (0.00) 2 2 3 2" xfId="1916"/>
    <cellStyle name="Normal GHG Numbers (0.00) 2 2 3 2 2" xfId="3155"/>
    <cellStyle name="Normal GHG Numbers (0.00) 2 2 3 2 3" xfId="4567"/>
    <cellStyle name="Normal GHG Numbers (0.00) 2 2 3 3" xfId="1364"/>
    <cellStyle name="Normal GHG Numbers (0.00) 2 2 3 3 2" xfId="2605"/>
    <cellStyle name="Normal GHG Numbers (0.00) 2 2 3 3 3" xfId="4025"/>
    <cellStyle name="Normal GHG Numbers (0.00) 2 2 3 4" xfId="990"/>
    <cellStyle name="Normal GHG Numbers (0.00) 2 2 3 5" xfId="2233"/>
    <cellStyle name="Normal GHG Numbers (0.00) 2 2 3 6" xfId="3658"/>
    <cellStyle name="Normal GHG Numbers (0.00) 2 2 4" xfId="754"/>
    <cellStyle name="Normal GHG Numbers (0.00) 2 2 4 2" xfId="1980"/>
    <cellStyle name="Normal GHG Numbers (0.00) 2 2 4 2 2" xfId="3219"/>
    <cellStyle name="Normal GHG Numbers (0.00) 2 2 4 2 3" xfId="4631"/>
    <cellStyle name="Normal GHG Numbers (0.00) 2 2 4 3" xfId="1662"/>
    <cellStyle name="Normal GHG Numbers (0.00) 2 2 4 3 2" xfId="2902"/>
    <cellStyle name="Normal GHG Numbers (0.00) 2 2 4 3 3" xfId="4315"/>
    <cellStyle name="Normal GHG Numbers (0.00) 2 2 4 4" xfId="1054"/>
    <cellStyle name="Normal GHG Numbers (0.00) 2 2 4 5" xfId="2297"/>
    <cellStyle name="Normal GHG Numbers (0.00) 2 2 4 6" xfId="3722"/>
    <cellStyle name="Normal GHG Numbers (0.00) 2 2 5" xfId="816"/>
    <cellStyle name="Normal GHG Numbers (0.00) 2 2 5 2" xfId="2042"/>
    <cellStyle name="Normal GHG Numbers (0.00) 2 2 5 2 2" xfId="3281"/>
    <cellStyle name="Normal GHG Numbers (0.00) 2 2 5 2 3" xfId="4693"/>
    <cellStyle name="Normal GHG Numbers (0.00) 2 2 5 3" xfId="1720"/>
    <cellStyle name="Normal GHG Numbers (0.00) 2 2 5 3 2" xfId="2959"/>
    <cellStyle name="Normal GHG Numbers (0.00) 2 2 5 3 3" xfId="4371"/>
    <cellStyle name="Normal GHG Numbers (0.00) 2 2 5 4" xfId="1116"/>
    <cellStyle name="Normal GHG Numbers (0.00) 2 2 5 5" xfId="2359"/>
    <cellStyle name="Normal GHG Numbers (0.00) 2 2 5 6" xfId="3784"/>
    <cellStyle name="Normal GHG Numbers (0.00) 2 2 6" xfId="621"/>
    <cellStyle name="Normal GHG Numbers (0.00) 2 2 6 2" xfId="1544"/>
    <cellStyle name="Normal GHG Numbers (0.00) 2 2 6 3" xfId="2784"/>
    <cellStyle name="Normal GHG Numbers (0.00) 2 2 6 4" xfId="4198"/>
    <cellStyle name="Normal GHG Numbers (0.00) 2 2 7" xfId="1343"/>
    <cellStyle name="Normal GHG Numbers (0.00) 2 2 7 2" xfId="2584"/>
    <cellStyle name="Normal GHG Numbers (0.00) 2 2 7 3" xfId="4004"/>
    <cellStyle name="Normal GHG Numbers (0.00) 2 2 8" xfId="919"/>
    <cellStyle name="Normal GHG Numbers (0.00) 2 2 8 2" xfId="3408"/>
    <cellStyle name="Normal GHG Numbers (0.00) 2 2 9" xfId="2162"/>
    <cellStyle name="Normal GHG Numbers (0.00) 2 3" xfId="365"/>
    <cellStyle name="Normal GHG Numbers (0.00) 2 3 10" xfId="2113"/>
    <cellStyle name="Normal GHG Numbers (0.00) 2 3 11" xfId="442"/>
    <cellStyle name="Normal GHG Numbers (0.00) 2 3 12" xfId="3452"/>
    <cellStyle name="Normal GHG Numbers (0.00) 2 3 2" xfId="517"/>
    <cellStyle name="Normal GHG Numbers (0.00) 2 3 2 2" xfId="662"/>
    <cellStyle name="Normal GHG Numbers (0.00) 2 3 2 2 2" xfId="1584"/>
    <cellStyle name="Normal GHG Numbers (0.00) 2 3 2 2 3" xfId="2824"/>
    <cellStyle name="Normal GHG Numbers (0.00) 2 3 2 2 4" xfId="4238"/>
    <cellStyle name="Normal GHG Numbers (0.00) 2 3 2 3" xfId="1788"/>
    <cellStyle name="Normal GHG Numbers (0.00) 2 3 2 3 2" xfId="3027"/>
    <cellStyle name="Normal GHG Numbers (0.00) 2 3 2 3 3" xfId="4439"/>
    <cellStyle name="Normal GHG Numbers (0.00) 2 3 2 4" xfId="1337"/>
    <cellStyle name="Normal GHG Numbers (0.00) 2 3 2 4 2" xfId="2578"/>
    <cellStyle name="Normal GHG Numbers (0.00) 2 3 2 4 3" xfId="3998"/>
    <cellStyle name="Normal GHG Numbers (0.00) 2 3 2 5" xfId="963"/>
    <cellStyle name="Normal GHG Numbers (0.00) 2 3 2 5 2" xfId="3631"/>
    <cellStyle name="Normal GHG Numbers (0.00) 2 3 2 6" xfId="2206"/>
    <cellStyle name="Normal GHG Numbers (0.00) 2 3 2 7" xfId="3541"/>
    <cellStyle name="Normal GHG Numbers (0.00) 2 3 3" xfId="711"/>
    <cellStyle name="Normal GHG Numbers (0.00) 2 3 3 2" xfId="1622"/>
    <cellStyle name="Normal GHG Numbers (0.00) 2 3 3 2 2" xfId="1937"/>
    <cellStyle name="Normal GHG Numbers (0.00) 2 3 3 2 2 2" xfId="3176"/>
    <cellStyle name="Normal GHG Numbers (0.00) 2 3 3 2 2 3" xfId="4588"/>
    <cellStyle name="Normal GHG Numbers (0.00) 2 3 3 2 3" xfId="2862"/>
    <cellStyle name="Normal GHG Numbers (0.00) 2 3 3 2 4" xfId="4275"/>
    <cellStyle name="Normal GHG Numbers (0.00) 2 3 3 3" xfId="1231"/>
    <cellStyle name="Normal GHG Numbers (0.00) 2 3 3 3 2" xfId="2473"/>
    <cellStyle name="Normal GHG Numbers (0.00) 2 3 3 3 3" xfId="3897"/>
    <cellStyle name="Normal GHG Numbers (0.00) 2 3 3 4" xfId="1395"/>
    <cellStyle name="Normal GHG Numbers (0.00) 2 3 3 4 2" xfId="2636"/>
    <cellStyle name="Normal GHG Numbers (0.00) 2 3 3 4 3" xfId="4056"/>
    <cellStyle name="Normal GHG Numbers (0.00) 2 3 3 5" xfId="1011"/>
    <cellStyle name="Normal GHG Numbers (0.00) 2 3 3 6" xfId="2254"/>
    <cellStyle name="Normal GHG Numbers (0.00) 2 3 3 7" xfId="3679"/>
    <cellStyle name="Normal GHG Numbers (0.00) 2 3 4" xfId="775"/>
    <cellStyle name="Normal GHG Numbers (0.00) 2 3 4 2" xfId="2001"/>
    <cellStyle name="Normal GHG Numbers (0.00) 2 3 4 2 2" xfId="3240"/>
    <cellStyle name="Normal GHG Numbers (0.00) 2 3 4 2 3" xfId="4652"/>
    <cellStyle name="Normal GHG Numbers (0.00) 2 3 4 3" xfId="1683"/>
    <cellStyle name="Normal GHG Numbers (0.00) 2 3 4 3 2" xfId="2923"/>
    <cellStyle name="Normal GHG Numbers (0.00) 2 3 4 3 3" xfId="4336"/>
    <cellStyle name="Normal GHG Numbers (0.00) 2 3 4 4" xfId="1075"/>
    <cellStyle name="Normal GHG Numbers (0.00) 2 3 4 5" xfId="2318"/>
    <cellStyle name="Normal GHG Numbers (0.00) 2 3 4 6" xfId="3743"/>
    <cellStyle name="Normal GHG Numbers (0.00) 2 3 5" xfId="837"/>
    <cellStyle name="Normal GHG Numbers (0.00) 2 3 5 2" xfId="2063"/>
    <cellStyle name="Normal GHG Numbers (0.00) 2 3 5 2 2" xfId="3302"/>
    <cellStyle name="Normal GHG Numbers (0.00) 2 3 5 2 3" xfId="4714"/>
    <cellStyle name="Normal GHG Numbers (0.00) 2 3 5 3" xfId="1741"/>
    <cellStyle name="Normal GHG Numbers (0.00) 2 3 5 3 2" xfId="2980"/>
    <cellStyle name="Normal GHG Numbers (0.00) 2 3 5 3 3" xfId="4392"/>
    <cellStyle name="Normal GHG Numbers (0.00) 2 3 5 4" xfId="1137"/>
    <cellStyle name="Normal GHG Numbers (0.00) 2 3 5 5" xfId="2380"/>
    <cellStyle name="Normal GHG Numbers (0.00) 2 3 5 6" xfId="3805"/>
    <cellStyle name="Normal GHG Numbers (0.00) 2 3 6" xfId="521"/>
    <cellStyle name="Normal GHG Numbers (0.00) 2 3 6 2" xfId="1467"/>
    <cellStyle name="Normal GHG Numbers (0.00) 2 3 6 3" xfId="2708"/>
    <cellStyle name="Normal GHG Numbers (0.00) 2 3 6 4" xfId="4125"/>
    <cellStyle name="Normal GHG Numbers (0.00) 2 3 7" xfId="1608"/>
    <cellStyle name="Normal GHG Numbers (0.00) 2 3 7 2" xfId="2848"/>
    <cellStyle name="Normal GHG Numbers (0.00) 2 3 7 3" xfId="4262"/>
    <cellStyle name="Normal GHG Numbers (0.00) 2 3 8" xfId="1167"/>
    <cellStyle name="Normal GHG Numbers (0.00) 2 3 8 2" xfId="2410"/>
    <cellStyle name="Normal GHG Numbers (0.00) 2 3 8 3" xfId="3835"/>
    <cellStyle name="Normal GHG Numbers (0.00) 2 3 9" xfId="869"/>
    <cellStyle name="Normal GHG Numbers (0.00) 2 3 9 2" xfId="3378"/>
    <cellStyle name="Normal GHG Numbers (0.00) 2 4" xfId="394"/>
    <cellStyle name="Normal GHG Numbers (0.00) 2 4 2" xfId="1538"/>
    <cellStyle name="Normal GHG Numbers (0.00) 2 4 2 2" xfId="1870"/>
    <cellStyle name="Normal GHG Numbers (0.00) 2 4 2 2 2" xfId="3109"/>
    <cellStyle name="Normal GHG Numbers (0.00) 2 4 2 2 3" xfId="4521"/>
    <cellStyle name="Normal GHG Numbers (0.00) 2 4 2 3" xfId="2778"/>
    <cellStyle name="Normal GHG Numbers (0.00) 2 4 2 3 2" xfId="4192"/>
    <cellStyle name="Normal GHG Numbers (0.00) 2 4 2 4" xfId="3567"/>
    <cellStyle name="Normal GHG Numbers (0.00) 2 4 3" xfId="1779"/>
    <cellStyle name="Normal GHG Numbers (0.00) 2 4 3 2" xfId="3018"/>
    <cellStyle name="Normal GHG Numbers (0.00) 2 4 3 3" xfId="4430"/>
    <cellStyle name="Normal GHG Numbers (0.00) 2 4 4" xfId="1261"/>
    <cellStyle name="Normal GHG Numbers (0.00) 2 4 4 2" xfId="2502"/>
    <cellStyle name="Normal GHG Numbers (0.00) 2 4 4 3" xfId="3925"/>
    <cellStyle name="Normal GHG Numbers (0.00) 2 4 5" xfId="913"/>
    <cellStyle name="Normal GHG Numbers (0.00) 2 4 5 2" xfId="3329"/>
    <cellStyle name="Normal GHG Numbers (0.00) 2 4 6" xfId="2156"/>
    <cellStyle name="Normal GHG Numbers (0.00) 2 4 7" xfId="615"/>
    <cellStyle name="Normal GHG Numbers (0.00) 2 5" xfId="635"/>
    <cellStyle name="Normal GHG Numbers (0.00) 2 5 2" xfId="1877"/>
    <cellStyle name="Normal GHG Numbers (0.00) 2 5 2 2" xfId="3116"/>
    <cellStyle name="Normal GHG Numbers (0.00) 2 5 2 3" xfId="4528"/>
    <cellStyle name="Normal GHG Numbers (0.00) 2 5 3" xfId="1266"/>
    <cellStyle name="Normal GHG Numbers (0.00) 2 5 3 2" xfId="2507"/>
    <cellStyle name="Normal GHG Numbers (0.00) 2 5 3 3" xfId="3928"/>
    <cellStyle name="Normal GHG Numbers (0.00) 2 5 4" xfId="936"/>
    <cellStyle name="Normal GHG Numbers (0.00) 2 5 4 2" xfId="3604"/>
    <cellStyle name="Normal GHG Numbers (0.00) 2 5 5" xfId="2179"/>
    <cellStyle name="Normal GHG Numbers (0.00) 2 5 6" xfId="3364"/>
    <cellStyle name="Normal GHG Numbers (0.00) 2 6" xfId="633"/>
    <cellStyle name="Normal GHG Numbers (0.00) 2 6 2" xfId="1874"/>
    <cellStyle name="Normal GHG Numbers (0.00) 2 6 2 2" xfId="3113"/>
    <cellStyle name="Normal GHG Numbers (0.00) 2 6 2 3" xfId="4525"/>
    <cellStyle name="Normal GHG Numbers (0.00) 2 6 3" xfId="1556"/>
    <cellStyle name="Normal GHG Numbers (0.00) 2 6 3 2" xfId="2796"/>
    <cellStyle name="Normal GHG Numbers (0.00) 2 6 3 3" xfId="4210"/>
    <cellStyle name="Normal GHG Numbers (0.00) 2 6 4" xfId="932"/>
    <cellStyle name="Normal GHG Numbers (0.00) 2 6 5" xfId="2175"/>
    <cellStyle name="Normal GHG Numbers (0.00) 2 6 6" xfId="3600"/>
    <cellStyle name="Normal GHG Numbers (0.00) 2 7" xfId="457"/>
    <cellStyle name="Normal GHG Numbers (0.00) 2 7 2" xfId="1780"/>
    <cellStyle name="Normal GHG Numbers (0.00) 2 7 2 2" xfId="3019"/>
    <cellStyle name="Normal GHG Numbers (0.00) 2 7 2 3" xfId="4431"/>
    <cellStyle name="Normal GHG Numbers (0.00) 2 7 3" xfId="1423"/>
    <cellStyle name="Normal GHG Numbers (0.00) 2 7 4" xfId="2664"/>
    <cellStyle name="Normal GHG Numbers (0.00) 2 7 5" xfId="4084"/>
    <cellStyle name="Normal GHG Numbers (0.00) 2 8" xfId="1187"/>
    <cellStyle name="Normal GHG Numbers (0.00) 2 8 2" xfId="2430"/>
    <cellStyle name="Normal GHG Numbers (0.00) 2 8 3" xfId="3855"/>
    <cellStyle name="Normal GHG Numbers (0.00) 2 9" xfId="422"/>
    <cellStyle name="Normal GHG Numbers (0.00) 2 9 2" xfId="3575"/>
    <cellStyle name="Normal GHG Numbers (0.00) 3" xfId="213"/>
    <cellStyle name="Normal GHG Numbers (0.00) 3 2" xfId="356"/>
    <cellStyle name="Normal GHG Numbers (0.00) 3 2 10" xfId="2199"/>
    <cellStyle name="Normal GHG Numbers (0.00) 3 2 11" xfId="562"/>
    <cellStyle name="Normal GHG Numbers (0.00) 3 2 12" xfId="3445"/>
    <cellStyle name="Normal GHG Numbers (0.00) 3 2 2" xfId="704"/>
    <cellStyle name="Normal GHG Numbers (0.00) 3 2 2 2" xfId="1930"/>
    <cellStyle name="Normal GHG Numbers (0.00) 3 2 2 2 2" xfId="3169"/>
    <cellStyle name="Normal GHG Numbers (0.00) 3 2 2 2 3" xfId="4581"/>
    <cellStyle name="Normal GHG Numbers (0.00) 3 2 2 3" xfId="1318"/>
    <cellStyle name="Normal GHG Numbers (0.00) 3 2 2 3 2" xfId="2559"/>
    <cellStyle name="Normal GHG Numbers (0.00) 3 2 2 3 3" xfId="3979"/>
    <cellStyle name="Normal GHG Numbers (0.00) 3 2 2 4" xfId="1615"/>
    <cellStyle name="Normal GHG Numbers (0.00) 3 2 2 4 2" xfId="2855"/>
    <cellStyle name="Normal GHG Numbers (0.00) 3 2 2 4 3" xfId="4268"/>
    <cellStyle name="Normal GHG Numbers (0.00) 3 2 2 5" xfId="1004"/>
    <cellStyle name="Normal GHG Numbers (0.00) 3 2 2 5 2" xfId="3672"/>
    <cellStyle name="Normal GHG Numbers (0.00) 3 2 2 6" xfId="2247"/>
    <cellStyle name="Normal GHG Numbers (0.00) 3 2 2 7" xfId="3532"/>
    <cellStyle name="Normal GHG Numbers (0.00) 3 2 3" xfId="768"/>
    <cellStyle name="Normal GHG Numbers (0.00) 3 2 3 2" xfId="1994"/>
    <cellStyle name="Normal GHG Numbers (0.00) 3 2 3 2 2" xfId="3233"/>
    <cellStyle name="Normal GHG Numbers (0.00) 3 2 3 2 3" xfId="4645"/>
    <cellStyle name="Normal GHG Numbers (0.00) 3 2 3 3" xfId="1676"/>
    <cellStyle name="Normal GHG Numbers (0.00) 3 2 3 3 2" xfId="2916"/>
    <cellStyle name="Normal GHG Numbers (0.00) 3 2 3 3 3" xfId="4329"/>
    <cellStyle name="Normal GHG Numbers (0.00) 3 2 3 4" xfId="1068"/>
    <cellStyle name="Normal GHG Numbers (0.00) 3 2 3 5" xfId="2311"/>
    <cellStyle name="Normal GHG Numbers (0.00) 3 2 3 6" xfId="3736"/>
    <cellStyle name="Normal GHG Numbers (0.00) 3 2 4" xfId="830"/>
    <cellStyle name="Normal GHG Numbers (0.00) 3 2 4 2" xfId="2056"/>
    <cellStyle name="Normal GHG Numbers (0.00) 3 2 4 2 2" xfId="3295"/>
    <cellStyle name="Normal GHG Numbers (0.00) 3 2 4 2 3" xfId="4707"/>
    <cellStyle name="Normal GHG Numbers (0.00) 3 2 4 3" xfId="1734"/>
    <cellStyle name="Normal GHG Numbers (0.00) 3 2 4 3 2" xfId="2973"/>
    <cellStyle name="Normal GHG Numbers (0.00) 3 2 4 3 3" xfId="4385"/>
    <cellStyle name="Normal GHG Numbers (0.00) 3 2 4 4" xfId="1130"/>
    <cellStyle name="Normal GHG Numbers (0.00) 3 2 4 5" xfId="2373"/>
    <cellStyle name="Normal GHG Numbers (0.00) 3 2 4 6" xfId="3798"/>
    <cellStyle name="Normal GHG Numbers (0.00) 3 2 5" xfId="655"/>
    <cellStyle name="Normal GHG Numbers (0.00) 3 2 5 2" xfId="1893"/>
    <cellStyle name="Normal GHG Numbers (0.00) 3 2 5 2 2" xfId="3132"/>
    <cellStyle name="Normal GHG Numbers (0.00) 3 2 5 2 3" xfId="4544"/>
    <cellStyle name="Normal GHG Numbers (0.00) 3 2 5 3" xfId="1577"/>
    <cellStyle name="Normal GHG Numbers (0.00) 3 2 5 4" xfId="2817"/>
    <cellStyle name="Normal GHG Numbers (0.00) 3 2 5 5" xfId="4231"/>
    <cellStyle name="Normal GHG Numbers (0.00) 3 2 6" xfId="1497"/>
    <cellStyle name="Normal GHG Numbers (0.00) 3 2 6 2" xfId="2737"/>
    <cellStyle name="Normal GHG Numbers (0.00) 3 2 6 3" xfId="4153"/>
    <cellStyle name="Normal GHG Numbers (0.00) 3 2 7" xfId="1380"/>
    <cellStyle name="Normal GHG Numbers (0.00) 3 2 7 2" xfId="2621"/>
    <cellStyle name="Normal GHG Numbers (0.00) 3 2 7 3" xfId="4041"/>
    <cellStyle name="Normal GHG Numbers (0.00) 3 2 8" xfId="1388"/>
    <cellStyle name="Normal GHG Numbers (0.00) 3 2 8 2" xfId="2629"/>
    <cellStyle name="Normal GHG Numbers (0.00) 3 2 8 3" xfId="4049"/>
    <cellStyle name="Normal GHG Numbers (0.00) 3 2 9" xfId="956"/>
    <cellStyle name="Normal GHG Numbers (0.00) 3 2 9 2" xfId="3624"/>
    <cellStyle name="Normal GHG Numbers (0.00) 3 3" xfId="291"/>
    <cellStyle name="Normal GHG Numbers (0.00) 3 3 2" xfId="1830"/>
    <cellStyle name="Normal GHG Numbers (0.00) 3 3 2 2" xfId="3069"/>
    <cellStyle name="Normal GHG Numbers (0.00) 3 3 2 2 2" xfId="4481"/>
    <cellStyle name="Normal GHG Numbers (0.00) 3 3 2 3" xfId="3492"/>
    <cellStyle name="Normal GHG Numbers (0.00) 3 3 3" xfId="1436"/>
    <cellStyle name="Normal GHG Numbers (0.00) 3 3 3 2" xfId="2677"/>
    <cellStyle name="Normal GHG Numbers (0.00) 3 3 3 3" xfId="4097"/>
    <cellStyle name="Normal GHG Numbers (0.00) 3 3 4" xfId="580"/>
    <cellStyle name="Normal GHG Numbers (0.00) 3 3 4 2" xfId="3365"/>
    <cellStyle name="Normal GHG Numbers (0.00) 3 3 5" xfId="2091"/>
    <cellStyle name="Normal GHG Numbers (0.00) 3 3 6" xfId="3416"/>
    <cellStyle name="Normal GHG Numbers (0.00) 3 4" xfId="1867"/>
    <cellStyle name="Normal GHG Numbers (0.00) 3 4 2" xfId="3106"/>
    <cellStyle name="Normal GHG Numbers (0.00) 3 4 2 2" xfId="4518"/>
    <cellStyle name="Normal GHG Numbers (0.00) 3 4 3" xfId="3377"/>
    <cellStyle name="Normal GHG Numbers (0.00) 3 5" xfId="1448"/>
    <cellStyle name="Normal GHG Numbers (0.00) 3 5 2" xfId="2689"/>
    <cellStyle name="Normal GHG Numbers (0.00) 3 5 3" xfId="3332"/>
    <cellStyle name="Normal GHG Numbers (0.00) 3 6" xfId="1234"/>
    <cellStyle name="Normal GHG Numbers (0.00) 3 6 2" xfId="2476"/>
    <cellStyle name="Normal GHG Numbers (0.00) 3 6 3" xfId="3900"/>
    <cellStyle name="Normal GHG Numbers (0.00) 3 7" xfId="511"/>
    <cellStyle name="Normal GHG Numbers (0.00) 3 8" xfId="2088"/>
    <cellStyle name="Normal GHG Numbers (0.00) 3 9" xfId="311"/>
    <cellStyle name="Normal GHG Numbers (0.00) 4" xfId="333"/>
    <cellStyle name="Normal GHG Textfiels Bold" xfId="250"/>
    <cellStyle name="Normal GHG Textfiels Bold 10" xfId="470"/>
    <cellStyle name="Normal GHG Textfiels Bold 11" xfId="310"/>
    <cellStyle name="Normal GHG Textfiels Bold 2" xfId="317"/>
    <cellStyle name="Normal GHG Textfiels Bold 2 10" xfId="488"/>
    <cellStyle name="Normal GHG Textfiels Bold 2 11" xfId="3425"/>
    <cellStyle name="Normal GHG Textfiels Bold 2 2" xfId="542"/>
    <cellStyle name="Normal GHG Textfiels Bold 2 2 2" xfId="639"/>
    <cellStyle name="Normal GHG Textfiels Bold 2 2 2 2" xfId="1880"/>
    <cellStyle name="Normal GHG Textfiels Bold 2 2 2 2 2" xfId="3119"/>
    <cellStyle name="Normal GHG Textfiels Bold 2 2 2 2 3" xfId="4531"/>
    <cellStyle name="Normal GHG Textfiels Bold 2 2 2 3" xfId="1561"/>
    <cellStyle name="Normal GHG Textfiels Bold 2 2 2 4" xfId="2801"/>
    <cellStyle name="Normal GHG Textfiels Bold 2 2 2 5" xfId="4215"/>
    <cellStyle name="Normal GHG Textfiels Bold 2 2 3" xfId="1478"/>
    <cellStyle name="Normal GHG Textfiels Bold 2 2 3 2" xfId="2718"/>
    <cellStyle name="Normal GHG Textfiels Bold 2 2 3 3" xfId="4134"/>
    <cellStyle name="Normal GHG Textfiels Bold 2 2 4" xfId="1332"/>
    <cellStyle name="Normal GHG Textfiels Bold 2 2 4 2" xfId="2573"/>
    <cellStyle name="Normal GHG Textfiels Bold 2 2 4 3" xfId="3993"/>
    <cellStyle name="Normal GHG Textfiels Bold 2 2 5" xfId="1300"/>
    <cellStyle name="Normal GHG Textfiels Bold 2 2 5 2" xfId="2541"/>
    <cellStyle name="Normal GHG Textfiels Bold 2 2 5 3" xfId="3961"/>
    <cellStyle name="Normal GHG Textfiels Bold 2 2 6" xfId="940"/>
    <cellStyle name="Normal GHG Textfiels Bold 2 2 6 2" xfId="3608"/>
    <cellStyle name="Normal GHG Textfiels Bold 2 2 7" xfId="2183"/>
    <cellStyle name="Normal GHG Textfiels Bold 2 2 8" xfId="3504"/>
    <cellStyle name="Normal GHG Textfiels Bold 2 3" xfId="688"/>
    <cellStyle name="Normal GHG Textfiels Bold 2 3 2" xfId="1914"/>
    <cellStyle name="Normal GHG Textfiels Bold 2 3 2 2" xfId="3153"/>
    <cellStyle name="Normal GHG Textfiels Bold 2 3 2 3" xfId="4565"/>
    <cellStyle name="Normal GHG Textfiels Bold 2 3 3" xfId="1362"/>
    <cellStyle name="Normal GHG Textfiels Bold 2 3 3 2" xfId="2603"/>
    <cellStyle name="Normal GHG Textfiels Bold 2 3 3 3" xfId="4023"/>
    <cellStyle name="Normal GHG Textfiels Bold 2 3 4" xfId="988"/>
    <cellStyle name="Normal GHG Textfiels Bold 2 3 5" xfId="2231"/>
    <cellStyle name="Normal GHG Textfiels Bold 2 3 6" xfId="3656"/>
    <cellStyle name="Normal GHG Textfiels Bold 2 4" xfId="752"/>
    <cellStyle name="Normal GHG Textfiels Bold 2 4 2" xfId="1978"/>
    <cellStyle name="Normal GHG Textfiels Bold 2 4 2 2" xfId="3217"/>
    <cellStyle name="Normal GHG Textfiels Bold 2 4 2 3" xfId="4629"/>
    <cellStyle name="Normal GHG Textfiels Bold 2 4 3" xfId="1660"/>
    <cellStyle name="Normal GHG Textfiels Bold 2 4 3 2" xfId="2900"/>
    <cellStyle name="Normal GHG Textfiels Bold 2 4 3 3" xfId="4313"/>
    <cellStyle name="Normal GHG Textfiels Bold 2 4 4" xfId="1052"/>
    <cellStyle name="Normal GHG Textfiels Bold 2 4 5" xfId="2295"/>
    <cellStyle name="Normal GHG Textfiels Bold 2 4 6" xfId="3720"/>
    <cellStyle name="Normal GHG Textfiels Bold 2 5" xfId="814"/>
    <cellStyle name="Normal GHG Textfiels Bold 2 5 2" xfId="2040"/>
    <cellStyle name="Normal GHG Textfiels Bold 2 5 2 2" xfId="3279"/>
    <cellStyle name="Normal GHG Textfiels Bold 2 5 2 3" xfId="4691"/>
    <cellStyle name="Normal GHG Textfiels Bold 2 5 3" xfId="1718"/>
    <cellStyle name="Normal GHG Textfiels Bold 2 5 3 2" xfId="2957"/>
    <cellStyle name="Normal GHG Textfiels Bold 2 5 3 3" xfId="4369"/>
    <cellStyle name="Normal GHG Textfiels Bold 2 5 4" xfId="1114"/>
    <cellStyle name="Normal GHG Textfiels Bold 2 5 5" xfId="2357"/>
    <cellStyle name="Normal GHG Textfiels Bold 2 5 6" xfId="3782"/>
    <cellStyle name="Normal GHG Textfiels Bold 2 6" xfId="619"/>
    <cellStyle name="Normal GHG Textfiels Bold 2 6 2" xfId="1542"/>
    <cellStyle name="Normal GHG Textfiels Bold 2 6 3" xfId="2782"/>
    <cellStyle name="Normal GHG Textfiels Bold 2 6 4" xfId="4196"/>
    <cellStyle name="Normal GHG Textfiels Bold 2 7" xfId="1317"/>
    <cellStyle name="Normal GHG Textfiels Bold 2 7 2" xfId="2558"/>
    <cellStyle name="Normal GHG Textfiels Bold 2 7 3" xfId="3978"/>
    <cellStyle name="Normal GHG Textfiels Bold 2 8" xfId="917"/>
    <cellStyle name="Normal GHG Textfiels Bold 2 8 2" xfId="3385"/>
    <cellStyle name="Normal GHG Textfiels Bold 2 9" xfId="2160"/>
    <cellStyle name="Normal GHG Textfiels Bold 3" xfId="376"/>
    <cellStyle name="Normal GHG Textfiels Bold 3 10" xfId="2129"/>
    <cellStyle name="Normal GHG Textfiels Bold 3 11" xfId="461"/>
    <cellStyle name="Normal GHG Textfiels Bold 3 12" xfId="3461"/>
    <cellStyle name="Normal GHG Textfiels Bold 3 2" xfId="526"/>
    <cellStyle name="Normal GHG Textfiels Bold 3 2 2" xfId="672"/>
    <cellStyle name="Normal GHG Textfiels Bold 3 2 2 2" xfId="1593"/>
    <cellStyle name="Normal GHG Textfiels Bold 3 2 2 3" xfId="2833"/>
    <cellStyle name="Normal GHG Textfiels Bold 3 2 2 4" xfId="4247"/>
    <cellStyle name="Normal GHG Textfiels Bold 3 2 3" xfId="1794"/>
    <cellStyle name="Normal GHG Textfiels Bold 3 2 3 2" xfId="3033"/>
    <cellStyle name="Normal GHG Textfiels Bold 3 2 3 3" xfId="4445"/>
    <cellStyle name="Normal GHG Textfiels Bold 3 2 4" xfId="1346"/>
    <cellStyle name="Normal GHG Textfiels Bold 3 2 4 2" xfId="2587"/>
    <cellStyle name="Normal GHG Textfiels Bold 3 2 4 3" xfId="4007"/>
    <cellStyle name="Normal GHG Textfiels Bold 3 2 5" xfId="972"/>
    <cellStyle name="Normal GHG Textfiels Bold 3 2 5 2" xfId="3640"/>
    <cellStyle name="Normal GHG Textfiels Bold 3 2 6" xfId="2215"/>
    <cellStyle name="Normal GHG Textfiels Bold 3 2 7" xfId="3551"/>
    <cellStyle name="Normal GHG Textfiels Bold 3 3" xfId="721"/>
    <cellStyle name="Normal GHG Textfiels Bold 3 3 2" xfId="1632"/>
    <cellStyle name="Normal GHG Textfiels Bold 3 3 2 2" xfId="1947"/>
    <cellStyle name="Normal GHG Textfiels Bold 3 3 2 2 2" xfId="3186"/>
    <cellStyle name="Normal GHG Textfiels Bold 3 3 2 2 3" xfId="4598"/>
    <cellStyle name="Normal GHG Textfiels Bold 3 3 2 3" xfId="2872"/>
    <cellStyle name="Normal GHG Textfiels Bold 3 3 2 4" xfId="4285"/>
    <cellStyle name="Normal GHG Textfiels Bold 3 3 3" xfId="1813"/>
    <cellStyle name="Normal GHG Textfiels Bold 3 3 3 2" xfId="3052"/>
    <cellStyle name="Normal GHG Textfiels Bold 3 3 3 3" xfId="4464"/>
    <cellStyle name="Normal GHG Textfiels Bold 3 3 4" xfId="1406"/>
    <cellStyle name="Normal GHG Textfiels Bold 3 3 4 2" xfId="2647"/>
    <cellStyle name="Normal GHG Textfiels Bold 3 3 4 3" xfId="4067"/>
    <cellStyle name="Normal GHG Textfiels Bold 3 3 5" xfId="1021"/>
    <cellStyle name="Normal GHG Textfiels Bold 3 3 6" xfId="2264"/>
    <cellStyle name="Normal GHG Textfiels Bold 3 3 7" xfId="3689"/>
    <cellStyle name="Normal GHG Textfiels Bold 3 4" xfId="785"/>
    <cellStyle name="Normal GHG Textfiels Bold 3 4 2" xfId="2011"/>
    <cellStyle name="Normal GHG Textfiels Bold 3 4 2 2" xfId="3250"/>
    <cellStyle name="Normal GHG Textfiels Bold 3 4 2 3" xfId="4662"/>
    <cellStyle name="Normal GHG Textfiels Bold 3 4 3" xfId="1693"/>
    <cellStyle name="Normal GHG Textfiels Bold 3 4 3 2" xfId="2933"/>
    <cellStyle name="Normal GHG Textfiels Bold 3 4 3 3" xfId="4346"/>
    <cellStyle name="Normal GHG Textfiels Bold 3 4 4" xfId="1085"/>
    <cellStyle name="Normal GHG Textfiels Bold 3 4 5" xfId="2328"/>
    <cellStyle name="Normal GHG Textfiels Bold 3 4 6" xfId="3753"/>
    <cellStyle name="Normal GHG Textfiels Bold 3 5" xfId="846"/>
    <cellStyle name="Normal GHG Textfiels Bold 3 5 2" xfId="2072"/>
    <cellStyle name="Normal GHG Textfiels Bold 3 5 2 2" xfId="3311"/>
    <cellStyle name="Normal GHG Textfiels Bold 3 5 2 3" xfId="4723"/>
    <cellStyle name="Normal GHG Textfiels Bold 3 5 3" xfId="1750"/>
    <cellStyle name="Normal GHG Textfiels Bold 3 5 3 2" xfId="2989"/>
    <cellStyle name="Normal GHG Textfiels Bold 3 5 3 3" xfId="4401"/>
    <cellStyle name="Normal GHG Textfiels Bold 3 5 4" xfId="1146"/>
    <cellStyle name="Normal GHG Textfiels Bold 3 5 5" xfId="2389"/>
    <cellStyle name="Normal GHG Textfiels Bold 3 5 6" xfId="3814"/>
    <cellStyle name="Normal GHG Textfiels Bold 3 6" xfId="589"/>
    <cellStyle name="Normal GHG Textfiels Bold 3 6 2" xfId="1516"/>
    <cellStyle name="Normal GHG Textfiels Bold 3 6 3" xfId="2756"/>
    <cellStyle name="Normal GHG Textfiels Bold 3 6 4" xfId="4170"/>
    <cellStyle name="Normal GHG Textfiels Bold 3 7" xfId="1471"/>
    <cellStyle name="Normal GHG Textfiels Bold 3 7 2" xfId="2712"/>
    <cellStyle name="Normal GHG Textfiels Bold 3 7 3" xfId="4129"/>
    <cellStyle name="Normal GHG Textfiels Bold 3 8" xfId="1168"/>
    <cellStyle name="Normal GHG Textfiels Bold 3 8 2" xfId="2411"/>
    <cellStyle name="Normal GHG Textfiels Bold 3 8 3" xfId="3836"/>
    <cellStyle name="Normal GHG Textfiels Bold 3 9" xfId="885"/>
    <cellStyle name="Normal GHG Textfiels Bold 3 9 2" xfId="3579"/>
    <cellStyle name="Normal GHG Textfiels Bold 4" xfId="350"/>
    <cellStyle name="Normal GHG Textfiels Bold 4 2" xfId="1520"/>
    <cellStyle name="Normal GHG Textfiels Bold 4 2 2" xfId="1857"/>
    <cellStyle name="Normal GHG Textfiels Bold 4 2 2 2" xfId="3096"/>
    <cellStyle name="Normal GHG Textfiels Bold 4 2 2 3" xfId="4508"/>
    <cellStyle name="Normal GHG Textfiels Bold 4 2 3" xfId="2760"/>
    <cellStyle name="Normal GHG Textfiels Bold 4 2 3 2" xfId="4174"/>
    <cellStyle name="Normal GHG Textfiels Bold 4 2 4" xfId="3526"/>
    <cellStyle name="Normal GHG Textfiels Bold 4 3" xfId="1767"/>
    <cellStyle name="Normal GHG Textfiels Bold 4 3 2" xfId="3006"/>
    <cellStyle name="Normal GHG Textfiels Bold 4 3 3" xfId="4418"/>
    <cellStyle name="Normal GHG Textfiels Bold 4 4" xfId="1196"/>
    <cellStyle name="Normal GHG Textfiels Bold 4 4 2" xfId="2439"/>
    <cellStyle name="Normal GHG Textfiels Bold 4 4 3" xfId="3864"/>
    <cellStyle name="Normal GHG Textfiels Bold 4 5" xfId="890"/>
    <cellStyle name="Normal GHG Textfiels Bold 4 5 2" xfId="3326"/>
    <cellStyle name="Normal GHG Textfiels Bold 4 6" xfId="2134"/>
    <cellStyle name="Normal GHG Textfiels Bold 4 7" xfId="593"/>
    <cellStyle name="Normal GHG Textfiels Bold 5" xfId="504"/>
    <cellStyle name="Normal GHG Textfiels Bold 5 2" xfId="1839"/>
    <cellStyle name="Normal GHG Textfiels Bold 5 2 2" xfId="3078"/>
    <cellStyle name="Normal GHG Textfiels Bold 5 2 3" xfId="4490"/>
    <cellStyle name="Normal GHG Textfiels Bold 5 3" xfId="1277"/>
    <cellStyle name="Normal GHG Textfiels Bold 5 3 2" xfId="2518"/>
    <cellStyle name="Normal GHG Textfiels Bold 5 3 3" xfId="3939"/>
    <cellStyle name="Normal GHG Textfiels Bold 5 4" xfId="505"/>
    <cellStyle name="Normal GHG Textfiels Bold 5 4 2" xfId="3341"/>
    <cellStyle name="Normal GHG Textfiels Bold 5 5" xfId="2102"/>
    <cellStyle name="Normal GHG Textfiels Bold 5 6" xfId="3363"/>
    <cellStyle name="Normal GHG Textfiels Bold 6" xfId="634"/>
    <cellStyle name="Normal GHG Textfiels Bold 6 2" xfId="1875"/>
    <cellStyle name="Normal GHG Textfiels Bold 6 2 2" xfId="3114"/>
    <cellStyle name="Normal GHG Textfiels Bold 6 2 3" xfId="4526"/>
    <cellStyle name="Normal GHG Textfiels Bold 6 3" xfId="1557"/>
    <cellStyle name="Normal GHG Textfiels Bold 6 3 2" xfId="2797"/>
    <cellStyle name="Normal GHG Textfiels Bold 6 3 3" xfId="4211"/>
    <cellStyle name="Normal GHG Textfiels Bold 6 4" xfId="934"/>
    <cellStyle name="Normal GHG Textfiels Bold 6 5" xfId="2177"/>
    <cellStyle name="Normal GHG Textfiels Bold 6 6" xfId="3602"/>
    <cellStyle name="Normal GHG Textfiels Bold 7" xfId="453"/>
    <cellStyle name="Normal GHG Textfiels Bold 7 2" xfId="1270"/>
    <cellStyle name="Normal GHG Textfiels Bold 7 2 2" xfId="2511"/>
    <cellStyle name="Normal GHG Textfiels Bold 7 2 3" xfId="3932"/>
    <cellStyle name="Normal GHG Textfiels Bold 7 3" xfId="1422"/>
    <cellStyle name="Normal GHG Textfiels Bold 7 4" xfId="2663"/>
    <cellStyle name="Normal GHG Textfiels Bold 7 5" xfId="4083"/>
    <cellStyle name="Normal GHG Textfiels Bold 8" xfId="1217"/>
    <cellStyle name="Normal GHG Textfiels Bold 8 2" xfId="2459"/>
    <cellStyle name="Normal GHG Textfiels Bold 8 3" xfId="3883"/>
    <cellStyle name="Normal GHG Textfiels Bold 9" xfId="414"/>
    <cellStyle name="Normal GHG Textfiels Bold 9 2" xfId="3587"/>
    <cellStyle name="Normal GHG whole table" xfId="251"/>
    <cellStyle name="Normal GHG whole table 10" xfId="463"/>
    <cellStyle name="Normal GHG whole table 11" xfId="332"/>
    <cellStyle name="Normal GHG whole table 2" xfId="315"/>
    <cellStyle name="Normal GHG whole table 2 10" xfId="486"/>
    <cellStyle name="Normal GHG whole table 2 11" xfId="3423"/>
    <cellStyle name="Normal GHG whole table 2 2" xfId="540"/>
    <cellStyle name="Normal GHG whole table 2 2 2" xfId="637"/>
    <cellStyle name="Normal GHG whole table 2 2 2 2" xfId="1879"/>
    <cellStyle name="Normal GHG whole table 2 2 2 2 2" xfId="3118"/>
    <cellStyle name="Normal GHG whole table 2 2 2 2 3" xfId="4530"/>
    <cellStyle name="Normal GHG whole table 2 2 2 3" xfId="1559"/>
    <cellStyle name="Normal GHG whole table 2 2 2 4" xfId="2799"/>
    <cellStyle name="Normal GHG whole table 2 2 2 5" xfId="4213"/>
    <cellStyle name="Normal GHG whole table 2 2 3" xfId="1476"/>
    <cellStyle name="Normal GHG whole table 2 2 3 2" xfId="2716"/>
    <cellStyle name="Normal GHG whole table 2 2 3 3" xfId="4132"/>
    <cellStyle name="Normal GHG whole table 2 2 4" xfId="1382"/>
    <cellStyle name="Normal GHG whole table 2 2 4 2" xfId="2623"/>
    <cellStyle name="Normal GHG whole table 2 2 4 3" xfId="4043"/>
    <cellStyle name="Normal GHG whole table 2 2 5" xfId="1298"/>
    <cellStyle name="Normal GHG whole table 2 2 5 2" xfId="2539"/>
    <cellStyle name="Normal GHG whole table 2 2 5 3" xfId="3959"/>
    <cellStyle name="Normal GHG whole table 2 2 6" xfId="938"/>
    <cellStyle name="Normal GHG whole table 2 2 6 2" xfId="3606"/>
    <cellStyle name="Normal GHG whole table 2 2 7" xfId="2181"/>
    <cellStyle name="Normal GHG whole table 2 2 8" xfId="3502"/>
    <cellStyle name="Normal GHG whole table 2 3" xfId="686"/>
    <cellStyle name="Normal GHG whole table 2 3 2" xfId="1912"/>
    <cellStyle name="Normal GHG whole table 2 3 2 2" xfId="3151"/>
    <cellStyle name="Normal GHG whole table 2 3 2 3" xfId="4563"/>
    <cellStyle name="Normal GHG whole table 2 3 3" xfId="1360"/>
    <cellStyle name="Normal GHG whole table 2 3 3 2" xfId="2601"/>
    <cellStyle name="Normal GHG whole table 2 3 3 3" xfId="4021"/>
    <cellStyle name="Normal GHG whole table 2 3 4" xfId="986"/>
    <cellStyle name="Normal GHG whole table 2 3 5" xfId="2229"/>
    <cellStyle name="Normal GHG whole table 2 3 6" xfId="3654"/>
    <cellStyle name="Normal GHG whole table 2 4" xfId="750"/>
    <cellStyle name="Normal GHG whole table 2 4 2" xfId="1976"/>
    <cellStyle name="Normal GHG whole table 2 4 2 2" xfId="3215"/>
    <cellStyle name="Normal GHG whole table 2 4 2 3" xfId="4627"/>
    <cellStyle name="Normal GHG whole table 2 4 3" xfId="1658"/>
    <cellStyle name="Normal GHG whole table 2 4 3 2" xfId="2898"/>
    <cellStyle name="Normal GHG whole table 2 4 3 3" xfId="4311"/>
    <cellStyle name="Normal GHG whole table 2 4 4" xfId="1050"/>
    <cellStyle name="Normal GHG whole table 2 4 5" xfId="2293"/>
    <cellStyle name="Normal GHG whole table 2 4 6" xfId="3718"/>
    <cellStyle name="Normal GHG whole table 2 5" xfId="812"/>
    <cellStyle name="Normal GHG whole table 2 5 2" xfId="2038"/>
    <cellStyle name="Normal GHG whole table 2 5 2 2" xfId="3277"/>
    <cellStyle name="Normal GHG whole table 2 5 2 3" xfId="4689"/>
    <cellStyle name="Normal GHG whole table 2 5 3" xfId="1716"/>
    <cellStyle name="Normal GHG whole table 2 5 3 2" xfId="2955"/>
    <cellStyle name="Normal GHG whole table 2 5 3 3" xfId="4367"/>
    <cellStyle name="Normal GHG whole table 2 5 4" xfId="1112"/>
    <cellStyle name="Normal GHG whole table 2 5 5" xfId="2355"/>
    <cellStyle name="Normal GHG whole table 2 5 6" xfId="3780"/>
    <cellStyle name="Normal GHG whole table 2 6" xfId="617"/>
    <cellStyle name="Normal GHG whole table 2 6 2" xfId="1540"/>
    <cellStyle name="Normal GHG whole table 2 6 3" xfId="2780"/>
    <cellStyle name="Normal GHG whole table 2 6 4" xfId="4194"/>
    <cellStyle name="Normal GHG whole table 2 7" xfId="1211"/>
    <cellStyle name="Normal GHG whole table 2 7 2" xfId="2453"/>
    <cellStyle name="Normal GHG whole table 2 7 3" xfId="3877"/>
    <cellStyle name="Normal GHG whole table 2 8" xfId="915"/>
    <cellStyle name="Normal GHG whole table 2 8 2" xfId="3386"/>
    <cellStyle name="Normal GHG whole table 2 9" xfId="2158"/>
    <cellStyle name="Normal GHG whole table 3" xfId="371"/>
    <cellStyle name="Normal GHG whole table 3 10" xfId="2123"/>
    <cellStyle name="Normal GHG whole table 3 11" xfId="448"/>
    <cellStyle name="Normal GHG whole table 3 12" xfId="3458"/>
    <cellStyle name="Normal GHG whole table 3 2" xfId="522"/>
    <cellStyle name="Normal GHG whole table 3 2 2" xfId="668"/>
    <cellStyle name="Normal GHG whole table 3 2 2 2" xfId="1590"/>
    <cellStyle name="Normal GHG whole table 3 2 2 3" xfId="2830"/>
    <cellStyle name="Normal GHG whole table 3 2 2 4" xfId="4244"/>
    <cellStyle name="Normal GHG whole table 3 2 3" xfId="1791"/>
    <cellStyle name="Normal GHG whole table 3 2 3 2" xfId="3030"/>
    <cellStyle name="Normal GHG whole table 3 2 3 3" xfId="4442"/>
    <cellStyle name="Normal GHG whole table 3 2 4" xfId="1342"/>
    <cellStyle name="Normal GHG whole table 3 2 4 2" xfId="2583"/>
    <cellStyle name="Normal GHG whole table 3 2 4 3" xfId="4003"/>
    <cellStyle name="Normal GHG whole table 3 2 5" xfId="969"/>
    <cellStyle name="Normal GHG whole table 3 2 5 2" xfId="3637"/>
    <cellStyle name="Normal GHG whole table 3 2 6" xfId="2212"/>
    <cellStyle name="Normal GHG whole table 3 2 7" xfId="3547"/>
    <cellStyle name="Normal GHG whole table 3 3" xfId="717"/>
    <cellStyle name="Normal GHG whole table 3 3 2" xfId="1628"/>
    <cellStyle name="Normal GHG whole table 3 3 2 2" xfId="1943"/>
    <cellStyle name="Normal GHG whole table 3 3 2 2 2" xfId="3182"/>
    <cellStyle name="Normal GHG whole table 3 3 2 2 3" xfId="4594"/>
    <cellStyle name="Normal GHG whole table 3 3 2 3" xfId="2868"/>
    <cellStyle name="Normal GHG whole table 3 3 2 4" xfId="4281"/>
    <cellStyle name="Normal GHG whole table 3 3 3" xfId="1809"/>
    <cellStyle name="Normal GHG whole table 3 3 3 2" xfId="3048"/>
    <cellStyle name="Normal GHG whole table 3 3 3 3" xfId="4460"/>
    <cellStyle name="Normal GHG whole table 3 3 4" xfId="1401"/>
    <cellStyle name="Normal GHG whole table 3 3 4 2" xfId="2642"/>
    <cellStyle name="Normal GHG whole table 3 3 4 3" xfId="4062"/>
    <cellStyle name="Normal GHG whole table 3 3 5" xfId="1017"/>
    <cellStyle name="Normal GHG whole table 3 3 6" xfId="2260"/>
    <cellStyle name="Normal GHG whole table 3 3 7" xfId="3685"/>
    <cellStyle name="Normal GHG whole table 3 4" xfId="781"/>
    <cellStyle name="Normal GHG whole table 3 4 2" xfId="2007"/>
    <cellStyle name="Normal GHG whole table 3 4 2 2" xfId="3246"/>
    <cellStyle name="Normal GHG whole table 3 4 2 3" xfId="4658"/>
    <cellStyle name="Normal GHG whole table 3 4 3" xfId="1689"/>
    <cellStyle name="Normal GHG whole table 3 4 3 2" xfId="2929"/>
    <cellStyle name="Normal GHG whole table 3 4 3 3" xfId="4342"/>
    <cellStyle name="Normal GHG whole table 3 4 4" xfId="1081"/>
    <cellStyle name="Normal GHG whole table 3 4 5" xfId="2324"/>
    <cellStyle name="Normal GHG whole table 3 4 6" xfId="3749"/>
    <cellStyle name="Normal GHG whole table 3 5" xfId="843"/>
    <cellStyle name="Normal GHG whole table 3 5 2" xfId="2069"/>
    <cellStyle name="Normal GHG whole table 3 5 2 2" xfId="3308"/>
    <cellStyle name="Normal GHG whole table 3 5 2 3" xfId="4720"/>
    <cellStyle name="Normal GHG whole table 3 5 3" xfId="1747"/>
    <cellStyle name="Normal GHG whole table 3 5 3 2" xfId="2986"/>
    <cellStyle name="Normal GHG whole table 3 5 3 3" xfId="4398"/>
    <cellStyle name="Normal GHG whole table 3 5 4" xfId="1143"/>
    <cellStyle name="Normal GHG whole table 3 5 5" xfId="2386"/>
    <cellStyle name="Normal GHG whole table 3 5 6" xfId="3811"/>
    <cellStyle name="Normal GHG whole table 3 6" xfId="585"/>
    <cellStyle name="Normal GHG whole table 3 6 2" xfId="1512"/>
    <cellStyle name="Normal GHG whole table 3 6 3" xfId="2752"/>
    <cellStyle name="Normal GHG whole table 3 6 4" xfId="4166"/>
    <cellStyle name="Normal GHG whole table 3 7" xfId="1215"/>
    <cellStyle name="Normal GHG whole table 3 7 2" xfId="2457"/>
    <cellStyle name="Normal GHG whole table 3 7 3" xfId="3881"/>
    <cellStyle name="Normal GHG whole table 3 8" xfId="1169"/>
    <cellStyle name="Normal GHG whole table 3 8 2" xfId="2412"/>
    <cellStyle name="Normal GHG whole table 3 8 3" xfId="3837"/>
    <cellStyle name="Normal GHG whole table 3 9" xfId="879"/>
    <cellStyle name="Normal GHG whole table 3 9 2" xfId="3594"/>
    <cellStyle name="Normal GHG whole table 4" xfId="323"/>
    <cellStyle name="Normal GHG whole table 4 2" xfId="1282"/>
    <cellStyle name="Normal GHG whole table 4 2 2" xfId="1835"/>
    <cellStyle name="Normal GHG whole table 4 2 2 2" xfId="3074"/>
    <cellStyle name="Normal GHG whole table 4 2 2 3" xfId="4486"/>
    <cellStyle name="Normal GHG whole table 4 2 3" xfId="2523"/>
    <cellStyle name="Normal GHG whole table 4 2 3 2" xfId="3944"/>
    <cellStyle name="Normal GHG whole table 4 2 4" xfId="3509"/>
    <cellStyle name="Normal GHG whole table 4 3" xfId="1426"/>
    <cellStyle name="Normal GHG whole table 4 3 2" xfId="2667"/>
    <cellStyle name="Normal GHG whole table 4 3 3" xfId="4087"/>
    <cellStyle name="Normal GHG whole table 4 4" xfId="1269"/>
    <cellStyle name="Normal GHG whole table 4 4 2" xfId="2510"/>
    <cellStyle name="Normal GHG whole table 4 4 3" xfId="3931"/>
    <cellStyle name="Normal GHG whole table 4 5" xfId="454"/>
    <cellStyle name="Normal GHG whole table 4 5 2" xfId="3337"/>
    <cellStyle name="Normal GHG whole table 4 6" xfId="2096"/>
    <cellStyle name="Normal GHG whole table 4 7" xfId="428"/>
    <cellStyle name="Normal GHG whole table 5" xfId="440"/>
    <cellStyle name="Normal GHG whole table 5 2" xfId="1847"/>
    <cellStyle name="Normal GHG whole table 5 2 2" xfId="3086"/>
    <cellStyle name="Normal GHG whole table 5 2 3" xfId="4498"/>
    <cellStyle name="Normal GHG whole table 5 3" xfId="1230"/>
    <cellStyle name="Normal GHG whole table 5 3 2" xfId="2472"/>
    <cellStyle name="Normal GHG whole table 5 3 3" xfId="3896"/>
    <cellStyle name="Normal GHG whole table 5 4" xfId="872"/>
    <cellStyle name="Normal GHG whole table 5 4 2" xfId="3340"/>
    <cellStyle name="Normal GHG whole table 5 5" xfId="2116"/>
    <cellStyle name="Normal GHG whole table 5 6" xfId="3362"/>
    <cellStyle name="Normal GHG whole table 6" xfId="595"/>
    <cellStyle name="Normal GHG whole table 6 2" xfId="1859"/>
    <cellStyle name="Normal GHG whole table 6 2 2" xfId="3098"/>
    <cellStyle name="Normal GHG whole table 6 2 3" xfId="4510"/>
    <cellStyle name="Normal GHG whole table 6 3" xfId="1522"/>
    <cellStyle name="Normal GHG whole table 6 3 2" xfId="2762"/>
    <cellStyle name="Normal GHG whole table 6 3 3" xfId="4176"/>
    <cellStyle name="Normal GHG whole table 6 4" xfId="892"/>
    <cellStyle name="Normal GHG whole table 6 5" xfId="2136"/>
    <cellStyle name="Normal GHG whole table 6 6" xfId="3595"/>
    <cellStyle name="Normal GHG whole table 7" xfId="510"/>
    <cellStyle name="Normal GHG whole table 7 2" xfId="1827"/>
    <cellStyle name="Normal GHG whole table 7 2 2" xfId="3066"/>
    <cellStyle name="Normal GHG whole table 7 2 3" xfId="4478"/>
    <cellStyle name="Normal GHG whole table 7 3" xfId="1462"/>
    <cellStyle name="Normal GHG whole table 7 4" xfId="2703"/>
    <cellStyle name="Normal GHG whole table 7 5" xfId="4120"/>
    <cellStyle name="Normal GHG whole table 8" xfId="1249"/>
    <cellStyle name="Normal GHG whole table 8 2" xfId="2491"/>
    <cellStyle name="Normal GHG whole table 8 3" xfId="3914"/>
    <cellStyle name="Normal GHG whole table 9" xfId="455"/>
    <cellStyle name="Normal GHG whole table 9 2" xfId="3345"/>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894"/>
    <cellStyle name="Pattern 11" xfId="393"/>
    <cellStyle name="Pattern 2" xfId="324"/>
    <cellStyle name="Pattern 2 10" xfId="493"/>
    <cellStyle name="Pattern 2 11" xfId="3430"/>
    <cellStyle name="Pattern 2 2" xfId="547"/>
    <cellStyle name="Pattern 2 2 2" xfId="644"/>
    <cellStyle name="Pattern 2 2 2 2" xfId="1885"/>
    <cellStyle name="Pattern 2 2 2 2 2" xfId="3124"/>
    <cellStyle name="Pattern 2 2 2 2 3" xfId="4536"/>
    <cellStyle name="Pattern 2 2 2 3" xfId="1566"/>
    <cellStyle name="Pattern 2 2 2 4" xfId="2806"/>
    <cellStyle name="Pattern 2 2 2 5" xfId="4220"/>
    <cellStyle name="Pattern 2 2 3" xfId="1483"/>
    <cellStyle name="Pattern 2 2 3 2" xfId="2723"/>
    <cellStyle name="Pattern 2 2 3 3" xfId="4139"/>
    <cellStyle name="Pattern 2 2 4" xfId="1795"/>
    <cellStyle name="Pattern 2 2 4 2" xfId="3034"/>
    <cellStyle name="Pattern 2 2 4 3" xfId="4446"/>
    <cellStyle name="Pattern 2 2 5" xfId="1305"/>
    <cellStyle name="Pattern 2 2 5 2" xfId="2546"/>
    <cellStyle name="Pattern 2 2 5 3" xfId="3966"/>
    <cellStyle name="Pattern 2 2 6" xfId="945"/>
    <cellStyle name="Pattern 2 2 6 2" xfId="3613"/>
    <cellStyle name="Pattern 2 2 7" xfId="2188"/>
    <cellStyle name="Pattern 2 2 8" xfId="3510"/>
    <cellStyle name="Pattern 2 3" xfId="693"/>
    <cellStyle name="Pattern 2 3 2" xfId="1919"/>
    <cellStyle name="Pattern 2 3 2 2" xfId="3158"/>
    <cellStyle name="Pattern 2 3 2 3" xfId="4570"/>
    <cellStyle name="Pattern 2 3 3" xfId="1367"/>
    <cellStyle name="Pattern 2 3 3 2" xfId="2608"/>
    <cellStyle name="Pattern 2 3 3 3" xfId="4028"/>
    <cellStyle name="Pattern 2 3 4" xfId="993"/>
    <cellStyle name="Pattern 2 3 5" xfId="2236"/>
    <cellStyle name="Pattern 2 3 6" xfId="3661"/>
    <cellStyle name="Pattern 2 4" xfId="757"/>
    <cellStyle name="Pattern 2 4 2" xfId="1983"/>
    <cellStyle name="Pattern 2 4 2 2" xfId="3222"/>
    <cellStyle name="Pattern 2 4 2 3" xfId="4634"/>
    <cellStyle name="Pattern 2 4 3" xfId="1665"/>
    <cellStyle name="Pattern 2 4 3 2" xfId="2905"/>
    <cellStyle name="Pattern 2 4 3 3" xfId="4318"/>
    <cellStyle name="Pattern 2 4 4" xfId="1057"/>
    <cellStyle name="Pattern 2 4 5" xfId="2300"/>
    <cellStyle name="Pattern 2 4 6" xfId="3725"/>
    <cellStyle name="Pattern 2 5" xfId="819"/>
    <cellStyle name="Pattern 2 5 2" xfId="2045"/>
    <cellStyle name="Pattern 2 5 2 2" xfId="3284"/>
    <cellStyle name="Pattern 2 5 2 3" xfId="4696"/>
    <cellStyle name="Pattern 2 5 3" xfId="1723"/>
    <cellStyle name="Pattern 2 5 3 2" xfId="2962"/>
    <cellStyle name="Pattern 2 5 3 3" xfId="4374"/>
    <cellStyle name="Pattern 2 5 4" xfId="1119"/>
    <cellStyle name="Pattern 2 5 5" xfId="2362"/>
    <cellStyle name="Pattern 2 5 6" xfId="3787"/>
    <cellStyle name="Pattern 2 6" xfId="624"/>
    <cellStyle name="Pattern 2 6 2" xfId="1547"/>
    <cellStyle name="Pattern 2 6 3" xfId="2787"/>
    <cellStyle name="Pattern 2 6 4" xfId="4201"/>
    <cellStyle name="Pattern 2 7" xfId="1238"/>
    <cellStyle name="Pattern 2 7 2" xfId="2480"/>
    <cellStyle name="Pattern 2 7 3" xfId="3904"/>
    <cellStyle name="Pattern 2 8" xfId="922"/>
    <cellStyle name="Pattern 2 8 2" xfId="3574"/>
    <cellStyle name="Pattern 2 9" xfId="2165"/>
    <cellStyle name="Pattern 3" xfId="366"/>
    <cellStyle name="Pattern 3 10" xfId="2117"/>
    <cellStyle name="Pattern 3 11" xfId="445"/>
    <cellStyle name="Pattern 3 12" xfId="3453"/>
    <cellStyle name="Pattern 3 2" xfId="518"/>
    <cellStyle name="Pattern 3 2 2" xfId="663"/>
    <cellStyle name="Pattern 3 2 2 2" xfId="1585"/>
    <cellStyle name="Pattern 3 2 2 3" xfId="2825"/>
    <cellStyle name="Pattern 3 2 2 4" xfId="4239"/>
    <cellStyle name="Pattern 3 2 3" xfId="1789"/>
    <cellStyle name="Pattern 3 2 3 2" xfId="3028"/>
    <cellStyle name="Pattern 3 2 3 3" xfId="4440"/>
    <cellStyle name="Pattern 3 2 4" xfId="1338"/>
    <cellStyle name="Pattern 3 2 4 2" xfId="2579"/>
    <cellStyle name="Pattern 3 2 4 3" xfId="3999"/>
    <cellStyle name="Pattern 3 2 5" xfId="964"/>
    <cellStyle name="Pattern 3 2 5 2" xfId="3632"/>
    <cellStyle name="Pattern 3 2 6" xfId="2207"/>
    <cellStyle name="Pattern 3 2 7" xfId="3542"/>
    <cellStyle name="Pattern 3 3" xfId="712"/>
    <cellStyle name="Pattern 3 3 2" xfId="1623"/>
    <cellStyle name="Pattern 3 3 2 2" xfId="1938"/>
    <cellStyle name="Pattern 3 3 2 2 2" xfId="3177"/>
    <cellStyle name="Pattern 3 3 2 2 3" xfId="4589"/>
    <cellStyle name="Pattern 3 3 2 3" xfId="2863"/>
    <cellStyle name="Pattern 3 3 2 4" xfId="4276"/>
    <cellStyle name="Pattern 3 3 3" xfId="1199"/>
    <cellStyle name="Pattern 3 3 3 2" xfId="2442"/>
    <cellStyle name="Pattern 3 3 3 3" xfId="3866"/>
    <cellStyle name="Pattern 3 3 4" xfId="1396"/>
    <cellStyle name="Pattern 3 3 4 2" xfId="2637"/>
    <cellStyle name="Pattern 3 3 4 3" xfId="4057"/>
    <cellStyle name="Pattern 3 3 5" xfId="1012"/>
    <cellStyle name="Pattern 3 3 6" xfId="2255"/>
    <cellStyle name="Pattern 3 3 7" xfId="3680"/>
    <cellStyle name="Pattern 3 4" xfId="776"/>
    <cellStyle name="Pattern 3 4 2" xfId="2002"/>
    <cellStyle name="Pattern 3 4 2 2" xfId="3241"/>
    <cellStyle name="Pattern 3 4 2 3" xfId="4653"/>
    <cellStyle name="Pattern 3 4 3" xfId="1684"/>
    <cellStyle name="Pattern 3 4 3 2" xfId="2924"/>
    <cellStyle name="Pattern 3 4 3 3" xfId="4337"/>
    <cellStyle name="Pattern 3 4 4" xfId="1076"/>
    <cellStyle name="Pattern 3 4 5" xfId="2319"/>
    <cellStyle name="Pattern 3 4 6" xfId="3744"/>
    <cellStyle name="Pattern 3 5" xfId="838"/>
    <cellStyle name="Pattern 3 5 2" xfId="2064"/>
    <cellStyle name="Pattern 3 5 2 2" xfId="3303"/>
    <cellStyle name="Pattern 3 5 2 3" xfId="4715"/>
    <cellStyle name="Pattern 3 5 3" xfId="1742"/>
    <cellStyle name="Pattern 3 5 3 2" xfId="2981"/>
    <cellStyle name="Pattern 3 5 3 3" xfId="4393"/>
    <cellStyle name="Pattern 3 5 4" xfId="1138"/>
    <cellStyle name="Pattern 3 5 5" xfId="2381"/>
    <cellStyle name="Pattern 3 5 6" xfId="3806"/>
    <cellStyle name="Pattern 3 6" xfId="520"/>
    <cellStyle name="Pattern 3 6 2" xfId="1466"/>
    <cellStyle name="Pattern 3 6 3" xfId="2707"/>
    <cellStyle name="Pattern 3 6 4" xfId="4124"/>
    <cellStyle name="Pattern 3 7" xfId="1194"/>
    <cellStyle name="Pattern 3 7 2" xfId="2437"/>
    <cellStyle name="Pattern 3 7 3" xfId="3862"/>
    <cellStyle name="Pattern 3 8" xfId="1170"/>
    <cellStyle name="Pattern 3 8 2" xfId="2413"/>
    <cellStyle name="Pattern 3 8 3" xfId="3838"/>
    <cellStyle name="Pattern 3 9" xfId="873"/>
    <cellStyle name="Pattern 3 9 2" xfId="3398"/>
    <cellStyle name="Pattern 4" xfId="334"/>
    <cellStyle name="Pattern 4 2" xfId="1521"/>
    <cellStyle name="Pattern 4 2 2" xfId="1858"/>
    <cellStyle name="Pattern 4 2 2 2" xfId="3097"/>
    <cellStyle name="Pattern 4 2 2 3" xfId="4509"/>
    <cellStyle name="Pattern 4 2 3" xfId="2761"/>
    <cellStyle name="Pattern 4 2 3 2" xfId="4175"/>
    <cellStyle name="Pattern 4 2 4" xfId="3516"/>
    <cellStyle name="Pattern 4 3" xfId="1771"/>
    <cellStyle name="Pattern 4 3 2" xfId="3010"/>
    <cellStyle name="Pattern 4 3 3" xfId="4422"/>
    <cellStyle name="Pattern 4 4" xfId="1186"/>
    <cellStyle name="Pattern 4 4 2" xfId="2429"/>
    <cellStyle name="Pattern 4 4 3" xfId="3854"/>
    <cellStyle name="Pattern 4 5" xfId="891"/>
    <cellStyle name="Pattern 4 5 2" xfId="3586"/>
    <cellStyle name="Pattern 4 6" xfId="2135"/>
    <cellStyle name="Pattern 4 7" xfId="594"/>
    <cellStyle name="Pattern 5" xfId="735"/>
    <cellStyle name="Pattern 5 2" xfId="1961"/>
    <cellStyle name="Pattern 5 2 2" xfId="3200"/>
    <cellStyle name="Pattern 5 2 3" xfId="4612"/>
    <cellStyle name="Pattern 5 3" xfId="1184"/>
    <cellStyle name="Pattern 5 3 2" xfId="2427"/>
    <cellStyle name="Pattern 5 3 3" xfId="3852"/>
    <cellStyle name="Pattern 5 4" xfId="1035"/>
    <cellStyle name="Pattern 5 4 2" xfId="3703"/>
    <cellStyle name="Pattern 5 5" xfId="2278"/>
    <cellStyle name="Pattern 5 6" xfId="3366"/>
    <cellStyle name="Pattern 6" xfId="458"/>
    <cellStyle name="Pattern 6 2" xfId="1838"/>
    <cellStyle name="Pattern 6 2 2" xfId="3077"/>
    <cellStyle name="Pattern 6 2 3" xfId="4489"/>
    <cellStyle name="Pattern 6 3" xfId="1425"/>
    <cellStyle name="Pattern 6 3 2" xfId="2666"/>
    <cellStyle name="Pattern 6 3 3" xfId="4086"/>
    <cellStyle name="Pattern 6 4" xfId="429"/>
    <cellStyle name="Pattern 6 5" xfId="2100"/>
    <cellStyle name="Pattern 6 6" xfId="3336"/>
    <cellStyle name="Pattern 7" xfId="469"/>
    <cellStyle name="Pattern 7 2" xfId="1871"/>
    <cellStyle name="Pattern 7 2 2" xfId="3110"/>
    <cellStyle name="Pattern 7 2 3" xfId="4522"/>
    <cellStyle name="Pattern 7 3" xfId="1439"/>
    <cellStyle name="Pattern 7 4" xfId="2680"/>
    <cellStyle name="Pattern 7 5" xfId="4100"/>
    <cellStyle name="Pattern 8" xfId="1446"/>
    <cellStyle name="Pattern 8 2" xfId="2687"/>
    <cellStyle name="Pattern 8 3" xfId="4107"/>
    <cellStyle name="Pattern 9" xfId="578"/>
    <cellStyle name="Pattern 9 2" xfId="3583"/>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348"/>
    <cellStyle name="Tabeltitel 2 2 2" xfId="398"/>
    <cellStyle name="Tabeltitel 2 2 2 2" xfId="581"/>
    <cellStyle name="Tabeltitel 2 2 2 2 2" xfId="734"/>
    <cellStyle name="Tabeltitel 2 2 2 2 2 2" xfId="1960"/>
    <cellStyle name="Tabeltitel 2 2 2 2 2 2 2" xfId="3199"/>
    <cellStyle name="Tabeltitel 2 2 2 2 2 2 3" xfId="4611"/>
    <cellStyle name="Tabeltitel 2 2 2 2 2 3" xfId="1645"/>
    <cellStyle name="Tabeltitel 2 2 2 2 2 4" xfId="2885"/>
    <cellStyle name="Tabeltitel 2 2 2 2 2 5" xfId="4298"/>
    <cellStyle name="Tabeltitel 2 2 2 2 3" xfId="1826"/>
    <cellStyle name="Tabeltitel 2 2 2 2 3 2" xfId="3065"/>
    <cellStyle name="Tabeltitel 2 2 2 2 3 3" xfId="4477"/>
    <cellStyle name="Tabeltitel 2 2 2 2 4" xfId="1510"/>
    <cellStyle name="Tabeltitel 2 2 2 2 4 2" xfId="2750"/>
    <cellStyle name="Tabeltitel 2 2 2 2 4 3" xfId="4164"/>
    <cellStyle name="Tabeltitel 2 2 2 2 5" xfId="1034"/>
    <cellStyle name="Tabeltitel 2 2 2 2 5 2" xfId="3702"/>
    <cellStyle name="Tabeltitel 2 2 2 2 6" xfId="2277"/>
    <cellStyle name="Tabeltitel 2 2 2 2 7" xfId="3569"/>
    <cellStyle name="Tabeltitel 2 2 2 3" xfId="798"/>
    <cellStyle name="Tabeltitel 2 2 2 3 2" xfId="2024"/>
    <cellStyle name="Tabeltitel 2 2 2 3 2 2" xfId="3263"/>
    <cellStyle name="Tabeltitel 2 2 2 3 2 3" xfId="4675"/>
    <cellStyle name="Tabeltitel 2 2 2 3 3" xfId="1706"/>
    <cellStyle name="Tabeltitel 2 2 2 3 3 2" xfId="2946"/>
    <cellStyle name="Tabeltitel 2 2 2 3 3 3" xfId="4359"/>
    <cellStyle name="Tabeltitel 2 2 2 3 4" xfId="1098"/>
    <cellStyle name="Tabeltitel 2 2 2 3 5" xfId="2341"/>
    <cellStyle name="Tabeltitel 2 2 2 3 6" xfId="3766"/>
    <cellStyle name="Tabeltitel 2 2 2 4" xfId="1492"/>
    <cellStyle name="Tabeltitel 2 2 2 4 2" xfId="2732"/>
    <cellStyle name="Tabeltitel 2 2 2 4 3" xfId="4148"/>
    <cellStyle name="Tabeltitel 2 2 2 5" xfId="1787"/>
    <cellStyle name="Tabeltitel 2 2 2 5 2" xfId="3026"/>
    <cellStyle name="Tabeltitel 2 2 2 5 3" xfId="4438"/>
    <cellStyle name="Tabeltitel 2 2 2 6" xfId="1314"/>
    <cellStyle name="Tabeltitel 2 2 2 6 2" xfId="2555"/>
    <cellStyle name="Tabeltitel 2 2 2 6 3" xfId="3975"/>
    <cellStyle name="Tabeltitel 2 2 2 7" xfId="556"/>
    <cellStyle name="Tabeltitel 2 2 3" xfId="560"/>
    <cellStyle name="Tabeltitel 2 2 3 2" xfId="653"/>
    <cellStyle name="Tabeltitel 2 2 3 2 2" xfId="1575"/>
    <cellStyle name="Tabeltitel 2 2 3 2 3" xfId="2815"/>
    <cellStyle name="Tabeltitel 2 2 3 2 4" xfId="4229"/>
    <cellStyle name="Tabeltitel 2 2 3 3" xfId="1891"/>
    <cellStyle name="Tabeltitel 2 2 3 3 2" xfId="3130"/>
    <cellStyle name="Tabeltitel 2 2 3 3 3" xfId="4542"/>
    <cellStyle name="Tabeltitel 2 2 3 4" xfId="1495"/>
    <cellStyle name="Tabeltitel 2 2 3 4 2" xfId="2735"/>
    <cellStyle name="Tabeltitel 2 2 3 4 3" xfId="4151"/>
    <cellStyle name="Tabeltitel 2 2 3 5" xfId="954"/>
    <cellStyle name="Tabeltitel 2 2 3 6" xfId="2197"/>
    <cellStyle name="Tabeltitel 2 2 3 7" xfId="3622"/>
    <cellStyle name="Tabeltitel 2 2 4" xfId="702"/>
    <cellStyle name="Tabeltitel 2 2 4 2" xfId="1928"/>
    <cellStyle name="Tabeltitel 2 2 4 2 2" xfId="3167"/>
    <cellStyle name="Tabeltitel 2 2 4 2 3" xfId="4579"/>
    <cellStyle name="Tabeltitel 2 2 4 3" xfId="1613"/>
    <cellStyle name="Tabeltitel 2 2 4 3 2" xfId="2853"/>
    <cellStyle name="Tabeltitel 2 2 4 3 3" xfId="4266"/>
    <cellStyle name="Tabeltitel 2 2 4 4" xfId="1002"/>
    <cellStyle name="Tabeltitel 2 2 4 5" xfId="2245"/>
    <cellStyle name="Tabeltitel 2 2 4 6" xfId="3670"/>
    <cellStyle name="Tabeltitel 2 2 5" xfId="766"/>
    <cellStyle name="Tabeltitel 2 2 5 2" xfId="1992"/>
    <cellStyle name="Tabeltitel 2 2 5 2 2" xfId="3231"/>
    <cellStyle name="Tabeltitel 2 2 5 2 3" xfId="4643"/>
    <cellStyle name="Tabeltitel 2 2 5 3" xfId="1674"/>
    <cellStyle name="Tabeltitel 2 2 5 3 2" xfId="2914"/>
    <cellStyle name="Tabeltitel 2 2 5 3 3" xfId="4327"/>
    <cellStyle name="Tabeltitel 2 2 5 4" xfId="1066"/>
    <cellStyle name="Tabeltitel 2 2 5 5" xfId="2309"/>
    <cellStyle name="Tabeltitel 2 2 5 6" xfId="3734"/>
    <cellStyle name="Tabeltitel 2 2 6" xfId="828"/>
    <cellStyle name="Tabeltitel 2 2 6 2" xfId="2054"/>
    <cellStyle name="Tabeltitel 2 2 6 2 2" xfId="3293"/>
    <cellStyle name="Tabeltitel 2 2 6 2 3" xfId="4705"/>
    <cellStyle name="Tabeltitel 2 2 6 3" xfId="1732"/>
    <cellStyle name="Tabeltitel 2 2 6 3 2" xfId="2971"/>
    <cellStyle name="Tabeltitel 2 2 6 3 3" xfId="4383"/>
    <cellStyle name="Tabeltitel 2 2 6 4" xfId="1128"/>
    <cellStyle name="Tabeltitel 2 2 6 5" xfId="2371"/>
    <cellStyle name="Tabeltitel 2 2 6 6" xfId="3796"/>
    <cellStyle name="Tabeltitel 2 2 7" xfId="1316"/>
    <cellStyle name="Tabeltitel 2 2 7 2" xfId="2557"/>
    <cellStyle name="Tabeltitel 2 2 7 3" xfId="3977"/>
    <cellStyle name="Tabeltitel 2 2 8" xfId="1273"/>
    <cellStyle name="Tabeltitel 2 2 8 2" xfId="2514"/>
    <cellStyle name="Tabeltitel 2 2 8 3" xfId="3935"/>
    <cellStyle name="Tabeltitel 2 3" xfId="328"/>
    <cellStyle name="Tabeltitel 2 3 2" xfId="748"/>
    <cellStyle name="Tabeltitel 2 3 2 2" xfId="1974"/>
    <cellStyle name="Tabeltitel 2 3 2 2 2" xfId="3213"/>
    <cellStyle name="Tabeltitel 2 3 2 2 3" xfId="4625"/>
    <cellStyle name="Tabeltitel 2 3 2 3" xfId="1656"/>
    <cellStyle name="Tabeltitel 2 3 2 4" xfId="2896"/>
    <cellStyle name="Tabeltitel 2 3 2 5" xfId="4309"/>
    <cellStyle name="Tabeltitel 2 3 3" xfId="1463"/>
    <cellStyle name="Tabeltitel 2 3 3 2" xfId="2704"/>
    <cellStyle name="Tabeltitel 2 3 3 3" xfId="4121"/>
    <cellStyle name="Tabeltitel 2 3 4" xfId="1768"/>
    <cellStyle name="Tabeltitel 2 3 4 2" xfId="3007"/>
    <cellStyle name="Tabeltitel 2 3 4 3" xfId="4419"/>
    <cellStyle name="Tabeltitel 2 3 5" xfId="1281"/>
    <cellStyle name="Tabeltitel 2 3 5 2" xfId="2522"/>
    <cellStyle name="Tabeltitel 2 3 5 3" xfId="3943"/>
    <cellStyle name="Tabeltitel 2 3 6" xfId="1048"/>
    <cellStyle name="Tabeltitel 2 3 6 2" xfId="3716"/>
    <cellStyle name="Tabeltitel 2 3 7" xfId="2291"/>
    <cellStyle name="Tabeltitel 2 3 8" xfId="513"/>
    <cellStyle name="Tabeltitel 2 3 9" xfId="3433"/>
    <cellStyle name="Tabeltitel 2 4" xfId="433"/>
    <cellStyle name="Tabeltitel 2 4 2" xfId="1246"/>
    <cellStyle name="Tabeltitel 2 4 2 2" xfId="2488"/>
    <cellStyle name="Tabeltitel 2 4 2 3" xfId="3912"/>
    <cellStyle name="Tabeltitel 2 4 3" xfId="1334"/>
    <cellStyle name="Tabeltitel 2 4 3 2" xfId="2575"/>
    <cellStyle name="Tabeltitel 2 4 3 3" xfId="3995"/>
    <cellStyle name="Tabeltitel 2 4 4" xfId="1295"/>
    <cellStyle name="Tabeltitel 2 4 5" xfId="2536"/>
    <cellStyle name="Tabeltitel 2 4 6" xfId="3957"/>
    <cellStyle name="Tabeltitel 2 5" xfId="1224"/>
    <cellStyle name="Tabeltitel 2 5 2" xfId="2466"/>
    <cellStyle name="Tabeltitel 2 5 3" xfId="3890"/>
    <cellStyle name="Tabeltitel 2 6" xfId="1183"/>
    <cellStyle name="Tabeltitel 2 6 2" xfId="2426"/>
    <cellStyle name="Tabeltitel 2 6 3" xfId="3851"/>
    <cellStyle name="Tabeltitel 3" xfId="214"/>
    <cellStyle name="Tabeltitel 3 2" xfId="373"/>
    <cellStyle name="Tabeltitel 3 2 2" xfId="573"/>
    <cellStyle name="Tabeltitel 3 2 2 2" xfId="719"/>
    <cellStyle name="Tabeltitel 3 2 2 2 2" xfId="1945"/>
    <cellStyle name="Tabeltitel 3 2 2 2 2 2" xfId="3184"/>
    <cellStyle name="Tabeltitel 3 2 2 2 2 3" xfId="4596"/>
    <cellStyle name="Tabeltitel 3 2 2 2 3" xfId="1630"/>
    <cellStyle name="Tabeltitel 3 2 2 2 4" xfId="2870"/>
    <cellStyle name="Tabeltitel 3 2 2 2 5" xfId="4283"/>
    <cellStyle name="Tabeltitel 3 2 2 3" xfId="1811"/>
    <cellStyle name="Tabeltitel 3 2 2 3 2" xfId="3050"/>
    <cellStyle name="Tabeltitel 3 2 2 3 3" xfId="4462"/>
    <cellStyle name="Tabeltitel 3 2 2 4" xfId="1505"/>
    <cellStyle name="Tabeltitel 3 2 2 4 2" xfId="2745"/>
    <cellStyle name="Tabeltitel 3 2 2 4 3" xfId="4159"/>
    <cellStyle name="Tabeltitel 3 2 2 5" xfId="1019"/>
    <cellStyle name="Tabeltitel 3 2 2 5 2" xfId="3687"/>
    <cellStyle name="Tabeltitel 3 2 2 6" xfId="2262"/>
    <cellStyle name="Tabeltitel 3 2 2 7" xfId="3549"/>
    <cellStyle name="Tabeltitel 3 2 3" xfId="783"/>
    <cellStyle name="Tabeltitel 3 2 3 2" xfId="2009"/>
    <cellStyle name="Tabeltitel 3 2 3 2 2" xfId="3248"/>
    <cellStyle name="Tabeltitel 3 2 3 2 3" xfId="4660"/>
    <cellStyle name="Tabeltitel 3 2 3 3" xfId="1691"/>
    <cellStyle name="Tabeltitel 3 2 3 3 2" xfId="2931"/>
    <cellStyle name="Tabeltitel 3 2 3 3 3" xfId="4344"/>
    <cellStyle name="Tabeltitel 3 2 3 4" xfId="1083"/>
    <cellStyle name="Tabeltitel 3 2 3 5" xfId="2326"/>
    <cellStyle name="Tabeltitel 3 2 3 6" xfId="3751"/>
    <cellStyle name="Tabeltitel 3 2 4" xfId="1468"/>
    <cellStyle name="Tabeltitel 3 2 4 2" xfId="2709"/>
    <cellStyle name="Tabeltitel 3 2 4 3" xfId="4126"/>
    <cellStyle name="Tabeltitel 3 2 5" xfId="1443"/>
    <cellStyle name="Tabeltitel 3 2 5 2" xfId="2684"/>
    <cellStyle name="Tabeltitel 3 2 5 3" xfId="4104"/>
    <cellStyle name="Tabeltitel 3 2 6" xfId="1250"/>
    <cellStyle name="Tabeltitel 3 2 6 2" xfId="2492"/>
    <cellStyle name="Tabeltitel 3 2 6 3" xfId="3915"/>
    <cellStyle name="Tabeltitel 3 2 7" xfId="523"/>
    <cellStyle name="Tabeltitel 3 3" xfId="462"/>
    <cellStyle name="Tabeltitel 3 3 2" xfId="598"/>
    <cellStyle name="Tabeltitel 3 3 2 2" xfId="1861"/>
    <cellStyle name="Tabeltitel 3 3 2 2 2" xfId="3100"/>
    <cellStyle name="Tabeltitel 3 3 2 2 3" xfId="4512"/>
    <cellStyle name="Tabeltitel 3 3 2 3" xfId="1524"/>
    <cellStyle name="Tabeltitel 3 3 2 4" xfId="2764"/>
    <cellStyle name="Tabeltitel 3 3 2 5" xfId="4178"/>
    <cellStyle name="Tabeltitel 3 3 3" xfId="1792"/>
    <cellStyle name="Tabeltitel 3 3 3 2" xfId="3031"/>
    <cellStyle name="Tabeltitel 3 3 3 3" xfId="4443"/>
    <cellStyle name="Tabeltitel 3 3 4" xfId="1429"/>
    <cellStyle name="Tabeltitel 3 3 4 2" xfId="2670"/>
    <cellStyle name="Tabeltitel 3 3 4 3" xfId="4090"/>
    <cellStyle name="Tabeltitel 3 3 5" xfId="895"/>
    <cellStyle name="Tabeltitel 3 3 6" xfId="2138"/>
    <cellStyle name="Tabeltitel 3 3 7" xfId="3335"/>
    <cellStyle name="Tabeltitel 3 4" xfId="586"/>
    <cellStyle name="Tabeltitel 3 4 2" xfId="1851"/>
    <cellStyle name="Tabeltitel 3 4 2 2" xfId="3090"/>
    <cellStyle name="Tabeltitel 3 4 2 3" xfId="4502"/>
    <cellStyle name="Tabeltitel 3 4 3" xfId="1513"/>
    <cellStyle name="Tabeltitel 3 4 3 2" xfId="2753"/>
    <cellStyle name="Tabeltitel 3 4 3 3" xfId="4167"/>
    <cellStyle name="Tabeltitel 3 4 4" xfId="881"/>
    <cellStyle name="Tabeltitel 3 4 5" xfId="2125"/>
    <cellStyle name="Tabeltitel 3 4 6" xfId="3570"/>
    <cellStyle name="Tabeltitel 3 5" xfId="443"/>
    <cellStyle name="Tabeltitel 3 5 2" xfId="1836"/>
    <cellStyle name="Tabeltitel 3 5 2 2" xfId="3075"/>
    <cellStyle name="Tabeltitel 3 5 2 3" xfId="4487"/>
    <cellStyle name="Tabeltitel 3 5 3" xfId="1278"/>
    <cellStyle name="Tabeltitel 3 5 3 2" xfId="2519"/>
    <cellStyle name="Tabeltitel 3 5 3 3" xfId="3940"/>
    <cellStyle name="Tabeltitel 3 5 4" xfId="416"/>
    <cellStyle name="Tabeltitel 3 5 5" xfId="2097"/>
    <cellStyle name="Tabeltitel 3 5 6" xfId="3402"/>
    <cellStyle name="Tabeltitel 3 6" xfId="450"/>
    <cellStyle name="Tabeltitel 3 6 2" xfId="1837"/>
    <cellStyle name="Tabeltitel 3 6 2 2" xfId="3076"/>
    <cellStyle name="Tabeltitel 3 6 2 3" xfId="4488"/>
    <cellStyle name="Tabeltitel 3 6 3" xfId="1340"/>
    <cellStyle name="Tabeltitel 3 6 3 2" xfId="2581"/>
    <cellStyle name="Tabeltitel 3 6 3 3" xfId="4001"/>
    <cellStyle name="Tabeltitel 3 6 4" xfId="525"/>
    <cellStyle name="Tabeltitel 3 6 5" xfId="2098"/>
    <cellStyle name="Tabeltitel 3 6 6" xfId="3410"/>
    <cellStyle name="Tabeltitel 3 7" xfId="1889"/>
    <cellStyle name="Tabeltitel 3 7 2" xfId="3128"/>
    <cellStyle name="Tabeltitel 3 7 3" xfId="4540"/>
    <cellStyle name="Tabeltitel 3 8" xfId="1611"/>
    <cellStyle name="Tabeltitel 3 8 2" xfId="2851"/>
    <cellStyle name="Tabeltitel 3 8 3" xfId="4265"/>
    <cellStyle name="Tabeltitel 3 9" xfId="1165"/>
    <cellStyle name="Tabeltitel 3 9 2" xfId="2408"/>
    <cellStyle name="Tabeltitel 3 9 3" xfId="3833"/>
    <cellStyle name="Tabeltitel 4" xfId="302"/>
    <cellStyle name="Tabeltitel 4 2" xfId="508"/>
    <cellStyle name="Tabeltitel 4 2 2" xfId="1832"/>
    <cellStyle name="Tabeltitel 4 2 2 2" xfId="3071"/>
    <cellStyle name="Tabeltitel 4 2 2 3" xfId="4483"/>
    <cellStyle name="Tabeltitel 4 2 3" xfId="1460"/>
    <cellStyle name="Tabeltitel 4 2 4" xfId="2701"/>
    <cellStyle name="Tabeltitel 4 2 5" xfId="4118"/>
    <cellStyle name="Tabeltitel 4 3" xfId="1335"/>
    <cellStyle name="Tabeltitel 4 3 2" xfId="2576"/>
    <cellStyle name="Tabeltitel 4 3 3" xfId="3996"/>
    <cellStyle name="Tabeltitel 4 4" xfId="1379"/>
    <cellStyle name="Tabeltitel 4 4 2" xfId="2620"/>
    <cellStyle name="Tabeltitel 4 4 3" xfId="4040"/>
    <cellStyle name="Tabeltitel 4 5" xfId="1223"/>
    <cellStyle name="Tabeltitel 4 5 2" xfId="2465"/>
    <cellStyle name="Tabeltitel 4 5 3" xfId="3889"/>
    <cellStyle name="Tabeltitel 4 6" xfId="427"/>
    <cellStyle name="Tabeltitel 4 6 2" xfId="3356"/>
    <cellStyle name="Tabeltitel 4 7" xfId="2093"/>
    <cellStyle name="Tabeltitel 4 8" xfId="423"/>
    <cellStyle name="Tabeltitel 4 9" xfId="3420"/>
    <cellStyle name="Tabeltitel 5" xfId="460"/>
    <cellStyle name="Tabeltitel 5 2" xfId="1427"/>
    <cellStyle name="Tabeltitel 5 2 2" xfId="2668"/>
    <cellStyle name="Tabeltitel 5 2 3" xfId="4088"/>
    <cellStyle name="Tabeltitel 5 3" xfId="1386"/>
    <cellStyle name="Tabeltitel 5 3 2" xfId="2627"/>
    <cellStyle name="Tabeltitel 5 3 3" xfId="4047"/>
    <cellStyle name="Tabeltitel 5 4" xfId="1245"/>
    <cellStyle name="Tabeltitel 5 5" xfId="2487"/>
    <cellStyle name="Tabeltitel 5 6" xfId="3911"/>
    <cellStyle name="Tabeltitel 6" xfId="1213"/>
    <cellStyle name="Tabeltitel 6 2" xfId="2455"/>
    <cellStyle name="Tabeltitel 6 3" xfId="3879"/>
    <cellStyle name="Tabeltitel 7" xfId="471"/>
    <cellStyle name="Tabeltitel 7 2" xfId="2101"/>
    <cellStyle name="Tabeltitel 7 3" xfId="3330"/>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5">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dxf>
    <dxf>
      <numFmt numFmtId="180" formatCode="0.0%"/>
    </dxf>
    <dxf>
      <numFmt numFmtId="180" formatCode="0.0%"/>
    </dxf>
    <dxf>
      <numFmt numFmtId="180" formatCode="0.0%"/>
      <fill>
        <patternFill patternType="none">
          <fgColor indexed="64"/>
          <bgColor indexed="65"/>
        </patternFill>
      </fill>
    </dxf>
    <dxf>
      <numFmt numFmtId="180" formatCode="0.0%"/>
    </dxf>
    <dxf>
      <numFmt numFmtId="180"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95450.840344149605</c:v>
                </c:pt>
                <c:pt idx="1">
                  <c:v>23194.72962337963</c:v>
                </c:pt>
                <c:pt idx="2">
                  <c:v>1007.726</c:v>
                </c:pt>
                <c:pt idx="3">
                  <c:v>14998.36792240003</c:v>
                </c:pt>
                <c:pt idx="4">
                  <c:v>5736.4180907893451</c:v>
                </c:pt>
                <c:pt idx="5">
                  <c:v>171989.90447526015</c:v>
                </c:pt>
                <c:pt idx="6">
                  <c:v>614.56858000029877</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95450.840344149605</c:v>
                </c:pt>
                <c:pt idx="1">
                  <c:v>23194.72962337963</c:v>
                </c:pt>
                <c:pt idx="2">
                  <c:v>1007.726</c:v>
                </c:pt>
                <c:pt idx="3">
                  <c:v>14998.36792240003</c:v>
                </c:pt>
                <c:pt idx="4">
                  <c:v>5736.4180907893451</c:v>
                </c:pt>
                <c:pt idx="5">
                  <c:v>171989.90447526015</c:v>
                </c:pt>
                <c:pt idx="6">
                  <c:v>614.56858000029877</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17758.06711068099</c:v>
                </c:pt>
                <c:pt idx="1">
                  <c:v>4444.7475801334695</c:v>
                </c:pt>
                <c:pt idx="2">
                  <c:v>184.52785751003779</c:v>
                </c:pt>
                <c:pt idx="3">
                  <c:v>3715.2194311188441</c:v>
                </c:pt>
                <c:pt idx="4">
                  <c:v>1166.3978993018447</c:v>
                </c:pt>
                <c:pt idx="5">
                  <c:v>42913.455236268324</c:v>
                </c:pt>
                <c:pt idx="6">
                  <c:v>155.45117659239364</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17758.06711068099</c:v>
                </c:pt>
                <c:pt idx="1">
                  <c:v>4444.7475801334695</c:v>
                </c:pt>
                <c:pt idx="2">
                  <c:v>184.52785751003779</c:v>
                </c:pt>
                <c:pt idx="3">
                  <c:v>3715.2194311188441</c:v>
                </c:pt>
                <c:pt idx="4">
                  <c:v>1166.3978993018447</c:v>
                </c:pt>
                <c:pt idx="5">
                  <c:v>42913.455236268324</c:v>
                </c:pt>
                <c:pt idx="6">
                  <c:v>155.45117659239364</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640</v>
      </c>
      <c r="B2" s="394"/>
      <c r="C2" s="395"/>
    </row>
    <row r="3" spans="1:7" s="11" customFormat="1" ht="15" customHeight="1">
      <c r="A3" s="93"/>
      <c r="B3" s="74"/>
      <c r="C3" s="94"/>
    </row>
    <row r="4" spans="1:7" s="11" customFormat="1" ht="15.75" customHeight="1" thickBot="1">
      <c r="A4" s="105" t="s">
        <v>881</v>
      </c>
      <c r="B4" s="106"/>
      <c r="C4" s="107"/>
    </row>
    <row r="5" spans="1:7" s="388" customFormat="1" ht="15.75" customHeight="1">
      <c r="A5" s="385" t="s">
        <v>0</v>
      </c>
      <c r="B5" s="386"/>
      <c r="C5" s="387"/>
    </row>
    <row r="6" spans="1:7" s="388" customFormat="1" ht="15" customHeight="1">
      <c r="A6" s="389" t="str">
        <f>txtNIS</f>
        <v>42010</v>
      </c>
      <c r="B6" s="390"/>
      <c r="C6" s="391"/>
    </row>
    <row r="7" spans="1:7" s="388" customFormat="1" ht="15.75" customHeight="1">
      <c r="A7" s="392" t="str">
        <f>txtMunicipality</f>
        <v>LAARNE</v>
      </c>
      <c r="B7" s="390"/>
      <c r="C7" s="391"/>
    </row>
    <row r="8" spans="1:7" ht="15.75" thickBot="1">
      <c r="A8" s="45"/>
      <c r="B8" s="108"/>
      <c r="C8" s="109"/>
    </row>
    <row r="9" spans="1:7" s="381" customFormat="1" ht="15.75" thickBot="1">
      <c r="A9" s="405" t="s">
        <v>356</v>
      </c>
      <c r="B9" s="408"/>
      <c r="C9" s="409"/>
    </row>
    <row r="10" spans="1:7" s="15" customFormat="1" ht="57.75" customHeight="1" thickBot="1">
      <c r="A10" s="1068" t="s">
        <v>769</v>
      </c>
      <c r="B10" s="1069"/>
      <c r="C10" s="1070"/>
    </row>
    <row r="11" spans="1:7" s="382" customFormat="1" ht="15.75" thickBot="1">
      <c r="A11" s="405" t="s">
        <v>358</v>
      </c>
      <c r="B11" s="408"/>
      <c r="C11" s="409"/>
      <c r="G11" s="383"/>
    </row>
    <row r="12" spans="1:7">
      <c r="A12" s="44"/>
      <c r="B12" s="43"/>
      <c r="C12" s="96"/>
    </row>
    <row r="13" spans="1:7" s="382" customFormat="1">
      <c r="A13" s="773" t="s">
        <v>606</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71" t="s">
        <v>510</v>
      </c>
      <c r="C16" s="1072"/>
    </row>
    <row r="17" spans="1:3" s="15" customFormat="1" ht="15.75">
      <c r="A17" s="98"/>
      <c r="B17" s="70"/>
      <c r="C17" s="99"/>
    </row>
    <row r="18" spans="1:3">
      <c r="A18" s="95" t="s">
        <v>362</v>
      </c>
      <c r="B18" s="69" t="s">
        <v>374</v>
      </c>
      <c r="C18" s="100" t="s">
        <v>373</v>
      </c>
    </row>
    <row r="19" spans="1:3" s="336" customFormat="1">
      <c r="A19" s="372" t="s">
        <v>360</v>
      </c>
      <c r="B19" s="373" t="s">
        <v>770</v>
      </c>
      <c r="C19" s="374" t="s">
        <v>508</v>
      </c>
    </row>
    <row r="20" spans="1:3" s="336" customFormat="1">
      <c r="A20" s="375"/>
      <c r="B20" s="333"/>
      <c r="C20" s="376"/>
    </row>
    <row r="21" spans="1:3" s="336" customFormat="1">
      <c r="A21" s="377" t="s">
        <v>361</v>
      </c>
      <c r="B21" s="373" t="s">
        <v>505</v>
      </c>
      <c r="C21" s="374" t="s">
        <v>509</v>
      </c>
    </row>
    <row r="22" spans="1:3" s="336" customFormat="1">
      <c r="A22" s="378"/>
      <c r="B22" s="333"/>
      <c r="C22" s="376"/>
    </row>
    <row r="23" spans="1:3" s="336" customFormat="1" ht="30">
      <c r="A23" s="372" t="s">
        <v>426</v>
      </c>
      <c r="B23" s="442" t="s">
        <v>430</v>
      </c>
      <c r="C23" s="374" t="s">
        <v>506</v>
      </c>
    </row>
    <row r="24" spans="1:3" s="336" customFormat="1">
      <c r="A24" s="378"/>
      <c r="B24" s="333"/>
      <c r="C24" s="376"/>
    </row>
    <row r="25" spans="1:3" s="336" customFormat="1">
      <c r="A25" s="372" t="s">
        <v>428</v>
      </c>
      <c r="B25" s="373" t="s">
        <v>427</v>
      </c>
      <c r="C25" s="374" t="s">
        <v>507</v>
      </c>
    </row>
    <row r="26" spans="1:3" s="336" customFormat="1">
      <c r="A26" s="378"/>
      <c r="B26" s="333"/>
      <c r="C26" s="376"/>
    </row>
    <row r="27" spans="1:3" s="336" customFormat="1">
      <c r="A27" s="372" t="s">
        <v>401</v>
      </c>
      <c r="B27" s="373" t="s">
        <v>425</v>
      </c>
      <c r="C27" s="374"/>
    </row>
    <row r="28" spans="1:3" s="336" customFormat="1">
      <c r="A28" s="378"/>
      <c r="B28" s="333" t="s">
        <v>563</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458</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9"/>
      <c r="B4" s="467"/>
      <c r="C4" s="499"/>
      <c r="D4" s="499"/>
      <c r="E4" s="499"/>
      <c r="F4" s="499"/>
      <c r="G4" s="499"/>
      <c r="H4" s="499"/>
      <c r="I4" s="499"/>
      <c r="J4" s="499"/>
      <c r="K4" s="499"/>
      <c r="L4" s="499"/>
      <c r="M4" s="499"/>
      <c r="N4" s="499"/>
      <c r="O4" s="499"/>
      <c r="P4" s="499"/>
    </row>
    <row r="5" spans="1:16" outlineLevel="1">
      <c r="A5" s="469"/>
      <c r="B5" s="467"/>
      <c r="C5" s="499"/>
      <c r="D5" s="499"/>
      <c r="E5" s="499"/>
      <c r="F5" s="499"/>
      <c r="G5" s="499"/>
      <c r="H5" s="499"/>
      <c r="I5" s="499"/>
      <c r="J5" s="499"/>
      <c r="K5" s="499"/>
      <c r="L5" s="499"/>
      <c r="M5" s="499"/>
      <c r="N5" s="499"/>
      <c r="O5" s="499"/>
      <c r="P5" s="499"/>
    </row>
    <row r="6" spans="1:16" outlineLevel="1">
      <c r="A6" s="469"/>
      <c r="B6" s="467"/>
      <c r="C6" s="499"/>
      <c r="D6" s="499"/>
      <c r="E6" s="499"/>
      <c r="F6" s="499"/>
      <c r="G6" s="499"/>
      <c r="H6" s="499"/>
      <c r="I6" s="499"/>
      <c r="J6" s="499"/>
      <c r="K6" s="499"/>
      <c r="L6" s="499"/>
      <c r="M6" s="499"/>
      <c r="N6" s="499"/>
      <c r="O6" s="499"/>
      <c r="P6" s="499"/>
    </row>
    <row r="7" spans="1:16" outlineLevel="1">
      <c r="A7" s="469"/>
      <c r="B7" s="467"/>
      <c r="C7" s="499"/>
      <c r="D7" s="499"/>
      <c r="E7" s="499"/>
      <c r="F7" s="499"/>
      <c r="G7" s="499"/>
      <c r="H7" s="499"/>
      <c r="I7" s="499"/>
      <c r="J7" s="499"/>
      <c r="K7" s="499"/>
      <c r="L7" s="499"/>
      <c r="M7" s="499"/>
      <c r="N7" s="499"/>
      <c r="O7" s="499"/>
      <c r="P7" s="499"/>
    </row>
    <row r="8" spans="1:16" outlineLevel="1">
      <c r="A8" s="682"/>
      <c r="B8" s="467"/>
      <c r="C8" s="499"/>
      <c r="D8" s="499"/>
      <c r="E8" s="499"/>
      <c r="F8" s="499"/>
      <c r="G8" s="499"/>
      <c r="H8" s="499"/>
      <c r="I8" s="499"/>
      <c r="J8" s="499"/>
      <c r="K8" s="499"/>
      <c r="L8" s="499"/>
      <c r="M8" s="499"/>
      <c r="N8" s="499"/>
      <c r="O8" s="499"/>
      <c r="P8" s="499"/>
    </row>
    <row r="9" spans="1:16" outlineLevel="1">
      <c r="A9" s="469"/>
      <c r="B9" s="467"/>
      <c r="C9" s="499"/>
      <c r="D9" s="499"/>
      <c r="E9" s="499"/>
      <c r="F9" s="499"/>
      <c r="G9" s="499"/>
      <c r="H9" s="499"/>
      <c r="I9" s="499"/>
      <c r="J9" s="499"/>
      <c r="K9" s="499"/>
      <c r="L9" s="499"/>
      <c r="M9" s="499"/>
      <c r="N9" s="499"/>
      <c r="O9" s="499"/>
      <c r="P9" s="499"/>
    </row>
    <row r="10" spans="1:16" outlineLevel="1">
      <c r="A10" s="469"/>
      <c r="B10" s="467"/>
      <c r="C10" s="499"/>
      <c r="D10" s="499"/>
      <c r="E10" s="499"/>
      <c r="F10" s="499"/>
      <c r="G10" s="499"/>
      <c r="H10" s="499"/>
      <c r="I10" s="499"/>
      <c r="J10" s="499"/>
      <c r="K10" s="499"/>
      <c r="L10" s="499"/>
      <c r="M10" s="499"/>
      <c r="N10" s="499"/>
      <c r="O10" s="499"/>
      <c r="P10" s="499"/>
    </row>
    <row r="11" spans="1:16" outlineLevel="1">
      <c r="A11" s="469"/>
      <c r="B11" s="467"/>
      <c r="C11" s="499"/>
      <c r="D11" s="499"/>
      <c r="E11" s="499"/>
      <c r="F11" s="499"/>
      <c r="G11" s="499"/>
      <c r="H11" s="499"/>
      <c r="I11" s="499"/>
      <c r="J11" s="499"/>
      <c r="K11" s="499"/>
      <c r="L11" s="499"/>
      <c r="M11" s="499"/>
      <c r="N11" s="499"/>
      <c r="O11" s="499"/>
      <c r="P11" s="499"/>
    </row>
    <row r="12" spans="1:16" ht="15.75" outlineLevel="1" thickBot="1">
      <c r="A12" s="469"/>
      <c r="B12" s="467"/>
      <c r="C12" s="499"/>
      <c r="D12" s="499"/>
      <c r="E12" s="499"/>
      <c r="F12" s="499"/>
      <c r="G12" s="499"/>
      <c r="H12" s="499"/>
      <c r="I12" s="499"/>
      <c r="J12" s="499"/>
      <c r="K12" s="499"/>
      <c r="L12" s="499"/>
      <c r="M12" s="499"/>
      <c r="N12" s="499"/>
      <c r="O12" s="499"/>
      <c r="P12" s="499"/>
    </row>
    <row r="13" spans="1:16" ht="25.5" customHeight="1" outlineLevel="1" thickBot="1">
      <c r="A13" s="470" t="s">
        <v>566</v>
      </c>
      <c r="B13" s="452"/>
      <c r="C13" s="471"/>
      <c r="D13" s="471"/>
      <c r="E13" s="471"/>
      <c r="F13" s="471"/>
      <c r="G13" s="471"/>
      <c r="H13" s="471"/>
      <c r="I13" s="471"/>
      <c r="J13" s="471"/>
      <c r="K13" s="471"/>
      <c r="L13" s="471"/>
      <c r="M13" s="471"/>
      <c r="N13" s="471"/>
      <c r="O13" s="1191"/>
      <c r="P13" s="1191"/>
    </row>
    <row r="14" spans="1:16" outlineLevel="1">
      <c r="A14" s="469"/>
      <c r="B14" s="52"/>
      <c r="C14" s="499"/>
      <c r="D14" s="499"/>
      <c r="E14" s="499"/>
      <c r="F14" s="499"/>
      <c r="G14" s="499"/>
      <c r="H14" s="499"/>
      <c r="I14" s="499"/>
      <c r="J14" s="499"/>
      <c r="K14" s="499"/>
      <c r="L14" s="499"/>
      <c r="M14" s="499"/>
      <c r="N14" s="499"/>
      <c r="O14" s="499"/>
      <c r="P14" s="499"/>
    </row>
    <row r="15" spans="1:16" s="463" customFormat="1" outlineLevel="1">
      <c r="A15" s="472" t="s">
        <v>305</v>
      </c>
      <c r="B15" s="473">
        <f>SUM(B4:B12)</f>
        <v>0</v>
      </c>
      <c r="C15" s="474"/>
      <c r="D15" s="474"/>
      <c r="E15" s="474"/>
      <c r="F15" s="474"/>
      <c r="G15" s="474"/>
      <c r="H15" s="474"/>
      <c r="I15" s="474"/>
      <c r="J15" s="474"/>
      <c r="K15" s="474"/>
      <c r="L15" s="474"/>
      <c r="M15" s="474"/>
      <c r="N15" s="474"/>
      <c r="O15" s="475"/>
      <c r="P15" s="475"/>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0.18311312550240619</v>
      </c>
      <c r="C17" s="501">
        <f ca="1">'EF ele_warmte'!B22</f>
        <v>0.23764705882352943</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c r="D19" s="478"/>
      <c r="E19" s="478"/>
      <c r="F19" s="478"/>
      <c r="G19" s="478"/>
      <c r="H19" s="478"/>
      <c r="I19" s="478"/>
      <c r="J19" s="478"/>
      <c r="K19" s="478"/>
      <c r="L19" s="478"/>
      <c r="M19" s="478"/>
      <c r="N19" s="478"/>
      <c r="O19" s="478"/>
      <c r="P19" s="47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62" t="s">
        <v>327</v>
      </c>
      <c r="B1" s="1185" t="s">
        <v>194</v>
      </c>
      <c r="C1" s="1186"/>
      <c r="D1" s="1186"/>
      <c r="E1" s="1186"/>
      <c r="F1" s="1186"/>
      <c r="G1" s="1186"/>
      <c r="H1" s="1186"/>
      <c r="I1" s="1186"/>
      <c r="J1" s="1186"/>
      <c r="K1" s="1186"/>
      <c r="L1" s="1186"/>
      <c r="M1" s="1186"/>
      <c r="N1" s="1186"/>
      <c r="O1" s="1186"/>
      <c r="P1" s="1186"/>
    </row>
    <row r="2" spans="1:16" ht="15" customHeight="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7"/>
      <c r="C4" s="499"/>
      <c r="D4" s="468"/>
      <c r="E4" s="468"/>
      <c r="F4" s="499"/>
      <c r="G4" s="468"/>
      <c r="H4" s="468"/>
      <c r="I4" s="499"/>
      <c r="J4" s="499"/>
      <c r="K4" s="499"/>
      <c r="L4" s="499"/>
      <c r="M4" s="499"/>
      <c r="N4" s="499"/>
      <c r="O4" s="499"/>
      <c r="P4" s="499"/>
    </row>
    <row r="5" spans="1:16">
      <c r="B5" s="467"/>
      <c r="C5" s="52"/>
      <c r="D5" s="467"/>
      <c r="E5" s="467"/>
      <c r="F5" s="52"/>
      <c r="G5" s="467"/>
      <c r="H5" s="467"/>
      <c r="I5" s="52"/>
      <c r="J5" s="52"/>
      <c r="K5" s="52"/>
      <c r="L5" s="52"/>
      <c r="M5" s="52"/>
      <c r="N5" s="52"/>
      <c r="O5" s="52"/>
      <c r="P5" s="52"/>
    </row>
    <row r="6" spans="1:16">
      <c r="B6" s="467"/>
      <c r="C6" s="52"/>
      <c r="D6" s="467"/>
      <c r="E6" s="467"/>
      <c r="F6" s="52"/>
      <c r="G6" s="467"/>
      <c r="H6" s="467"/>
      <c r="I6" s="52"/>
      <c r="J6" s="52"/>
      <c r="K6" s="52"/>
      <c r="L6" s="52"/>
      <c r="M6" s="52"/>
      <c r="N6" s="52"/>
      <c r="O6" s="52"/>
      <c r="P6" s="52"/>
    </row>
    <row r="7" spans="1:16">
      <c r="B7" s="467"/>
      <c r="C7" s="52"/>
      <c r="D7" s="467"/>
      <c r="E7" s="467"/>
      <c r="F7" s="52"/>
      <c r="G7" s="467"/>
      <c r="H7" s="467"/>
      <c r="I7" s="52"/>
      <c r="J7" s="52"/>
      <c r="K7" s="52"/>
      <c r="L7" s="52"/>
      <c r="M7" s="52"/>
      <c r="N7" s="52"/>
      <c r="O7" s="52"/>
      <c r="P7" s="52"/>
    </row>
    <row r="8" spans="1:16">
      <c r="A8" s="463"/>
      <c r="B8" s="467"/>
      <c r="C8" s="52"/>
      <c r="D8" s="467"/>
      <c r="E8" s="467"/>
      <c r="F8" s="52"/>
      <c r="G8" s="467"/>
      <c r="H8" s="467"/>
      <c r="I8" s="52"/>
      <c r="J8" s="52"/>
      <c r="K8" s="52"/>
      <c r="L8" s="52"/>
      <c r="M8" s="52"/>
      <c r="N8" s="52"/>
      <c r="O8" s="52"/>
      <c r="P8" s="52"/>
    </row>
    <row r="9" spans="1:16">
      <c r="B9" s="467"/>
      <c r="C9" s="52"/>
      <c r="D9" s="467"/>
      <c r="E9" s="467"/>
      <c r="F9" s="52"/>
      <c r="G9" s="467"/>
      <c r="H9" s="467"/>
      <c r="I9" s="52"/>
      <c r="J9" s="52"/>
      <c r="K9" s="52"/>
      <c r="L9" s="52"/>
      <c r="M9" s="52"/>
      <c r="N9" s="52"/>
      <c r="O9" s="52"/>
      <c r="P9" s="52"/>
    </row>
    <row r="10" spans="1:16">
      <c r="B10" s="467"/>
      <c r="C10" s="52"/>
      <c r="D10" s="467"/>
      <c r="E10" s="467"/>
      <c r="F10" s="52"/>
      <c r="G10" s="467"/>
      <c r="H10" s="467"/>
      <c r="I10" s="52"/>
      <c r="J10" s="52"/>
      <c r="K10" s="52"/>
      <c r="L10" s="52"/>
      <c r="M10" s="52"/>
      <c r="N10" s="52"/>
      <c r="O10" s="52"/>
      <c r="P10" s="52"/>
    </row>
    <row r="11" spans="1:16">
      <c r="B11" s="467"/>
      <c r="C11" s="52"/>
      <c r="D11" s="467"/>
      <c r="E11" s="467"/>
      <c r="F11" s="52"/>
      <c r="G11" s="467"/>
      <c r="H11" s="467"/>
      <c r="I11" s="52"/>
      <c r="J11" s="52"/>
      <c r="K11" s="52"/>
      <c r="L11" s="52"/>
      <c r="M11" s="52"/>
      <c r="N11" s="52"/>
      <c r="O11" s="52"/>
      <c r="P11" s="52"/>
    </row>
    <row r="12" spans="1:16">
      <c r="B12" s="467"/>
      <c r="C12" s="52"/>
      <c r="D12" s="467"/>
      <c r="E12" s="467"/>
      <c r="F12" s="52"/>
      <c r="G12" s="467"/>
      <c r="H12" s="467"/>
      <c r="I12" s="52"/>
      <c r="J12" s="52"/>
      <c r="K12" s="52"/>
      <c r="L12" s="52"/>
      <c r="M12" s="52"/>
      <c r="N12" s="52"/>
      <c r="O12" s="52"/>
      <c r="P12" s="52"/>
    </row>
    <row r="13" spans="1:16">
      <c r="B13" s="467"/>
      <c r="C13" s="52"/>
      <c r="D13" s="467"/>
      <c r="E13" s="467"/>
      <c r="F13" s="52"/>
      <c r="G13" s="467"/>
      <c r="H13" s="467"/>
      <c r="I13" s="52"/>
      <c r="J13" s="52"/>
      <c r="K13" s="52"/>
      <c r="L13" s="52"/>
      <c r="M13" s="52"/>
      <c r="N13" s="52"/>
      <c r="O13" s="52"/>
      <c r="P13" s="52"/>
    </row>
    <row r="14" spans="1:16">
      <c r="B14" s="467"/>
      <c r="C14" s="52"/>
      <c r="D14" s="467"/>
      <c r="E14" s="467"/>
      <c r="F14" s="52"/>
      <c r="G14" s="467"/>
      <c r="H14" s="467"/>
      <c r="I14" s="52"/>
      <c r="J14" s="52"/>
      <c r="K14" s="52"/>
      <c r="L14" s="52"/>
      <c r="M14" s="52"/>
      <c r="N14" s="52"/>
      <c r="O14" s="52"/>
      <c r="P14" s="52"/>
    </row>
    <row r="15" spans="1:16">
      <c r="B15" s="467"/>
      <c r="C15" s="52"/>
      <c r="D15" s="467"/>
      <c r="E15" s="467"/>
      <c r="F15" s="52"/>
      <c r="G15" s="467"/>
      <c r="H15" s="467"/>
      <c r="I15" s="52"/>
      <c r="J15" s="52"/>
      <c r="K15" s="52"/>
      <c r="L15" s="52"/>
      <c r="M15" s="52"/>
      <c r="N15" s="52"/>
      <c r="O15" s="52"/>
      <c r="P15" s="52"/>
    </row>
    <row r="16" spans="1:16">
      <c r="B16" s="467"/>
      <c r="C16" s="52"/>
      <c r="D16" s="467"/>
      <c r="E16" s="467"/>
      <c r="F16" s="52"/>
      <c r="G16" s="467"/>
      <c r="H16" s="467"/>
      <c r="I16" s="52"/>
      <c r="J16" s="52"/>
      <c r="K16" s="52"/>
      <c r="L16" s="52"/>
      <c r="M16" s="52"/>
      <c r="N16" s="52"/>
      <c r="O16" s="52"/>
      <c r="P16" s="52"/>
    </row>
    <row r="17" spans="1:16">
      <c r="B17" s="467"/>
      <c r="C17" s="52"/>
      <c r="D17" s="467"/>
      <c r="E17" s="467"/>
      <c r="F17" s="52"/>
      <c r="G17" s="467"/>
      <c r="H17" s="467"/>
      <c r="I17" s="52"/>
      <c r="J17" s="52"/>
      <c r="K17" s="52"/>
      <c r="L17" s="52"/>
      <c r="M17" s="52"/>
      <c r="N17" s="52"/>
      <c r="O17" s="52"/>
      <c r="P17" s="52"/>
    </row>
    <row r="18" spans="1:16">
      <c r="B18" s="467"/>
      <c r="C18" s="52"/>
      <c r="D18" s="467"/>
      <c r="E18" s="467"/>
      <c r="F18" s="52"/>
      <c r="G18" s="467"/>
      <c r="H18" s="467"/>
      <c r="I18" s="52"/>
      <c r="J18" s="52"/>
      <c r="K18" s="52"/>
      <c r="L18" s="52"/>
      <c r="M18" s="52"/>
      <c r="N18" s="52"/>
      <c r="O18" s="52"/>
      <c r="P18" s="52"/>
    </row>
    <row r="19" spans="1:16">
      <c r="B19" s="467"/>
      <c r="C19" s="52"/>
      <c r="D19" s="467"/>
      <c r="E19" s="467"/>
      <c r="F19" s="52"/>
      <c r="G19" s="467"/>
      <c r="H19" s="467"/>
      <c r="I19" s="52"/>
      <c r="J19" s="52"/>
      <c r="K19" s="52"/>
      <c r="L19" s="52"/>
      <c r="M19" s="52"/>
      <c r="N19" s="52"/>
      <c r="O19" s="52"/>
      <c r="P19" s="52"/>
    </row>
    <row r="20" spans="1:16">
      <c r="B20" s="467"/>
      <c r="C20" s="52"/>
      <c r="D20" s="467"/>
      <c r="E20" s="467"/>
      <c r="F20" s="52"/>
      <c r="G20" s="467"/>
      <c r="H20" s="467"/>
      <c r="I20" s="52"/>
      <c r="J20" s="52"/>
      <c r="K20" s="52"/>
      <c r="L20" s="52"/>
      <c r="M20" s="52"/>
      <c r="N20" s="52"/>
      <c r="O20" s="52"/>
      <c r="P20" s="52"/>
    </row>
    <row r="21" spans="1:16">
      <c r="B21" s="467"/>
      <c r="C21" s="52"/>
      <c r="D21" s="467"/>
      <c r="E21" s="467"/>
      <c r="F21" s="52"/>
      <c r="G21" s="467"/>
      <c r="H21" s="467"/>
      <c r="I21" s="52"/>
      <c r="J21" s="52"/>
      <c r="K21" s="52"/>
      <c r="L21" s="52"/>
      <c r="M21" s="52"/>
      <c r="N21" s="52"/>
      <c r="O21" s="52"/>
      <c r="P21" s="52"/>
    </row>
    <row r="22" spans="1:16">
      <c r="B22" s="467"/>
      <c r="C22" s="52"/>
      <c r="D22" s="467"/>
      <c r="E22" s="467"/>
      <c r="F22" s="52"/>
      <c r="G22" s="467"/>
      <c r="H22" s="467"/>
      <c r="I22" s="52"/>
      <c r="J22" s="52"/>
      <c r="K22" s="52"/>
      <c r="L22" s="52"/>
      <c r="M22" s="52"/>
      <c r="N22" s="52"/>
      <c r="O22" s="52"/>
      <c r="P22" s="52"/>
    </row>
    <row r="23" spans="1:16" ht="15.75" thickBot="1">
      <c r="B23" s="467"/>
      <c r="C23" s="52"/>
      <c r="D23" s="467"/>
      <c r="E23" s="467"/>
      <c r="F23" s="52"/>
      <c r="G23" s="467"/>
      <c r="H23" s="467"/>
      <c r="I23" s="52"/>
      <c r="J23" s="52"/>
      <c r="K23" s="52"/>
      <c r="L23" s="52"/>
      <c r="M23" s="52"/>
      <c r="N23" s="52"/>
      <c r="O23" s="52"/>
      <c r="P23" s="52"/>
    </row>
    <row r="24" spans="1:16" ht="15.75" thickBot="1">
      <c r="A24" s="470" t="s">
        <v>566</v>
      </c>
    </row>
    <row r="26" spans="1:16" s="463" customFormat="1">
      <c r="A26" s="472" t="s">
        <v>515</v>
      </c>
      <c r="B26" s="472">
        <f t="shared" ref="B26:H26" si="0">SUM(B4:B23)</f>
        <v>0</v>
      </c>
      <c r="C26" s="472"/>
      <c r="D26" s="472">
        <f t="shared" si="0"/>
        <v>0</v>
      </c>
      <c r="E26" s="472">
        <f t="shared" si="0"/>
        <v>0</v>
      </c>
      <c r="F26" s="472"/>
      <c r="G26" s="472">
        <f t="shared" si="0"/>
        <v>0</v>
      </c>
      <c r="H26" s="472">
        <f t="shared" si="0"/>
        <v>0</v>
      </c>
      <c r="I26" s="472"/>
      <c r="J26" s="472"/>
      <c r="K26" s="472"/>
      <c r="L26" s="472"/>
      <c r="M26" s="472"/>
      <c r="N26" s="472"/>
      <c r="O26" s="472"/>
      <c r="P26" s="472"/>
    </row>
    <row r="27" spans="1:16" s="463" customFormat="1">
      <c r="A27" s="472" t="s">
        <v>584</v>
      </c>
      <c r="B27" s="472">
        <f>B26</f>
        <v>0</v>
      </c>
      <c r="C27" s="472"/>
      <c r="D27" s="472">
        <f>D26</f>
        <v>0</v>
      </c>
      <c r="E27" s="472">
        <f>E26</f>
        <v>0</v>
      </c>
      <c r="F27" s="472"/>
      <c r="G27" s="472">
        <f>(1-transport!C35)*'Eigen vloot'!G26</f>
        <v>0</v>
      </c>
      <c r="H27" s="472">
        <f>(1-transport!C42)*'Eigen vloot'!H26</f>
        <v>0</v>
      </c>
      <c r="I27" s="472"/>
      <c r="J27" s="472"/>
      <c r="K27" s="472"/>
      <c r="L27" s="472"/>
      <c r="M27" s="683">
        <f>G26*transport!C35+'Eigen vloot'!H26*transport!C42</f>
        <v>0</v>
      </c>
      <c r="N27" s="472"/>
      <c r="O27" s="472"/>
      <c r="P27" s="472"/>
    </row>
    <row r="29" spans="1:16">
      <c r="A29" s="477" t="s">
        <v>593</v>
      </c>
      <c r="B29" s="502">
        <f ca="1">'EF ele_warmte'!B12</f>
        <v>0.18311312550240619</v>
      </c>
      <c r="C29" s="502">
        <f ca="1">'EF ele_warmte'!B22</f>
        <v>0.23764705882352943</v>
      </c>
      <c r="D29" s="502">
        <f>EF_CO2_aardgas</f>
        <v>0.20200000000000001</v>
      </c>
      <c r="E29" s="502">
        <f>EF_VLgas_CO2</f>
        <v>0.22700000000000001</v>
      </c>
      <c r="F29" s="502">
        <f>EF_stookolie_CO2</f>
        <v>0.26700000000000002</v>
      </c>
      <c r="G29" s="502">
        <f>EF_diesel_CO2</f>
        <v>0.26700000000000002</v>
      </c>
      <c r="H29" s="502">
        <f>EF_benzine_CO2</f>
        <v>0.249</v>
      </c>
      <c r="I29" s="502">
        <f>EF_bruinkool_CO2</f>
        <v>0.35099999999999998</v>
      </c>
      <c r="J29" s="502">
        <f>EF_steenkool_CO2</f>
        <v>0.35399999999999998</v>
      </c>
      <c r="K29" s="502">
        <f>EF_anderfossiel_CO2</f>
        <v>0.26400000000000001</v>
      </c>
      <c r="L29" s="502">
        <f>'EF brandstof'!J4</f>
        <v>0</v>
      </c>
      <c r="M29" s="502">
        <f>'EF brandstof'!K4</f>
        <v>0</v>
      </c>
      <c r="N29" s="502">
        <f>'EF brandstof'!L4</f>
        <v>0</v>
      </c>
      <c r="O29" s="502">
        <v>0</v>
      </c>
      <c r="P29" s="502">
        <v>0</v>
      </c>
    </row>
    <row r="31" spans="1:16">
      <c r="A31" s="472" t="s">
        <v>212</v>
      </c>
      <c r="B31" s="684">
        <f ca="1">B27*B29</f>
        <v>0</v>
      </c>
      <c r="C31" s="684"/>
      <c r="D31" s="684">
        <f>D27*D29</f>
        <v>0</v>
      </c>
      <c r="E31" s="684">
        <f>E27*E29</f>
        <v>0</v>
      </c>
      <c r="F31" s="684"/>
      <c r="G31" s="684">
        <f>G27*G29</f>
        <v>0</v>
      </c>
      <c r="H31" s="684">
        <f>H27*H29</f>
        <v>0</v>
      </c>
      <c r="I31" s="684"/>
      <c r="J31" s="684"/>
      <c r="K31" s="684"/>
      <c r="L31" s="684"/>
      <c r="M31" s="684">
        <f>M27*M29</f>
        <v>0</v>
      </c>
      <c r="N31" s="500"/>
      <c r="O31" s="500"/>
      <c r="P31" s="50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512</v>
      </c>
      <c r="B2" s="503"/>
      <c r="C2" s="185"/>
      <c r="D2" s="186"/>
    </row>
    <row r="3" spans="1:11">
      <c r="A3" s="101"/>
      <c r="B3" s="504"/>
      <c r="C3" s="141" t="s">
        <v>181</v>
      </c>
      <c r="D3" s="144" t="s">
        <v>386</v>
      </c>
    </row>
    <row r="4" spans="1:11">
      <c r="A4" s="44" t="s">
        <v>431</v>
      </c>
      <c r="B4" s="47"/>
      <c r="C4" s="32"/>
      <c r="D4" s="143" t="s">
        <v>388</v>
      </c>
    </row>
    <row r="5" spans="1:11">
      <c r="A5" s="44"/>
      <c r="B5" s="48"/>
      <c r="C5" s="32"/>
      <c r="D5" s="143"/>
    </row>
    <row r="6" spans="1:11" s="10" customFormat="1" ht="21.75" thickBot="1">
      <c r="A6" s="189" t="s">
        <v>464</v>
      </c>
      <c r="B6" s="505"/>
      <c r="C6" s="190"/>
      <c r="D6" s="191"/>
    </row>
    <row r="7" spans="1:11" s="43" customFormat="1" ht="15.75" thickBot="1">
      <c r="B7" s="452"/>
    </row>
    <row r="8" spans="1:11" s="43" customFormat="1">
      <c r="A8" s="184" t="s">
        <v>525</v>
      </c>
      <c r="B8" s="503"/>
      <c r="C8" s="185"/>
      <c r="D8" s="186"/>
    </row>
    <row r="9" spans="1:11" s="32" customFormat="1">
      <c r="A9" s="46"/>
      <c r="B9" s="506"/>
      <c r="C9" s="42"/>
      <c r="D9" s="301"/>
    </row>
    <row r="10" spans="1:11">
      <c r="A10" s="302" t="s">
        <v>554</v>
      </c>
      <c r="B10" s="504"/>
      <c r="C10" s="141" t="s">
        <v>181</v>
      </c>
      <c r="D10" s="144" t="s">
        <v>386</v>
      </c>
      <c r="I10" s="1192"/>
      <c r="K10" s="58"/>
    </row>
    <row r="11" spans="1:11" s="43" customFormat="1">
      <c r="A11" s="44" t="s">
        <v>555</v>
      </c>
      <c r="B11" s="47"/>
      <c r="D11" s="142" t="s">
        <v>387</v>
      </c>
      <c r="I11" s="1192"/>
      <c r="K11" s="58"/>
    </row>
    <row r="12" spans="1:11" s="43" customFormat="1">
      <c r="A12" s="44" t="s">
        <v>556</v>
      </c>
      <c r="B12" s="47"/>
      <c r="D12" s="142" t="s">
        <v>387</v>
      </c>
      <c r="I12" s="1192"/>
      <c r="K12" s="58"/>
    </row>
    <row r="13" spans="1:11" s="43" customFormat="1">
      <c r="A13" s="44"/>
      <c r="B13" s="452"/>
      <c r="D13" s="96"/>
      <c r="I13" s="1192"/>
    </row>
    <row r="14" spans="1:11" s="43" customFormat="1">
      <c r="A14" s="302" t="s">
        <v>553</v>
      </c>
      <c r="B14" s="504"/>
      <c r="C14" s="141" t="s">
        <v>181</v>
      </c>
      <c r="D14" s="144" t="s">
        <v>386</v>
      </c>
      <c r="I14" s="1192"/>
    </row>
    <row r="15" spans="1:11" s="43" customFormat="1">
      <c r="A15" s="44" t="s">
        <v>70</v>
      </c>
      <c r="B15" s="47"/>
      <c r="D15" s="142" t="s">
        <v>387</v>
      </c>
      <c r="I15" s="1192"/>
      <c r="J15" s="1192"/>
    </row>
    <row r="16" spans="1:11" s="43" customFormat="1">
      <c r="A16" s="44" t="s">
        <v>517</v>
      </c>
      <c r="B16" s="47"/>
      <c r="D16" s="142" t="s">
        <v>387</v>
      </c>
      <c r="I16" s="1192"/>
      <c r="J16" s="1192"/>
    </row>
    <row r="17" spans="1:11" s="43" customFormat="1">
      <c r="A17" s="44" t="s">
        <v>77</v>
      </c>
      <c r="B17" s="47"/>
      <c r="D17" s="142" t="s">
        <v>387</v>
      </c>
      <c r="I17" s="1192"/>
      <c r="J17" s="1192"/>
    </row>
    <row r="18" spans="1:11" s="43" customFormat="1">
      <c r="A18" s="44" t="s">
        <v>518</v>
      </c>
      <c r="B18" s="47"/>
      <c r="D18" s="142" t="s">
        <v>387</v>
      </c>
      <c r="I18" s="1192"/>
      <c r="J18" s="1192"/>
      <c r="K18" s="58"/>
    </row>
    <row r="19" spans="1:11" s="43" customFormat="1">
      <c r="A19" s="44" t="s">
        <v>76</v>
      </c>
      <c r="B19" s="47"/>
      <c r="D19" s="142" t="s">
        <v>387</v>
      </c>
      <c r="I19" s="1192"/>
      <c r="J19" s="1193"/>
      <c r="K19" s="58"/>
    </row>
    <row r="20" spans="1:11" s="43" customFormat="1">
      <c r="A20" s="32" t="s">
        <v>519</v>
      </c>
      <c r="B20" s="47"/>
      <c r="D20" s="142" t="s">
        <v>387</v>
      </c>
      <c r="I20" s="303"/>
      <c r="J20" s="304"/>
      <c r="K20" s="58"/>
    </row>
    <row r="21" spans="1:11" s="43" customFormat="1">
      <c r="A21" s="32" t="s">
        <v>520</v>
      </c>
      <c r="B21" s="47"/>
      <c r="D21" s="142" t="s">
        <v>387</v>
      </c>
      <c r="I21" s="303"/>
      <c r="J21" s="304"/>
      <c r="K21" s="58"/>
    </row>
    <row r="22" spans="1:11" s="43" customFormat="1">
      <c r="A22" s="32" t="s">
        <v>521</v>
      </c>
      <c r="B22" s="47"/>
      <c r="D22" s="142" t="s">
        <v>387</v>
      </c>
      <c r="I22" s="303"/>
      <c r="J22" s="304"/>
      <c r="K22" s="58"/>
    </row>
    <row r="23" spans="1:11">
      <c r="A23" s="32" t="s">
        <v>522</v>
      </c>
      <c r="B23" s="47"/>
      <c r="C23" s="43"/>
      <c r="D23" s="142" t="s">
        <v>387</v>
      </c>
      <c r="I23" s="58"/>
      <c r="J23" s="58"/>
      <c r="K23" s="58"/>
    </row>
    <row r="24" spans="1:11">
      <c r="A24" s="32" t="s">
        <v>523</v>
      </c>
      <c r="B24" s="47"/>
      <c r="C24" s="43"/>
      <c r="D24" s="142" t="s">
        <v>387</v>
      </c>
      <c r="I24" s="58"/>
      <c r="J24" s="58"/>
      <c r="K24" s="58"/>
    </row>
    <row r="25" spans="1:11">
      <c r="A25" s="58"/>
      <c r="B25" s="48"/>
      <c r="C25" s="43"/>
      <c r="D25" s="142"/>
      <c r="I25" s="58"/>
      <c r="J25" s="58"/>
      <c r="K25" s="58"/>
    </row>
    <row r="26" spans="1:11" ht="21.75" thickBot="1">
      <c r="A26" s="189" t="s">
        <v>564</v>
      </c>
      <c r="B26" s="507"/>
      <c r="C26" s="108"/>
      <c r="D26" s="109"/>
      <c r="I26" s="58"/>
      <c r="J26" s="58"/>
      <c r="K26" s="58"/>
    </row>
    <row r="28" spans="1:11" ht="15.75" thickBot="1"/>
    <row r="29" spans="1:11" s="43" customFormat="1">
      <c r="A29" s="184" t="s">
        <v>513</v>
      </c>
      <c r="B29" s="503"/>
      <c r="C29" s="185"/>
      <c r="D29" s="186"/>
    </row>
    <row r="30" spans="1:11" s="32" customFormat="1">
      <c r="A30" s="46"/>
      <c r="B30" s="506"/>
      <c r="C30" s="42"/>
      <c r="D30" s="301"/>
    </row>
    <row r="31" spans="1:11">
      <c r="A31" s="302" t="s">
        <v>554</v>
      </c>
      <c r="B31" s="504"/>
      <c r="C31" s="141" t="s">
        <v>181</v>
      </c>
      <c r="D31" s="144" t="s">
        <v>386</v>
      </c>
    </row>
    <row r="32" spans="1:11">
      <c r="A32" s="441" t="s">
        <v>555</v>
      </c>
      <c r="B32" s="47"/>
      <c r="C32" s="48"/>
      <c r="D32" s="142" t="s">
        <v>387</v>
      </c>
    </row>
    <row r="33" spans="1:11">
      <c r="A33" s="44"/>
      <c r="B33" s="48"/>
      <c r="C33" s="48"/>
      <c r="D33" s="142"/>
    </row>
    <row r="34" spans="1:11" s="43" customFormat="1">
      <c r="A34" s="302" t="s">
        <v>553</v>
      </c>
      <c r="B34" s="504"/>
      <c r="C34" s="141" t="s">
        <v>181</v>
      </c>
      <c r="D34" s="144" t="s">
        <v>386</v>
      </c>
      <c r="I34"/>
    </row>
    <row r="35" spans="1:11" s="43" customFormat="1">
      <c r="A35" s="440" t="s">
        <v>70</v>
      </c>
      <c r="B35" s="47"/>
      <c r="D35" s="142" t="s">
        <v>387</v>
      </c>
      <c r="I35" s="1192"/>
      <c r="J35" s="1192"/>
    </row>
    <row r="36" spans="1:11" s="43" customFormat="1">
      <c r="A36" s="440" t="s">
        <v>517</v>
      </c>
      <c r="B36" s="47"/>
      <c r="D36" s="142" t="s">
        <v>387</v>
      </c>
      <c r="I36" s="1192"/>
      <c r="J36" s="1192"/>
    </row>
    <row r="37" spans="1:11" s="43" customFormat="1">
      <c r="A37" s="440" t="s">
        <v>77</v>
      </c>
      <c r="B37" s="47"/>
      <c r="D37" s="142" t="s">
        <v>387</v>
      </c>
      <c r="I37" s="1192"/>
      <c r="J37" s="1192"/>
    </row>
    <row r="38" spans="1:11" s="43" customFormat="1">
      <c r="A38" s="440" t="s">
        <v>518</v>
      </c>
      <c r="B38" s="47"/>
      <c r="D38" s="142" t="s">
        <v>387</v>
      </c>
      <c r="I38" s="1192"/>
      <c r="J38" s="1192"/>
      <c r="K38" s="58"/>
    </row>
    <row r="39" spans="1:11" s="43" customFormat="1">
      <c r="A39" s="440" t="s">
        <v>76</v>
      </c>
      <c r="B39" s="47"/>
      <c r="D39" s="142" t="s">
        <v>387</v>
      </c>
      <c r="I39" s="1192"/>
      <c r="J39" s="1193"/>
      <c r="K39" s="58"/>
    </row>
    <row r="40" spans="1:11" s="43" customFormat="1">
      <c r="A40" s="181" t="s">
        <v>519</v>
      </c>
      <c r="B40" s="48"/>
      <c r="D40" s="142" t="s">
        <v>387</v>
      </c>
      <c r="I40" s="303"/>
      <c r="J40" s="304"/>
      <c r="K40" s="58"/>
    </row>
    <row r="41" spans="1:11" s="43" customFormat="1">
      <c r="A41" s="181" t="s">
        <v>520</v>
      </c>
      <c r="B41" s="47"/>
      <c r="D41" s="142" t="s">
        <v>387</v>
      </c>
      <c r="I41" s="303"/>
      <c r="J41" s="304"/>
      <c r="K41" s="58"/>
    </row>
    <row r="42" spans="1:11" s="43" customFormat="1">
      <c r="A42" s="181" t="s">
        <v>521</v>
      </c>
      <c r="B42" s="47"/>
      <c r="D42" s="142" t="s">
        <v>387</v>
      </c>
      <c r="I42" s="303"/>
      <c r="J42" s="304"/>
      <c r="K42" s="58"/>
    </row>
    <row r="43" spans="1:11">
      <c r="A43" s="181" t="s">
        <v>522</v>
      </c>
      <c r="B43" s="47"/>
      <c r="C43" s="43"/>
      <c r="D43" s="142" t="s">
        <v>387</v>
      </c>
      <c r="I43" s="58"/>
      <c r="J43" s="58"/>
      <c r="K43" s="58"/>
    </row>
    <row r="44" spans="1:11">
      <c r="A44" s="181" t="s">
        <v>523</v>
      </c>
      <c r="B44" s="47"/>
      <c r="C44" s="43"/>
      <c r="D44" s="142" t="s">
        <v>387</v>
      </c>
      <c r="I44" s="58"/>
      <c r="J44" s="58"/>
      <c r="K44" s="58"/>
    </row>
    <row r="45" spans="1:11" s="887" customFormat="1">
      <c r="A45" s="181" t="s">
        <v>729</v>
      </c>
      <c r="B45" s="47"/>
      <c r="C45" s="43"/>
      <c r="D45" s="142" t="s">
        <v>387</v>
      </c>
      <c r="I45" s="58"/>
      <c r="J45" s="58"/>
      <c r="K45" s="58"/>
    </row>
    <row r="46" spans="1:11" s="887" customFormat="1">
      <c r="A46" s="181" t="s">
        <v>730</v>
      </c>
      <c r="B46" s="47"/>
      <c r="C46" s="43"/>
      <c r="D46" s="142" t="s">
        <v>387</v>
      </c>
      <c r="I46" s="58"/>
      <c r="J46" s="58"/>
      <c r="K46" s="58"/>
    </row>
    <row r="47" spans="1:11" s="15" customFormat="1" ht="21.75" thickBot="1">
      <c r="A47" s="974"/>
      <c r="B47" s="187"/>
      <c r="C47" s="153"/>
      <c r="D47" s="305"/>
      <c r="I47" s="58"/>
      <c r="J47" s="58"/>
      <c r="K47" s="58"/>
    </row>
    <row r="48" spans="1:11" s="15" customFormat="1">
      <c r="A48" s="58"/>
      <c r="B48" s="48"/>
      <c r="C48" s="32"/>
      <c r="D48" s="32"/>
      <c r="I48" s="58"/>
      <c r="J48" s="58"/>
      <c r="K48" s="58"/>
    </row>
    <row r="49" spans="1:4" ht="15.75" thickBot="1"/>
    <row r="50" spans="1:4" s="43" customFormat="1">
      <c r="A50" s="184" t="s">
        <v>385</v>
      </c>
      <c r="B50" s="503"/>
      <c r="C50" s="185"/>
      <c r="D50" s="186"/>
    </row>
    <row r="51" spans="1:4">
      <c r="A51" s="101"/>
      <c r="B51" s="504"/>
      <c r="C51" s="141" t="s">
        <v>181</v>
      </c>
      <c r="D51" s="144" t="s">
        <v>386</v>
      </c>
    </row>
    <row r="52" spans="1:4">
      <c r="A52" s="44" t="s">
        <v>557</v>
      </c>
      <c r="B52" s="47"/>
      <c r="C52" s="32"/>
      <c r="D52" s="143" t="s">
        <v>388</v>
      </c>
    </row>
    <row r="53" spans="1:4">
      <c r="A53" s="44" t="s">
        <v>558</v>
      </c>
      <c r="B53" s="47"/>
      <c r="C53" s="32"/>
      <c r="D53" s="143" t="s">
        <v>388</v>
      </c>
    </row>
    <row r="54" spans="1:4" ht="15.75" thickBot="1">
      <c r="A54" s="45"/>
      <c r="B54" s="187"/>
      <c r="C54" s="153"/>
      <c r="D54" s="192"/>
    </row>
    <row r="56" spans="1:4" ht="15.75" thickBot="1"/>
    <row r="57" spans="1:4" s="43" customFormat="1">
      <c r="A57" s="184" t="s">
        <v>514</v>
      </c>
      <c r="B57" s="503"/>
      <c r="C57" s="185"/>
      <c r="D57" s="186"/>
    </row>
    <row r="58" spans="1:4">
      <c r="A58" s="101"/>
      <c r="B58" s="504"/>
      <c r="C58" s="141" t="s">
        <v>181</v>
      </c>
      <c r="D58" s="144" t="s">
        <v>386</v>
      </c>
    </row>
    <row r="59" spans="1:4">
      <c r="A59" s="44" t="s">
        <v>559</v>
      </c>
      <c r="B59" s="47"/>
      <c r="C59" s="32"/>
      <c r="D59" s="142" t="s">
        <v>154</v>
      </c>
    </row>
    <row r="60" spans="1:4">
      <c r="A60" s="44" t="s">
        <v>560</v>
      </c>
      <c r="B60" s="47"/>
      <c r="C60" s="32"/>
      <c r="D60" s="142" t="s">
        <v>155</v>
      </c>
    </row>
    <row r="61" spans="1:4">
      <c r="A61" s="44" t="s">
        <v>561</v>
      </c>
      <c r="B61" s="47"/>
      <c r="C61" s="48"/>
      <c r="D61" s="142" t="s">
        <v>384</v>
      </c>
    </row>
    <row r="62" spans="1:4">
      <c r="A62" s="44" t="s">
        <v>562</v>
      </c>
      <c r="B62" s="47"/>
      <c r="C62" s="48"/>
      <c r="D62" s="142" t="s">
        <v>111</v>
      </c>
    </row>
    <row r="63" spans="1:4">
      <c r="A63" s="44"/>
      <c r="B63" s="48"/>
      <c r="C63" s="48"/>
      <c r="D63" s="142"/>
    </row>
    <row r="64" spans="1:4" ht="21.75" thickBot="1">
      <c r="A64" s="189" t="s">
        <v>516</v>
      </c>
      <c r="B64" s="187"/>
      <c r="C64" s="187"/>
      <c r="D64" s="188"/>
    </row>
    <row r="65" spans="2:2" s="43" customFormat="1">
      <c r="B65" s="452"/>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B25" sqref="B2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579</v>
      </c>
      <c r="B1" s="646"/>
      <c r="C1" s="646"/>
      <c r="D1" s="646"/>
      <c r="E1" s="647"/>
    </row>
    <row r="2" spans="1:5">
      <c r="A2" s="658" t="s">
        <v>389</v>
      </c>
      <c r="B2" s="663" t="s">
        <v>504</v>
      </c>
      <c r="C2" s="659"/>
      <c r="D2" s="659"/>
      <c r="E2" s="660"/>
    </row>
    <row r="3" spans="1:5">
      <c r="A3" s="661"/>
      <c r="B3" s="662"/>
      <c r="C3" s="650"/>
      <c r="D3" s="650"/>
      <c r="E3" s="651"/>
    </row>
    <row r="4" spans="1:5" s="330" customFormat="1" ht="45">
      <c r="A4" s="649" t="s">
        <v>583</v>
      </c>
      <c r="B4" s="657" t="s">
        <v>572</v>
      </c>
      <c r="C4" s="678" t="s">
        <v>594</v>
      </c>
      <c r="D4" s="679" t="s">
        <v>595</v>
      </c>
      <c r="E4" s="680" t="s">
        <v>596</v>
      </c>
    </row>
    <row r="5" spans="1:5">
      <c r="A5" s="652" t="s">
        <v>573</v>
      </c>
      <c r="B5" s="644" t="s">
        <v>574</v>
      </c>
      <c r="C5" s="675">
        <v>3.678273E-2</v>
      </c>
      <c r="D5" s="676">
        <v>0.27778000000000003</v>
      </c>
      <c r="E5" s="668">
        <f>C5*D5</f>
        <v>1.0217506739400001E-2</v>
      </c>
    </row>
    <row r="6" spans="1:5">
      <c r="A6" s="652" t="s">
        <v>573</v>
      </c>
      <c r="B6" s="644" t="s">
        <v>575</v>
      </c>
      <c r="C6" s="675">
        <v>4.2278999999999997E-2</v>
      </c>
      <c r="D6" s="676">
        <v>0.27778000000000003</v>
      </c>
      <c r="E6" s="668">
        <f t="shared" ref="E6:E21" si="0">C6*D6</f>
        <v>1.174426062E-2</v>
      </c>
    </row>
    <row r="7" spans="1:5">
      <c r="A7" s="652" t="s">
        <v>573</v>
      </c>
      <c r="B7" s="644" t="s">
        <v>576</v>
      </c>
      <c r="C7" s="675">
        <v>42.279000000000003</v>
      </c>
      <c r="D7" s="676">
        <v>0.27778000000000003</v>
      </c>
      <c r="E7" s="668">
        <f t="shared" si="0"/>
        <v>11.744260620000002</v>
      </c>
    </row>
    <row r="8" spans="1:5">
      <c r="A8" s="652" t="s">
        <v>577</v>
      </c>
      <c r="B8" s="644" t="s">
        <v>574</v>
      </c>
      <c r="C8" s="675">
        <v>3.8573799999999998E-2</v>
      </c>
      <c r="D8" s="676">
        <v>0.27778000000000003</v>
      </c>
      <c r="E8" s="668">
        <f t="shared" si="0"/>
        <v>1.0715030164E-2</v>
      </c>
    </row>
    <row r="9" spans="1:5">
      <c r="A9" s="652" t="s">
        <v>577</v>
      </c>
      <c r="B9" s="644" t="s">
        <v>575</v>
      </c>
      <c r="C9" s="675">
        <v>4.0604000000000001E-2</v>
      </c>
      <c r="D9" s="676">
        <v>0.27778000000000003</v>
      </c>
      <c r="E9" s="668">
        <f t="shared" si="0"/>
        <v>1.1278979120000001E-2</v>
      </c>
    </row>
    <row r="10" spans="1:5">
      <c r="A10" s="652" t="s">
        <v>577</v>
      </c>
      <c r="B10" s="644" t="s">
        <v>576</v>
      </c>
      <c r="C10" s="675">
        <v>40.603999999999999</v>
      </c>
      <c r="D10" s="676">
        <v>0.27778000000000003</v>
      </c>
      <c r="E10" s="668">
        <f t="shared" si="0"/>
        <v>11.278979120000001</v>
      </c>
    </row>
    <row r="11" spans="1:5">
      <c r="A11" s="652" t="s">
        <v>597</v>
      </c>
      <c r="B11" s="644" t="s">
        <v>574</v>
      </c>
      <c r="C11" s="675">
        <v>2.3511000000000001E-2</v>
      </c>
      <c r="D11" s="676">
        <v>0.27778000000000003</v>
      </c>
      <c r="E11" s="668">
        <f t="shared" si="0"/>
        <v>6.5308855800000004E-3</v>
      </c>
    </row>
    <row r="12" spans="1:5">
      <c r="A12" s="652" t="s">
        <v>597</v>
      </c>
      <c r="B12" s="644" t="s">
        <v>575</v>
      </c>
      <c r="C12" s="675">
        <v>4.6100000000000002E-2</v>
      </c>
      <c r="D12" s="676">
        <v>0.27778000000000003</v>
      </c>
      <c r="E12" s="668">
        <f t="shared" si="0"/>
        <v>1.2805658000000001E-2</v>
      </c>
    </row>
    <row r="13" spans="1:5">
      <c r="A13" s="652" t="s">
        <v>597</v>
      </c>
      <c r="B13" s="644" t="s">
        <v>576</v>
      </c>
      <c r="C13" s="675">
        <v>46.1</v>
      </c>
      <c r="D13" s="676">
        <v>0.27778000000000003</v>
      </c>
      <c r="E13" s="668">
        <f t="shared" si="0"/>
        <v>12.805658000000001</v>
      </c>
    </row>
    <row r="14" spans="1:5">
      <c r="A14" s="652" t="s">
        <v>598</v>
      </c>
      <c r="B14" s="644" t="s">
        <v>574</v>
      </c>
      <c r="C14" s="675">
        <v>2.6525139999999999E-2</v>
      </c>
      <c r="D14" s="676">
        <v>0.27778000000000003</v>
      </c>
      <c r="E14" s="668">
        <f t="shared" si="0"/>
        <v>7.3681533892000009E-3</v>
      </c>
    </row>
    <row r="15" spans="1:5">
      <c r="A15" s="652" t="s">
        <v>598</v>
      </c>
      <c r="B15" s="644" t="s">
        <v>575</v>
      </c>
      <c r="C15" s="675">
        <v>4.5733000000000003E-2</v>
      </c>
      <c r="D15" s="676">
        <v>0.27778000000000003</v>
      </c>
      <c r="E15" s="668">
        <f t="shared" si="0"/>
        <v>1.2703712740000001E-2</v>
      </c>
    </row>
    <row r="16" spans="1:5">
      <c r="A16" s="652" t="s">
        <v>598</v>
      </c>
      <c r="B16" s="644" t="s">
        <v>576</v>
      </c>
      <c r="C16" s="675">
        <v>45.732999999999997</v>
      </c>
      <c r="D16" s="676">
        <v>0.27778000000000003</v>
      </c>
      <c r="E16" s="668">
        <f t="shared" si="0"/>
        <v>12.70371274</v>
      </c>
    </row>
    <row r="17" spans="1:10">
      <c r="A17" s="652" t="s">
        <v>581</v>
      </c>
      <c r="B17" s="644" t="s">
        <v>578</v>
      </c>
      <c r="C17" s="675">
        <v>3.2923000000000001E-2</v>
      </c>
      <c r="D17" s="676">
        <f>0.27778</f>
        <v>0.27778000000000003</v>
      </c>
      <c r="E17" s="668">
        <f t="shared" si="0"/>
        <v>9.1453509400000015E-3</v>
      </c>
    </row>
    <row r="18" spans="1:10">
      <c r="A18" s="652" t="s">
        <v>582</v>
      </c>
      <c r="B18" s="644" t="s">
        <v>578</v>
      </c>
      <c r="C18" s="675">
        <v>3.8852400000000002E-2</v>
      </c>
      <c r="D18" s="676">
        <f>0.27778</f>
        <v>0.27778000000000003</v>
      </c>
      <c r="E18" s="668">
        <f t="shared" si="0"/>
        <v>1.0792419672000002E-2</v>
      </c>
    </row>
    <row r="19" spans="1:10">
      <c r="A19" s="652" t="s">
        <v>585</v>
      </c>
      <c r="B19" s="644" t="s">
        <v>574</v>
      </c>
      <c r="C19" s="675">
        <v>2.4812460000000001E-2</v>
      </c>
      <c r="D19" s="676">
        <v>0.27778000000000003</v>
      </c>
      <c r="E19" s="668">
        <f t="shared" si="0"/>
        <v>6.8924051388000009E-3</v>
      </c>
    </row>
    <row r="20" spans="1:10">
      <c r="A20" s="652" t="s">
        <v>585</v>
      </c>
      <c r="B20" s="644" t="s">
        <v>575</v>
      </c>
      <c r="C20" s="675">
        <v>4.5948999999999997E-2</v>
      </c>
      <c r="D20" s="676">
        <v>0.27778000000000003</v>
      </c>
      <c r="E20" s="668">
        <f t="shared" si="0"/>
        <v>1.276371322E-2</v>
      </c>
    </row>
    <row r="21" spans="1:10">
      <c r="A21" s="652" t="s">
        <v>585</v>
      </c>
      <c r="B21" s="644" t="s">
        <v>576</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580</v>
      </c>
      <c r="B24" s="646"/>
      <c r="C24" s="646"/>
      <c r="D24" s="646"/>
      <c r="E24" s="647"/>
    </row>
    <row r="25" spans="1:10">
      <c r="A25" s="672" t="s">
        <v>389</v>
      </c>
      <c r="B25" s="650" t="s">
        <v>866</v>
      </c>
      <c r="C25" s="650"/>
      <c r="D25" s="650"/>
      <c r="E25" s="651"/>
    </row>
    <row r="26" spans="1:10">
      <c r="A26" s="44"/>
      <c r="B26" s="43"/>
      <c r="C26" s="43"/>
      <c r="D26" s="43"/>
      <c r="E26" s="96"/>
    </row>
    <row r="27" spans="1:10" s="330" customFormat="1">
      <c r="A27" s="649" t="s">
        <v>583</v>
      </c>
      <c r="B27" s="657" t="s">
        <v>572</v>
      </c>
      <c r="C27" s="665"/>
      <c r="D27" s="664"/>
      <c r="E27" s="680" t="s">
        <v>587</v>
      </c>
    </row>
    <row r="28" spans="1:10">
      <c r="A28" s="652" t="s">
        <v>201</v>
      </c>
      <c r="B28" s="644" t="s">
        <v>574</v>
      </c>
      <c r="C28" s="666"/>
      <c r="D28" s="667"/>
      <c r="E28" s="674">
        <f>E29*0.84</f>
        <v>9.962166666666666E-3</v>
      </c>
      <c r="G28" s="648"/>
      <c r="H28" s="792"/>
      <c r="I28" s="792"/>
      <c r="J28" s="792"/>
    </row>
    <row r="29" spans="1:10">
      <c r="A29" s="652" t="s">
        <v>201</v>
      </c>
      <c r="B29" s="644" t="s">
        <v>575</v>
      </c>
      <c r="C29" s="666"/>
      <c r="D29" s="667"/>
      <c r="E29" s="674">
        <f>0.042695/3.6</f>
        <v>1.1859722222222221E-2</v>
      </c>
      <c r="F29" s="910"/>
      <c r="G29" s="648"/>
      <c r="H29" s="792"/>
      <c r="I29" s="792"/>
      <c r="J29" s="792"/>
    </row>
    <row r="30" spans="1:10">
      <c r="A30" s="652" t="s">
        <v>119</v>
      </c>
      <c r="B30" s="644" t="s">
        <v>574</v>
      </c>
      <c r="C30" s="666"/>
      <c r="D30" s="667"/>
      <c r="E30" s="674">
        <f>E31*0.75</f>
        <v>9.1195833333333337E-3</v>
      </c>
      <c r="H30" s="792"/>
      <c r="I30" s="792"/>
      <c r="J30" s="792"/>
    </row>
    <row r="31" spans="1:10">
      <c r="A31" s="652" t="s">
        <v>119</v>
      </c>
      <c r="B31" s="644" t="s">
        <v>575</v>
      </c>
      <c r="C31" s="666"/>
      <c r="D31" s="667"/>
      <c r="E31" s="674">
        <f>0.043774/3.6</f>
        <v>1.2159444444444445E-2</v>
      </c>
      <c r="H31" s="792"/>
      <c r="I31" s="792"/>
      <c r="J31" s="792"/>
    </row>
    <row r="32" spans="1:10">
      <c r="A32" s="652" t="s">
        <v>585</v>
      </c>
      <c r="B32" s="644" t="s">
        <v>574</v>
      </c>
      <c r="C32" s="666"/>
      <c r="D32" s="667"/>
      <c r="E32" s="674">
        <f>E33*0.52</f>
        <v>6.7259111111111118E-3</v>
      </c>
      <c r="H32" s="792"/>
    </row>
    <row r="33" spans="1:8">
      <c r="A33" s="652" t="s">
        <v>585</v>
      </c>
      <c r="B33" s="644" t="s">
        <v>575</v>
      </c>
      <c r="C33" s="666"/>
      <c r="D33" s="667"/>
      <c r="E33" s="674">
        <f>0.046564/3.6</f>
        <v>1.2934444444444445E-2</v>
      </c>
      <c r="H33" s="792"/>
    </row>
    <row r="34" spans="1:8">
      <c r="A34" s="652" t="s">
        <v>586</v>
      </c>
      <c r="B34" s="644" t="s">
        <v>574</v>
      </c>
      <c r="C34" s="666"/>
      <c r="D34" s="667"/>
      <c r="E34" s="674">
        <f>E35*0.175</f>
        <v>2.3333333333333331E-3</v>
      </c>
      <c r="H34" s="792"/>
    </row>
    <row r="35" spans="1:8">
      <c r="A35" s="652" t="s">
        <v>586</v>
      </c>
      <c r="B35" s="644" t="s">
        <v>575</v>
      </c>
      <c r="C35" s="666"/>
      <c r="D35" s="667"/>
      <c r="E35" s="674">
        <f>0.048/3.6</f>
        <v>1.3333333333333332E-2</v>
      </c>
      <c r="H35" s="792"/>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429</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442</v>
      </c>
      <c r="B6" s="130" t="s">
        <v>443</v>
      </c>
      <c r="C6" s="131" t="s">
        <v>445</v>
      </c>
    </row>
    <row r="7" spans="1:3" s="11" customFormat="1">
      <c r="A7" s="123"/>
      <c r="B7" s="158"/>
      <c r="C7" s="159" t="s">
        <v>599</v>
      </c>
    </row>
    <row r="8" spans="1:3" s="11" customFormat="1">
      <c r="A8" s="132"/>
      <c r="B8" s="133"/>
      <c r="C8" s="134"/>
    </row>
    <row r="9" spans="1:3" s="11" customFormat="1">
      <c r="A9" s="113" t="s">
        <v>444</v>
      </c>
      <c r="B9" s="130" t="s">
        <v>447</v>
      </c>
      <c r="C9" s="131" t="s">
        <v>500</v>
      </c>
    </row>
    <row r="10" spans="1:3" s="11" customFormat="1">
      <c r="A10" s="132"/>
      <c r="B10" s="133"/>
      <c r="C10" s="134"/>
    </row>
    <row r="11" spans="1:3" s="11" customFormat="1" ht="18">
      <c r="A11" s="113" t="s">
        <v>446</v>
      </c>
      <c r="B11" s="130" t="s">
        <v>448</v>
      </c>
      <c r="C11" s="156" t="s">
        <v>498</v>
      </c>
    </row>
    <row r="12" spans="1:3" s="11" customFormat="1">
      <c r="A12" s="132"/>
      <c r="B12" s="133"/>
      <c r="C12" s="134"/>
    </row>
    <row r="13" spans="1:3" s="11" customFormat="1" ht="18">
      <c r="A13" s="113" t="s">
        <v>449</v>
      </c>
      <c r="B13" s="130" t="s">
        <v>450</v>
      </c>
      <c r="C13" s="157" t="s">
        <v>499</v>
      </c>
    </row>
    <row r="14" spans="1:3" s="11" customFormat="1">
      <c r="A14" s="132"/>
      <c r="B14" s="133"/>
      <c r="C14" s="134"/>
    </row>
    <row r="15" spans="1:3" s="11" customFormat="1" ht="18">
      <c r="A15" s="113" t="s">
        <v>451</v>
      </c>
      <c r="B15" t="s">
        <v>455</v>
      </c>
      <c r="C15" s="131" t="s">
        <v>501</v>
      </c>
    </row>
    <row r="16" spans="1:3" s="11" customFormat="1">
      <c r="A16" s="132"/>
      <c r="B16" s="133"/>
      <c r="C16" s="134"/>
    </row>
    <row r="17" spans="1:3" s="11" customFormat="1" ht="30">
      <c r="A17" s="113" t="s">
        <v>388</v>
      </c>
      <c r="B17" s="130" t="s">
        <v>456</v>
      </c>
      <c r="C17" s="131" t="s">
        <v>502</v>
      </c>
    </row>
    <row r="18" spans="1:3" s="11" customFormat="1">
      <c r="A18" s="132"/>
      <c r="B18" s="133"/>
      <c r="C18" s="134" t="s">
        <v>452</v>
      </c>
    </row>
    <row r="19" spans="1:3" s="11" customFormat="1" ht="30">
      <c r="A19" s="113" t="s">
        <v>453</v>
      </c>
      <c r="B19" s="130" t="s">
        <v>457</v>
      </c>
      <c r="C19" s="131" t="s">
        <v>503</v>
      </c>
    </row>
    <row r="20" spans="1:3" s="11" customFormat="1">
      <c r="A20" s="132"/>
      <c r="B20" s="133"/>
      <c r="C20" s="134"/>
    </row>
    <row r="21" spans="1:3" s="11" customFormat="1" ht="30">
      <c r="A21" s="113" t="s">
        <v>454</v>
      </c>
      <c r="B21" s="130" t="s">
        <v>828</v>
      </c>
      <c r="C21" s="131" t="s">
        <v>567</v>
      </c>
    </row>
    <row r="22" spans="1:3" s="11" customFormat="1">
      <c r="A22" s="140"/>
      <c r="B22" s="158"/>
      <c r="C22" s="159"/>
    </row>
    <row r="23" spans="1:3" ht="21">
      <c r="A23" s="126" t="s">
        <v>459</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63" bestFit="1" customWidth="1"/>
    <col min="2" max="2" width="59.42578125" style="1063" bestFit="1" customWidth="1"/>
    <col min="3" max="4" width="28.7109375" style="1063" customWidth="1"/>
    <col min="5" max="5" width="44.28515625" style="1063" customWidth="1"/>
    <col min="6" max="6" width="35" style="1063" bestFit="1" customWidth="1"/>
    <col min="7" max="16384" width="9.140625" style="1063"/>
  </cols>
  <sheetData>
    <row r="1" spans="1:6" ht="62.45" customHeight="1" thickTop="1" thickBot="1">
      <c r="A1" s="136" t="s">
        <v>885</v>
      </c>
      <c r="B1" s="1285">
        <v>2017</v>
      </c>
      <c r="C1" s="1286"/>
      <c r="D1" s="1286"/>
      <c r="E1" s="1286"/>
      <c r="F1" s="1287"/>
    </row>
    <row r="2" spans="1:6">
      <c r="A2" s="330"/>
      <c r="B2" s="330"/>
      <c r="C2" s="330"/>
      <c r="D2" s="330"/>
      <c r="E2" s="330"/>
      <c r="F2" s="330"/>
    </row>
    <row r="3" spans="1:6" ht="19.5">
      <c r="A3" s="1288" t="s">
        <v>0</v>
      </c>
      <c r="B3" s="330"/>
      <c r="C3" s="330"/>
      <c r="D3" s="330"/>
      <c r="E3" s="330"/>
      <c r="F3" s="330"/>
    </row>
    <row r="4" spans="1:6" ht="22.5">
      <c r="A4" s="1289" t="s">
        <v>885</v>
      </c>
      <c r="B4" s="330"/>
      <c r="C4" s="330"/>
      <c r="D4" s="330"/>
      <c r="E4" s="330"/>
      <c r="F4" s="330"/>
    </row>
    <row r="5" spans="1:6" ht="22.5">
      <c r="A5" s="1289" t="s">
        <v>886</v>
      </c>
      <c r="B5" s="330"/>
      <c r="C5" s="330"/>
      <c r="D5" s="330"/>
      <c r="E5" s="330"/>
      <c r="F5" s="330"/>
    </row>
    <row r="6" spans="1:6" ht="15.75" thickBot="1">
      <c r="A6" s="330"/>
      <c r="B6" s="330"/>
      <c r="C6" s="330"/>
      <c r="D6" s="330"/>
      <c r="E6" s="330"/>
      <c r="F6" s="330"/>
    </row>
    <row r="7" spans="1:6" ht="20.25" thickBot="1">
      <c r="A7" s="1290" t="s">
        <v>1</v>
      </c>
      <c r="B7" s="331" t="s">
        <v>389</v>
      </c>
      <c r="C7" s="331" t="s">
        <v>390</v>
      </c>
      <c r="D7" s="331"/>
      <c r="E7" s="331"/>
      <c r="F7" s="332"/>
    </row>
    <row r="8" spans="1:6" ht="16.5" thickTop="1" thickBot="1">
      <c r="A8" s="1291" t="s">
        <v>4</v>
      </c>
      <c r="B8" s="1292"/>
      <c r="C8" s="1292"/>
      <c r="D8" s="1286"/>
      <c r="E8" s="1286"/>
      <c r="F8" s="1287"/>
    </row>
    <row r="9" spans="1:6">
      <c r="A9" s="1293" t="s">
        <v>2</v>
      </c>
      <c r="B9" s="1294">
        <v>5285</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0" t="s">
        <v>3</v>
      </c>
      <c r="B12" s="331" t="s">
        <v>389</v>
      </c>
      <c r="C12" s="331" t="s">
        <v>617</v>
      </c>
      <c r="D12" s="331"/>
      <c r="E12" s="331"/>
      <c r="F12" s="335"/>
    </row>
    <row r="13" spans="1:6" ht="16.5" thickTop="1" thickBot="1">
      <c r="A13" s="1295" t="s">
        <v>4</v>
      </c>
      <c r="B13" s="1296" t="s">
        <v>5</v>
      </c>
      <c r="C13" s="1296"/>
      <c r="D13" s="1296"/>
      <c r="E13" s="1296"/>
      <c r="F13" s="1297"/>
    </row>
    <row r="14" spans="1:6">
      <c r="A14" s="1298" t="s">
        <v>665</v>
      </c>
      <c r="B14" s="1299">
        <v>1885.94</v>
      </c>
      <c r="C14" s="330"/>
      <c r="D14" s="330"/>
      <c r="E14" s="330"/>
      <c r="F14" s="330"/>
    </row>
    <row r="15" spans="1:6">
      <c r="A15" s="1298" t="s">
        <v>183</v>
      </c>
      <c r="B15" s="1299">
        <v>14</v>
      </c>
      <c r="C15" s="330"/>
      <c r="D15" s="330"/>
      <c r="E15" s="330"/>
      <c r="F15" s="330"/>
    </row>
    <row r="16" spans="1:6">
      <c r="A16" s="1298" t="s">
        <v>6</v>
      </c>
      <c r="B16" s="1299">
        <v>458</v>
      </c>
      <c r="C16" s="330"/>
      <c r="D16" s="330"/>
      <c r="E16" s="330"/>
      <c r="F16" s="330"/>
    </row>
    <row r="17" spans="1:6">
      <c r="A17" s="1298" t="s">
        <v>7</v>
      </c>
      <c r="B17" s="1299">
        <v>195</v>
      </c>
      <c r="C17" s="330"/>
      <c r="D17" s="330"/>
      <c r="E17" s="330"/>
      <c r="F17" s="330"/>
    </row>
    <row r="18" spans="1:6">
      <c r="A18" s="1298" t="s">
        <v>8</v>
      </c>
      <c r="B18" s="1299">
        <v>295</v>
      </c>
      <c r="C18" s="330"/>
      <c r="D18" s="330"/>
      <c r="E18" s="330"/>
      <c r="F18" s="330"/>
    </row>
    <row r="19" spans="1:6">
      <c r="A19" s="1298" t="s">
        <v>9</v>
      </c>
      <c r="B19" s="1299">
        <v>471</v>
      </c>
      <c r="C19" s="330"/>
      <c r="D19" s="330"/>
      <c r="E19" s="330"/>
      <c r="F19" s="330"/>
    </row>
    <row r="20" spans="1:6">
      <c r="A20" s="1298" t="s">
        <v>10</v>
      </c>
      <c r="B20" s="1299">
        <v>404</v>
      </c>
      <c r="C20" s="330"/>
      <c r="D20" s="330"/>
      <c r="E20" s="330"/>
      <c r="F20" s="330"/>
    </row>
    <row r="21" spans="1:6">
      <c r="A21" s="1298" t="s">
        <v>11</v>
      </c>
      <c r="B21" s="1299">
        <v>40</v>
      </c>
      <c r="C21" s="330"/>
      <c r="D21" s="330"/>
      <c r="E21" s="330"/>
      <c r="F21" s="330"/>
    </row>
    <row r="22" spans="1:6">
      <c r="A22" s="1298" t="s">
        <v>12</v>
      </c>
      <c r="B22" s="1299">
        <v>1033</v>
      </c>
      <c r="C22" s="330"/>
      <c r="D22" s="330"/>
      <c r="E22" s="330"/>
      <c r="F22" s="330"/>
    </row>
    <row r="23" spans="1:6">
      <c r="A23" s="1298" t="s">
        <v>13</v>
      </c>
      <c r="B23" s="1299">
        <v>0</v>
      </c>
      <c r="C23" s="330"/>
      <c r="D23" s="330"/>
      <c r="E23" s="330"/>
      <c r="F23" s="330"/>
    </row>
    <row r="24" spans="1:6">
      <c r="A24" s="1298" t="s">
        <v>14</v>
      </c>
      <c r="B24" s="1299">
        <v>1</v>
      </c>
      <c r="C24" s="330"/>
      <c r="D24" s="330"/>
      <c r="E24" s="330"/>
      <c r="F24" s="330"/>
    </row>
    <row r="25" spans="1:6">
      <c r="A25" s="1298" t="s">
        <v>15</v>
      </c>
      <c r="B25" s="1299">
        <v>20</v>
      </c>
      <c r="C25" s="330"/>
      <c r="D25" s="330"/>
      <c r="E25" s="330"/>
      <c r="F25" s="330"/>
    </row>
    <row r="26" spans="1:6">
      <c r="A26" s="1298" t="s">
        <v>16</v>
      </c>
      <c r="B26" s="1299">
        <v>32</v>
      </c>
      <c r="C26" s="330"/>
      <c r="D26" s="330"/>
      <c r="E26" s="330"/>
      <c r="F26" s="330"/>
    </row>
    <row r="27" spans="1:6">
      <c r="A27" s="1298" t="s">
        <v>17</v>
      </c>
      <c r="B27" s="1299">
        <v>0</v>
      </c>
      <c r="C27" s="330"/>
      <c r="D27" s="330"/>
      <c r="E27" s="330"/>
      <c r="F27" s="330"/>
    </row>
    <row r="28" spans="1:6" s="43" customFormat="1">
      <c r="A28" s="1300" t="s">
        <v>18</v>
      </c>
      <c r="B28" s="1301">
        <v>19746</v>
      </c>
      <c r="C28" s="336"/>
      <c r="D28" s="336"/>
      <c r="E28" s="336"/>
      <c r="F28" s="336"/>
    </row>
    <row r="29" spans="1:6">
      <c r="A29" s="1300" t="s">
        <v>705</v>
      </c>
      <c r="B29" s="1301">
        <v>330</v>
      </c>
      <c r="C29" s="336"/>
      <c r="D29" s="336"/>
      <c r="E29" s="336"/>
      <c r="F29" s="336"/>
    </row>
    <row r="30" spans="1:6">
      <c r="A30" s="1293" t="s">
        <v>706</v>
      </c>
      <c r="B30" s="1302">
        <v>94</v>
      </c>
      <c r="C30" s="333"/>
      <c r="D30" s="333"/>
      <c r="E30" s="333"/>
      <c r="F30" s="333"/>
    </row>
    <row r="31" spans="1:6" ht="15.75" thickBot="1">
      <c r="A31" s="334"/>
      <c r="B31" s="330"/>
      <c r="C31" s="330"/>
      <c r="D31" s="330"/>
      <c r="E31" s="330"/>
      <c r="F31" s="330"/>
    </row>
    <row r="32" spans="1:6" ht="20.25" thickBot="1">
      <c r="A32" s="1290" t="s">
        <v>19</v>
      </c>
      <c r="B32" s="331" t="s">
        <v>389</v>
      </c>
      <c r="C32" s="331" t="s">
        <v>829</v>
      </c>
      <c r="D32" s="331"/>
      <c r="E32" s="331"/>
      <c r="F32" s="335"/>
    </row>
    <row r="33" spans="1:6" ht="16.5" thickTop="1" thickBot="1">
      <c r="A33" s="1303"/>
      <c r="B33" s="1304"/>
      <c r="C33" s="1304"/>
      <c r="D33" s="1304"/>
      <c r="E33" s="1304" t="s">
        <v>20</v>
      </c>
      <c r="F33" s="1305"/>
    </row>
    <row r="34" spans="1:6" ht="16.5" thickTop="1" thickBot="1">
      <c r="A34" s="1306" t="s">
        <v>21</v>
      </c>
      <c r="B34" s="1307" t="s">
        <v>22</v>
      </c>
      <c r="C34" s="1307" t="s">
        <v>5</v>
      </c>
      <c r="D34" s="1307" t="s">
        <v>23</v>
      </c>
      <c r="E34" s="1307" t="s">
        <v>5</v>
      </c>
      <c r="F34" s="1308" t="s">
        <v>23</v>
      </c>
    </row>
    <row r="35" spans="1:6">
      <c r="A35" s="1298" t="s">
        <v>24</v>
      </c>
      <c r="B35" s="1298" t="s">
        <v>25</v>
      </c>
      <c r="C35" s="1299">
        <v>0</v>
      </c>
      <c r="D35" s="1299">
        <v>0</v>
      </c>
      <c r="E35" s="1299">
        <v>0</v>
      </c>
      <c r="F35" s="1299">
        <v>0</v>
      </c>
    </row>
    <row r="36" spans="1:6">
      <c r="A36" s="1298" t="s">
        <v>24</v>
      </c>
      <c r="B36" s="1298" t="s">
        <v>26</v>
      </c>
      <c r="C36" s="1299">
        <v>0</v>
      </c>
      <c r="D36" s="1299">
        <v>0</v>
      </c>
      <c r="E36" s="1299">
        <v>0</v>
      </c>
      <c r="F36" s="1299">
        <v>0</v>
      </c>
    </row>
    <row r="37" spans="1:6">
      <c r="A37" s="1298" t="s">
        <v>24</v>
      </c>
      <c r="B37" s="1298" t="s">
        <v>27</v>
      </c>
      <c r="C37" s="1299">
        <v>0</v>
      </c>
      <c r="D37" s="1299">
        <v>0</v>
      </c>
      <c r="E37" s="1299">
        <v>0</v>
      </c>
      <c r="F37" s="1299">
        <v>0</v>
      </c>
    </row>
    <row r="38" spans="1:6">
      <c r="A38" s="1298" t="s">
        <v>24</v>
      </c>
      <c r="B38" s="1298" t="s">
        <v>28</v>
      </c>
      <c r="C38" s="1299">
        <v>0</v>
      </c>
      <c r="D38" s="1299">
        <v>0</v>
      </c>
      <c r="E38" s="1299">
        <v>2</v>
      </c>
      <c r="F38" s="1299">
        <v>8753.232</v>
      </c>
    </row>
    <row r="39" spans="1:6">
      <c r="A39" s="1298" t="s">
        <v>29</v>
      </c>
      <c r="B39" s="1298" t="s">
        <v>30</v>
      </c>
      <c r="C39" s="1299">
        <v>2859</v>
      </c>
      <c r="D39" s="1299">
        <v>43195406.890000001</v>
      </c>
      <c r="E39" s="1299">
        <v>4995</v>
      </c>
      <c r="F39" s="1299">
        <v>22247912.920000002</v>
      </c>
    </row>
    <row r="40" spans="1:6">
      <c r="A40" s="1298" t="s">
        <v>29</v>
      </c>
      <c r="B40" s="1298" t="s">
        <v>28</v>
      </c>
      <c r="C40" s="1299">
        <v>0</v>
      </c>
      <c r="D40" s="1299">
        <v>0</v>
      </c>
      <c r="E40" s="1299">
        <v>0</v>
      </c>
      <c r="F40" s="1299">
        <v>0</v>
      </c>
    </row>
    <row r="41" spans="1:6">
      <c r="A41" s="1298" t="s">
        <v>31</v>
      </c>
      <c r="B41" s="1298" t="s">
        <v>32</v>
      </c>
      <c r="C41" s="1299">
        <v>26</v>
      </c>
      <c r="D41" s="1299">
        <v>627923.36899999995</v>
      </c>
      <c r="E41" s="1299">
        <v>108</v>
      </c>
      <c r="F41" s="1299">
        <v>1018068.491</v>
      </c>
    </row>
    <row r="42" spans="1:6">
      <c r="A42" s="1298" t="s">
        <v>31</v>
      </c>
      <c r="B42" s="1298" t="s">
        <v>33</v>
      </c>
      <c r="C42" s="1299">
        <v>0</v>
      </c>
      <c r="D42" s="1299">
        <v>0</v>
      </c>
      <c r="E42" s="1299">
        <v>0</v>
      </c>
      <c r="F42" s="1299">
        <v>0</v>
      </c>
    </row>
    <row r="43" spans="1:6">
      <c r="A43" s="1298" t="s">
        <v>31</v>
      </c>
      <c r="B43" s="1298" t="s">
        <v>34</v>
      </c>
      <c r="C43" s="1299">
        <v>0</v>
      </c>
      <c r="D43" s="1299">
        <v>0</v>
      </c>
      <c r="E43" s="1299">
        <v>0</v>
      </c>
      <c r="F43" s="1299">
        <v>0</v>
      </c>
    </row>
    <row r="44" spans="1:6">
      <c r="A44" s="1298" t="s">
        <v>31</v>
      </c>
      <c r="B44" s="1298" t="s">
        <v>35</v>
      </c>
      <c r="C44" s="1299">
        <v>3</v>
      </c>
      <c r="D44" s="1299">
        <v>499279.11</v>
      </c>
      <c r="E44" s="1299">
        <v>18</v>
      </c>
      <c r="F44" s="1299">
        <v>797457.53500000003</v>
      </c>
    </row>
    <row r="45" spans="1:6">
      <c r="A45" s="1298" t="s">
        <v>31</v>
      </c>
      <c r="B45" s="1298" t="s">
        <v>36</v>
      </c>
      <c r="C45" s="1299">
        <v>0</v>
      </c>
      <c r="D45" s="1299">
        <v>0</v>
      </c>
      <c r="E45" s="1299">
        <v>0</v>
      </c>
      <c r="F45" s="1299">
        <v>0</v>
      </c>
    </row>
    <row r="46" spans="1:6">
      <c r="A46" s="1298" t="s">
        <v>31</v>
      </c>
      <c r="B46" s="1298" t="s">
        <v>37</v>
      </c>
      <c r="C46" s="1299">
        <v>0</v>
      </c>
      <c r="D46" s="1299">
        <v>0</v>
      </c>
      <c r="E46" s="1299">
        <v>0</v>
      </c>
      <c r="F46" s="1299">
        <v>0</v>
      </c>
    </row>
    <row r="47" spans="1:6">
      <c r="A47" s="1298" t="s">
        <v>31</v>
      </c>
      <c r="B47" s="1298" t="s">
        <v>38</v>
      </c>
      <c r="C47" s="1299">
        <v>0</v>
      </c>
      <c r="D47" s="1299">
        <v>0</v>
      </c>
      <c r="E47" s="1299">
        <v>0</v>
      </c>
      <c r="F47" s="1299">
        <v>0</v>
      </c>
    </row>
    <row r="48" spans="1:6">
      <c r="A48" s="1298" t="s">
        <v>31</v>
      </c>
      <c r="B48" s="1298" t="s">
        <v>28</v>
      </c>
      <c r="C48" s="1299">
        <v>25</v>
      </c>
      <c r="D48" s="1299">
        <v>908186.96699999995</v>
      </c>
      <c r="E48" s="1299">
        <v>25</v>
      </c>
      <c r="F48" s="1299">
        <v>257493.524</v>
      </c>
    </row>
    <row r="49" spans="1:6">
      <c r="A49" s="1298" t="s">
        <v>31</v>
      </c>
      <c r="B49" s="1298" t="s">
        <v>39</v>
      </c>
      <c r="C49" s="1299">
        <v>0</v>
      </c>
      <c r="D49" s="1299">
        <v>0</v>
      </c>
      <c r="E49" s="1299">
        <v>0</v>
      </c>
      <c r="F49" s="1299">
        <v>0</v>
      </c>
    </row>
    <row r="50" spans="1:6">
      <c r="A50" s="1298" t="s">
        <v>31</v>
      </c>
      <c r="B50" s="1298" t="s">
        <v>40</v>
      </c>
      <c r="C50" s="1299">
        <v>3</v>
      </c>
      <c r="D50" s="1299">
        <v>293933.58299999998</v>
      </c>
      <c r="E50" s="1299">
        <v>5</v>
      </c>
      <c r="F50" s="1299">
        <v>179816.364</v>
      </c>
    </row>
    <row r="51" spans="1:6">
      <c r="A51" s="1298" t="s">
        <v>41</v>
      </c>
      <c r="B51" s="1298" t="s">
        <v>42</v>
      </c>
      <c r="C51" s="1299">
        <v>13</v>
      </c>
      <c r="D51" s="1299">
        <v>12398383.119999999</v>
      </c>
      <c r="E51" s="1299">
        <v>98</v>
      </c>
      <c r="F51" s="1299">
        <v>1844638.35</v>
      </c>
    </row>
    <row r="52" spans="1:6">
      <c r="A52" s="1298" t="s">
        <v>41</v>
      </c>
      <c r="B52" s="1298" t="s">
        <v>28</v>
      </c>
      <c r="C52" s="1299">
        <v>4</v>
      </c>
      <c r="D52" s="1299">
        <v>220602.19099999999</v>
      </c>
      <c r="E52" s="1299">
        <v>7</v>
      </c>
      <c r="F52" s="1299">
        <v>66997.736999999994</v>
      </c>
    </row>
    <row r="53" spans="1:6">
      <c r="A53" s="1298" t="s">
        <v>43</v>
      </c>
      <c r="B53" s="1298" t="s">
        <v>44</v>
      </c>
      <c r="C53" s="1299">
        <v>67</v>
      </c>
      <c r="D53" s="1299">
        <v>957797.09499999997</v>
      </c>
      <c r="E53" s="1299">
        <v>173</v>
      </c>
      <c r="F53" s="1299">
        <v>561393.88699999999</v>
      </c>
    </row>
    <row r="54" spans="1:6">
      <c r="A54" s="1298" t="s">
        <v>45</v>
      </c>
      <c r="B54" s="1298" t="s">
        <v>46</v>
      </c>
      <c r="C54" s="1299">
        <v>0</v>
      </c>
      <c r="D54" s="1299">
        <v>0</v>
      </c>
      <c r="E54" s="1299">
        <v>1</v>
      </c>
      <c r="F54" s="1299">
        <v>1007726</v>
      </c>
    </row>
    <row r="55" spans="1:6">
      <c r="A55" s="1298" t="s">
        <v>45</v>
      </c>
      <c r="B55" s="1298" t="s">
        <v>28</v>
      </c>
      <c r="C55" s="1299">
        <v>0</v>
      </c>
      <c r="D55" s="1299">
        <v>0</v>
      </c>
      <c r="E55" s="1299">
        <v>0</v>
      </c>
      <c r="F55" s="1299">
        <v>0</v>
      </c>
    </row>
    <row r="56" spans="1:6">
      <c r="A56" s="1298" t="s">
        <v>47</v>
      </c>
      <c r="B56" s="1298" t="s">
        <v>28</v>
      </c>
      <c r="C56" s="1299">
        <v>0</v>
      </c>
      <c r="D56" s="1299">
        <v>0</v>
      </c>
      <c r="E56" s="1299">
        <v>0</v>
      </c>
      <c r="F56" s="1299">
        <v>0</v>
      </c>
    </row>
    <row r="57" spans="1:6">
      <c r="A57" s="1298" t="s">
        <v>48</v>
      </c>
      <c r="B57" s="1298" t="s">
        <v>49</v>
      </c>
      <c r="C57" s="1299">
        <v>22</v>
      </c>
      <c r="D57" s="1299">
        <v>570692.429</v>
      </c>
      <c r="E57" s="1299">
        <v>35</v>
      </c>
      <c r="F57" s="1299">
        <v>627452.27300000004</v>
      </c>
    </row>
    <row r="58" spans="1:6">
      <c r="A58" s="1298" t="s">
        <v>48</v>
      </c>
      <c r="B58" s="1298" t="s">
        <v>50</v>
      </c>
      <c r="C58" s="1299">
        <v>13</v>
      </c>
      <c r="D58" s="1299">
        <v>321327.72499999998</v>
      </c>
      <c r="E58" s="1299">
        <v>21</v>
      </c>
      <c r="F58" s="1299">
        <v>134166.693</v>
      </c>
    </row>
    <row r="59" spans="1:6">
      <c r="A59" s="1298" t="s">
        <v>48</v>
      </c>
      <c r="B59" s="1298" t="s">
        <v>51</v>
      </c>
      <c r="C59" s="1299">
        <v>51</v>
      </c>
      <c r="D59" s="1299">
        <v>1890932.7509999999</v>
      </c>
      <c r="E59" s="1299">
        <v>127</v>
      </c>
      <c r="F59" s="1299">
        <v>4636320.602</v>
      </c>
    </row>
    <row r="60" spans="1:6">
      <c r="A60" s="1298" t="s">
        <v>48</v>
      </c>
      <c r="B60" s="1298" t="s">
        <v>52</v>
      </c>
      <c r="C60" s="1299">
        <v>38</v>
      </c>
      <c r="D60" s="1299">
        <v>1200300.422</v>
      </c>
      <c r="E60" s="1299">
        <v>57</v>
      </c>
      <c r="F60" s="1299">
        <v>899974.83100000001</v>
      </c>
    </row>
    <row r="61" spans="1:6">
      <c r="A61" s="1298" t="s">
        <v>48</v>
      </c>
      <c r="B61" s="1298" t="s">
        <v>53</v>
      </c>
      <c r="C61" s="1299">
        <v>57</v>
      </c>
      <c r="D61" s="1299">
        <v>2480278.11</v>
      </c>
      <c r="E61" s="1299">
        <v>162</v>
      </c>
      <c r="F61" s="1299">
        <v>1982981.003</v>
      </c>
    </row>
    <row r="62" spans="1:6">
      <c r="A62" s="1298" t="s">
        <v>48</v>
      </c>
      <c r="B62" s="1298" t="s">
        <v>54</v>
      </c>
      <c r="C62" s="1299">
        <v>28</v>
      </c>
      <c r="D62" s="1299">
        <v>2073977.389</v>
      </c>
      <c r="E62" s="1299">
        <v>62</v>
      </c>
      <c r="F62" s="1299">
        <v>627691.13600000006</v>
      </c>
    </row>
    <row r="63" spans="1:6">
      <c r="A63" s="1298" t="s">
        <v>48</v>
      </c>
      <c r="B63" s="1298" t="s">
        <v>28</v>
      </c>
      <c r="C63" s="1299">
        <v>76</v>
      </c>
      <c r="D63" s="1299">
        <v>3349232.2319999998</v>
      </c>
      <c r="E63" s="1299">
        <v>96</v>
      </c>
      <c r="F63" s="1299">
        <v>1609490.074</v>
      </c>
    </row>
    <row r="64" spans="1:6">
      <c r="A64" s="1298" t="s">
        <v>55</v>
      </c>
      <c r="B64" s="1298" t="s">
        <v>56</v>
      </c>
      <c r="C64" s="1299">
        <v>0</v>
      </c>
      <c r="D64" s="1299">
        <v>0</v>
      </c>
      <c r="E64" s="1299">
        <v>0</v>
      </c>
      <c r="F64" s="1299">
        <v>0</v>
      </c>
    </row>
    <row r="65" spans="1:6">
      <c r="A65" s="1298" t="s">
        <v>55</v>
      </c>
      <c r="B65" s="1298" t="s">
        <v>28</v>
      </c>
      <c r="C65" s="1299">
        <v>5</v>
      </c>
      <c r="D65" s="1299">
        <v>130879.538</v>
      </c>
      <c r="E65" s="1299">
        <v>4</v>
      </c>
      <c r="F65" s="1299">
        <v>116208.037</v>
      </c>
    </row>
    <row r="66" spans="1:6">
      <c r="A66" s="1298" t="s">
        <v>55</v>
      </c>
      <c r="B66" s="1298" t="s">
        <v>57</v>
      </c>
      <c r="C66" s="1299">
        <v>0</v>
      </c>
      <c r="D66" s="1299">
        <v>0</v>
      </c>
      <c r="E66" s="1299">
        <v>4</v>
      </c>
      <c r="F66" s="1299">
        <v>48674.116000000002</v>
      </c>
    </row>
    <row r="67" spans="1:6">
      <c r="A67" s="1300" t="s">
        <v>55</v>
      </c>
      <c r="B67" s="1300" t="s">
        <v>58</v>
      </c>
      <c r="C67" s="1299">
        <v>0</v>
      </c>
      <c r="D67" s="1299">
        <v>0</v>
      </c>
      <c r="E67" s="1299">
        <v>0</v>
      </c>
      <c r="F67" s="1299">
        <v>0</v>
      </c>
    </row>
    <row r="68" spans="1:6">
      <c r="A68" s="1293" t="s">
        <v>55</v>
      </c>
      <c r="B68" s="1293" t="s">
        <v>59</v>
      </c>
      <c r="C68" s="1302">
        <v>0</v>
      </c>
      <c r="D68" s="1302">
        <v>0</v>
      </c>
      <c r="E68" s="1302">
        <v>8</v>
      </c>
      <c r="F68" s="1302">
        <v>122691.39200000001</v>
      </c>
    </row>
    <row r="69" spans="1:6" ht="15.75" thickBot="1">
      <c r="A69" s="334"/>
      <c r="B69" s="330"/>
      <c r="C69" s="330"/>
      <c r="D69" s="330"/>
      <c r="E69" s="330"/>
      <c r="F69" s="330"/>
    </row>
    <row r="70" spans="1:6" ht="19.5">
      <c r="A70" s="1290" t="s">
        <v>60</v>
      </c>
      <c r="B70" s="331" t="s">
        <v>394</v>
      </c>
      <c r="C70" s="331" t="s">
        <v>676</v>
      </c>
      <c r="D70" s="331"/>
      <c r="E70" s="331"/>
      <c r="F70" s="335"/>
    </row>
    <row r="71" spans="1:6" ht="20.25" thickBot="1">
      <c r="A71" s="1309"/>
      <c r="B71" s="337"/>
      <c r="C71" s="337"/>
      <c r="D71" s="338" t="s">
        <v>432</v>
      </c>
      <c r="E71" s="337"/>
      <c r="F71" s="339"/>
    </row>
    <row r="72" spans="1:6" ht="16.5" thickTop="1" thickBot="1">
      <c r="A72" s="1295" t="s">
        <v>61</v>
      </c>
      <c r="B72" s="1296" t="s">
        <v>62</v>
      </c>
      <c r="C72" s="1310" t="s">
        <v>664</v>
      </c>
      <c r="D72" s="1311"/>
      <c r="E72" s="1311"/>
      <c r="F72" s="1297"/>
    </row>
    <row r="73" spans="1:6">
      <c r="A73" s="1298" t="s">
        <v>63</v>
      </c>
      <c r="B73" s="1298" t="s">
        <v>646</v>
      </c>
      <c r="C73" s="1312" t="s">
        <v>648</v>
      </c>
      <c r="D73" s="1313">
        <v>35196961</v>
      </c>
      <c r="E73" s="450"/>
      <c r="F73" s="330"/>
    </row>
    <row r="74" spans="1:6">
      <c r="A74" s="1298" t="s">
        <v>63</v>
      </c>
      <c r="B74" s="1298" t="s">
        <v>647</v>
      </c>
      <c r="C74" s="1312" t="s">
        <v>649</v>
      </c>
      <c r="D74" s="1313">
        <v>4473693</v>
      </c>
      <c r="E74" s="450"/>
      <c r="F74" s="330"/>
    </row>
    <row r="75" spans="1:6">
      <c r="A75" s="1298" t="s">
        <v>64</v>
      </c>
      <c r="B75" s="1298" t="s">
        <v>646</v>
      </c>
      <c r="C75" s="1312" t="s">
        <v>650</v>
      </c>
      <c r="D75" s="1313">
        <v>28123780</v>
      </c>
      <c r="E75" s="450"/>
      <c r="F75" s="330"/>
    </row>
    <row r="76" spans="1:6">
      <c r="A76" s="1298" t="s">
        <v>64</v>
      </c>
      <c r="B76" s="1298" t="s">
        <v>647</v>
      </c>
      <c r="C76" s="1312" t="s">
        <v>651</v>
      </c>
      <c r="D76" s="1313">
        <v>2094103</v>
      </c>
      <c r="E76" s="450"/>
      <c r="F76" s="330"/>
    </row>
    <row r="77" spans="1:6">
      <c r="A77" s="1298" t="s">
        <v>65</v>
      </c>
      <c r="B77" s="1298" t="s">
        <v>646</v>
      </c>
      <c r="C77" s="1312" t="s">
        <v>652</v>
      </c>
      <c r="D77" s="1313">
        <v>79801311</v>
      </c>
      <c r="E77" s="450"/>
      <c r="F77" s="330"/>
    </row>
    <row r="78" spans="1:6">
      <c r="A78" s="1293" t="s">
        <v>65</v>
      </c>
      <c r="B78" s="1293" t="s">
        <v>647</v>
      </c>
      <c r="C78" s="1293" t="s">
        <v>653</v>
      </c>
      <c r="D78" s="1314">
        <v>19322216</v>
      </c>
      <c r="E78" s="1315"/>
      <c r="F78" s="333"/>
    </row>
    <row r="79" spans="1:6">
      <c r="A79" s="1316"/>
      <c r="B79" s="1316"/>
      <c r="C79" s="330"/>
      <c r="D79" s="330"/>
      <c r="E79" s="330"/>
      <c r="F79" s="330"/>
    </row>
    <row r="80" spans="1:6" ht="15.75" thickBot="1">
      <c r="A80" s="1316"/>
      <c r="B80" s="1316"/>
      <c r="C80" s="330"/>
      <c r="D80" s="330"/>
      <c r="E80" s="330"/>
      <c r="F80" s="330"/>
    </row>
    <row r="81" spans="1:6" ht="20.25" thickBot="1">
      <c r="A81" s="1290" t="s">
        <v>333</v>
      </c>
      <c r="B81" s="1317" t="s">
        <v>389</v>
      </c>
      <c r="C81" s="331" t="s">
        <v>887</v>
      </c>
      <c r="D81" s="331"/>
      <c r="E81" s="331"/>
      <c r="F81" s="335"/>
    </row>
    <row r="82" spans="1:6" ht="16.5" thickTop="1" thickBot="1">
      <c r="A82" s="1295" t="s">
        <v>334</v>
      </c>
      <c r="B82" s="1311"/>
      <c r="C82" s="1311"/>
      <c r="D82" s="1296"/>
      <c r="E82" s="1296"/>
      <c r="F82" s="1297"/>
    </row>
    <row r="83" spans="1:6">
      <c r="A83" s="1298" t="s">
        <v>335</v>
      </c>
      <c r="B83" s="1313">
        <v>168704</v>
      </c>
      <c r="C83" s="450"/>
      <c r="D83" s="330"/>
      <c r="E83" s="330"/>
      <c r="F83" s="330"/>
    </row>
    <row r="84" spans="1:6">
      <c r="A84" s="1293" t="s">
        <v>336</v>
      </c>
      <c r="B84" s="1314">
        <v>0</v>
      </c>
      <c r="C84" s="1315"/>
      <c r="D84" s="333"/>
      <c r="E84" s="333"/>
      <c r="F84" s="333"/>
    </row>
    <row r="85" spans="1:6">
      <c r="A85" s="1316"/>
      <c r="B85" s="1318"/>
      <c r="C85" s="330"/>
      <c r="D85" s="330"/>
      <c r="E85" s="330"/>
      <c r="F85" s="330"/>
    </row>
    <row r="86" spans="1:6" ht="15.75" thickBot="1">
      <c r="A86" s="334"/>
      <c r="B86" s="330"/>
      <c r="C86" s="330"/>
      <c r="D86" s="330"/>
      <c r="E86" s="330"/>
      <c r="F86" s="330"/>
    </row>
    <row r="87" spans="1:6" ht="20.25" thickBot="1">
      <c r="A87" s="1290" t="s">
        <v>66</v>
      </c>
      <c r="B87" s="331" t="s">
        <v>389</v>
      </c>
      <c r="C87" s="331" t="s">
        <v>396</v>
      </c>
      <c r="D87" s="331"/>
      <c r="E87" s="331"/>
      <c r="F87" s="335"/>
    </row>
    <row r="88" spans="1:6" ht="16.5" thickTop="1" thickBot="1">
      <c r="A88" s="1295" t="s">
        <v>4</v>
      </c>
      <c r="B88" s="1296" t="s">
        <v>169</v>
      </c>
      <c r="C88" s="1296"/>
      <c r="D88" s="1296"/>
      <c r="E88" s="1296"/>
      <c r="F88" s="1297"/>
    </row>
    <row r="89" spans="1:6">
      <c r="A89" s="1298" t="s">
        <v>538</v>
      </c>
      <c r="B89" s="1299">
        <v>0</v>
      </c>
      <c r="C89" s="330"/>
      <c r="D89" s="330"/>
      <c r="E89" s="330"/>
      <c r="F89" s="330"/>
    </row>
    <row r="90" spans="1:6">
      <c r="A90" s="1298" t="s">
        <v>539</v>
      </c>
      <c r="B90" s="1299">
        <v>4156.8711036739996</v>
      </c>
      <c r="C90" s="330"/>
      <c r="D90" s="330"/>
      <c r="E90" s="330"/>
      <c r="F90" s="330"/>
    </row>
    <row r="91" spans="1:6">
      <c r="A91" s="1298" t="s">
        <v>67</v>
      </c>
      <c r="B91" s="1299">
        <v>2986.131896431893</v>
      </c>
      <c r="C91" s="330"/>
      <c r="D91" s="330"/>
      <c r="E91" s="330"/>
      <c r="F91" s="330"/>
    </row>
    <row r="92" spans="1:6">
      <c r="A92" s="1293" t="s">
        <v>68</v>
      </c>
      <c r="B92" s="1294">
        <v>278.06024795290472</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0" t="s">
        <v>69</v>
      </c>
      <c r="B95" s="331" t="s">
        <v>389</v>
      </c>
      <c r="C95" s="331" t="s">
        <v>397</v>
      </c>
      <c r="D95" s="331"/>
      <c r="E95" s="331"/>
      <c r="F95" s="335"/>
    </row>
    <row r="96" spans="1:6" ht="16.5" thickTop="1" thickBot="1">
      <c r="A96" s="1295" t="s">
        <v>4</v>
      </c>
      <c r="B96" s="1296" t="s">
        <v>5</v>
      </c>
      <c r="C96" s="1296"/>
      <c r="D96" s="1296"/>
      <c r="E96" s="1296"/>
      <c r="F96" s="1297"/>
    </row>
    <row r="97" spans="1:6">
      <c r="A97" s="1298" t="s">
        <v>70</v>
      </c>
      <c r="B97" s="1299">
        <v>1184</v>
      </c>
      <c r="C97" s="330"/>
      <c r="D97" s="330"/>
      <c r="E97" s="330"/>
      <c r="F97" s="330"/>
    </row>
    <row r="98" spans="1:6">
      <c r="A98" s="1298" t="s">
        <v>71</v>
      </c>
      <c r="B98" s="1299">
        <v>0</v>
      </c>
      <c r="C98" s="330"/>
      <c r="D98" s="330"/>
      <c r="E98" s="330"/>
      <c r="F98" s="330"/>
    </row>
    <row r="99" spans="1:6">
      <c r="A99" s="1298" t="s">
        <v>72</v>
      </c>
      <c r="B99" s="1299">
        <v>71</v>
      </c>
      <c r="C99" s="330"/>
      <c r="D99" s="330"/>
      <c r="E99" s="330"/>
      <c r="F99" s="330"/>
    </row>
    <row r="100" spans="1:6">
      <c r="A100" s="1298" t="s">
        <v>73</v>
      </c>
      <c r="B100" s="1299">
        <v>746</v>
      </c>
      <c r="C100" s="330"/>
      <c r="D100" s="330"/>
      <c r="E100" s="330"/>
      <c r="F100" s="330"/>
    </row>
    <row r="101" spans="1:6">
      <c r="A101" s="1298" t="s">
        <v>74</v>
      </c>
      <c r="B101" s="1299">
        <v>80</v>
      </c>
      <c r="C101" s="330"/>
      <c r="D101" s="330"/>
      <c r="E101" s="330"/>
      <c r="F101" s="330"/>
    </row>
    <row r="102" spans="1:6">
      <c r="A102" s="1298" t="s">
        <v>75</v>
      </c>
      <c r="B102" s="1299">
        <v>62</v>
      </c>
      <c r="C102" s="330"/>
      <c r="D102" s="330"/>
      <c r="E102" s="330"/>
      <c r="F102" s="330"/>
    </row>
    <row r="103" spans="1:6">
      <c r="A103" s="1298" t="s">
        <v>76</v>
      </c>
      <c r="B103" s="1299">
        <v>348</v>
      </c>
      <c r="C103" s="330"/>
      <c r="D103" s="330"/>
      <c r="E103" s="330"/>
      <c r="F103" s="330"/>
    </row>
    <row r="104" spans="1:6">
      <c r="A104" s="1298" t="s">
        <v>77</v>
      </c>
      <c r="B104" s="1299">
        <v>2007</v>
      </c>
      <c r="C104" s="330"/>
      <c r="D104" s="330"/>
      <c r="E104" s="330"/>
      <c r="F104" s="330"/>
    </row>
    <row r="105" spans="1:6">
      <c r="A105" s="1293" t="s">
        <v>78</v>
      </c>
      <c r="B105" s="1302">
        <v>9</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0" t="s">
        <v>635</v>
      </c>
      <c r="B108" s="331" t="s">
        <v>389</v>
      </c>
      <c r="C108" s="331" t="s">
        <v>396</v>
      </c>
      <c r="D108" s="331"/>
      <c r="E108" s="331"/>
      <c r="F108" s="335"/>
    </row>
    <row r="109" spans="1:6" ht="16.5" thickTop="1" thickBot="1">
      <c r="A109" s="1295" t="s">
        <v>4</v>
      </c>
      <c r="B109" s="1296" t="s">
        <v>5</v>
      </c>
      <c r="C109" s="1296"/>
      <c r="D109" s="1296"/>
      <c r="E109" s="1296"/>
      <c r="F109" s="1297"/>
    </row>
    <row r="110" spans="1:6">
      <c r="A110" s="1298" t="s">
        <v>636</v>
      </c>
      <c r="B110" s="1299">
        <v>0</v>
      </c>
      <c r="C110" s="330"/>
      <c r="D110" s="330"/>
      <c r="E110" s="330"/>
      <c r="F110" s="330"/>
    </row>
    <row r="111" spans="1:6">
      <c r="A111" s="1319" t="s">
        <v>637</v>
      </c>
      <c r="B111" s="1320">
        <v>0</v>
      </c>
      <c r="C111" s="1322"/>
      <c r="D111" s="1322"/>
      <c r="E111" s="1322"/>
      <c r="F111" s="1322"/>
    </row>
    <row r="112" spans="1:6">
      <c r="A112" s="1298"/>
      <c r="B112" s="330"/>
      <c r="C112" s="330"/>
      <c r="D112" s="330"/>
      <c r="E112" s="330"/>
      <c r="F112" s="330"/>
    </row>
    <row r="113" spans="1:6" ht="15.75" thickBot="1">
      <c r="A113" s="1293"/>
      <c r="B113" s="333"/>
      <c r="C113" s="333"/>
      <c r="D113" s="333"/>
      <c r="E113" s="333"/>
      <c r="F113" s="333"/>
    </row>
    <row r="114" spans="1:6" ht="20.25" thickBot="1">
      <c r="A114" s="1290" t="s">
        <v>79</v>
      </c>
      <c r="B114" s="331" t="s">
        <v>389</v>
      </c>
      <c r="C114" s="331" t="s">
        <v>396</v>
      </c>
      <c r="D114" s="331"/>
      <c r="E114" s="331"/>
      <c r="F114" s="335"/>
    </row>
    <row r="115" spans="1:6" ht="16.5" thickTop="1" thickBot="1">
      <c r="A115" s="340"/>
      <c r="B115" s="341" t="s">
        <v>80</v>
      </c>
      <c r="C115" s="341" t="s">
        <v>81</v>
      </c>
      <c r="D115" s="341"/>
      <c r="E115" s="341"/>
      <c r="F115" s="342"/>
    </row>
    <row r="116" spans="1:6" ht="16.5" thickTop="1" thickBot="1">
      <c r="A116" s="1295" t="s">
        <v>4</v>
      </c>
      <c r="B116" s="1296" t="s">
        <v>5</v>
      </c>
      <c r="C116" s="1296" t="s">
        <v>5</v>
      </c>
      <c r="D116" s="1296"/>
      <c r="E116" s="1296"/>
      <c r="F116" s="1297"/>
    </row>
    <row r="117" spans="1:6">
      <c r="A117" s="1298" t="s">
        <v>82</v>
      </c>
      <c r="B117" s="1299">
        <v>0</v>
      </c>
      <c r="C117" s="1299">
        <v>0</v>
      </c>
      <c r="D117" s="330"/>
      <c r="E117" s="330"/>
      <c r="F117" s="330"/>
    </row>
    <row r="118" spans="1:6">
      <c r="A118" s="1298" t="s">
        <v>83</v>
      </c>
      <c r="B118" s="1299">
        <v>0</v>
      </c>
      <c r="C118" s="1299">
        <v>0</v>
      </c>
      <c r="D118" s="330"/>
      <c r="E118" s="330"/>
      <c r="F118" s="330"/>
    </row>
    <row r="119" spans="1:6">
      <c r="A119" s="1298" t="s">
        <v>31</v>
      </c>
      <c r="B119" s="1299">
        <v>0</v>
      </c>
      <c r="C119" s="1299">
        <v>0</v>
      </c>
      <c r="D119" s="330"/>
      <c r="E119" s="330"/>
      <c r="F119" s="330"/>
    </row>
    <row r="120" spans="1:6">
      <c r="A120" s="1298" t="s">
        <v>84</v>
      </c>
      <c r="B120" s="1299">
        <v>0</v>
      </c>
      <c r="C120" s="1299">
        <v>0</v>
      </c>
      <c r="D120" s="330"/>
      <c r="E120" s="330"/>
      <c r="F120" s="330"/>
    </row>
    <row r="121" spans="1:6">
      <c r="A121" s="1298" t="s">
        <v>85</v>
      </c>
      <c r="B121" s="1299">
        <v>0</v>
      </c>
      <c r="C121" s="1299">
        <v>0</v>
      </c>
      <c r="D121" s="330"/>
      <c r="E121" s="330"/>
      <c r="F121" s="330"/>
    </row>
    <row r="122" spans="1:6">
      <c r="A122" s="1298" t="s">
        <v>86</v>
      </c>
      <c r="B122" s="1299">
        <v>0</v>
      </c>
      <c r="C122" s="1299">
        <v>0</v>
      </c>
      <c r="D122" s="330"/>
      <c r="E122" s="330"/>
      <c r="F122" s="330"/>
    </row>
    <row r="123" spans="1:6">
      <c r="A123" s="1298" t="s">
        <v>87</v>
      </c>
      <c r="B123" s="1299">
        <v>32</v>
      </c>
      <c r="C123" s="1299">
        <v>35</v>
      </c>
      <c r="D123" s="330"/>
      <c r="E123" s="330"/>
      <c r="F123" s="330"/>
    </row>
    <row r="124" spans="1:6" s="43" customFormat="1">
      <c r="A124" s="1300" t="s">
        <v>88</v>
      </c>
      <c r="B124" s="1321">
        <v>0</v>
      </c>
      <c r="C124" s="1321">
        <v>1</v>
      </c>
      <c r="D124" s="336"/>
      <c r="E124" s="336"/>
      <c r="F124" s="336"/>
    </row>
    <row r="125" spans="1:6">
      <c r="A125" s="1293" t="s">
        <v>882</v>
      </c>
      <c r="B125" s="1321">
        <v>0</v>
      </c>
      <c r="C125" s="1321">
        <v>0</v>
      </c>
      <c r="D125" s="330"/>
      <c r="E125" s="330"/>
      <c r="F125" s="330"/>
    </row>
    <row r="126" spans="1:6" ht="15.75" thickBot="1">
      <c r="A126" s="1316"/>
      <c r="B126" s="330"/>
      <c r="C126" s="330"/>
      <c r="D126" s="330"/>
      <c r="E126" s="330"/>
      <c r="F126" s="330"/>
    </row>
    <row r="127" spans="1:6" ht="20.25" thickBot="1">
      <c r="A127" s="1290" t="s">
        <v>292</v>
      </c>
      <c r="B127" s="331" t="s">
        <v>389</v>
      </c>
      <c r="C127" s="331" t="s">
        <v>396</v>
      </c>
      <c r="D127" s="331"/>
      <c r="E127" s="331"/>
      <c r="F127" s="335"/>
    </row>
    <row r="128" spans="1:6" ht="16.5" thickTop="1" thickBot="1">
      <c r="A128" s="1295" t="s">
        <v>4</v>
      </c>
      <c r="B128" s="1296" t="s">
        <v>5</v>
      </c>
      <c r="C128" s="1296"/>
      <c r="D128" s="1296"/>
      <c r="E128" s="1296"/>
      <c r="F128" s="1297"/>
    </row>
    <row r="129" spans="1:6">
      <c r="A129" s="1298" t="s">
        <v>293</v>
      </c>
      <c r="B129" s="1299">
        <v>184</v>
      </c>
      <c r="C129" s="330"/>
      <c r="D129" s="330"/>
      <c r="E129" s="330"/>
      <c r="F129" s="330"/>
    </row>
    <row r="130" spans="1:6">
      <c r="A130" s="1298" t="s">
        <v>294</v>
      </c>
      <c r="B130" s="1299">
        <v>2</v>
      </c>
      <c r="C130" s="330"/>
      <c r="D130" s="330"/>
      <c r="E130" s="330"/>
      <c r="F130" s="330"/>
    </row>
    <row r="131" spans="1:6">
      <c r="A131" s="1298" t="s">
        <v>295</v>
      </c>
      <c r="B131" s="1299">
        <v>1</v>
      </c>
      <c r="C131" s="330"/>
      <c r="D131" s="330"/>
      <c r="E131" s="330"/>
      <c r="F131" s="330"/>
    </row>
    <row r="132" spans="1:6">
      <c r="A132" s="1293" t="s">
        <v>296</v>
      </c>
      <c r="B132" s="1294">
        <v>16</v>
      </c>
      <c r="C132" s="333"/>
      <c r="D132" s="333"/>
      <c r="E132" s="333"/>
      <c r="F132" s="333"/>
    </row>
    <row r="133" spans="1:6">
      <c r="A133" s="330"/>
      <c r="B133" s="330"/>
      <c r="C133" s="330"/>
      <c r="D133" s="330"/>
      <c r="E133" s="330"/>
      <c r="F133" s="330"/>
    </row>
    <row r="134" spans="1:6">
      <c r="A134" s="1318"/>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B13" sqref="B13"/>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8"/>
      <c r="E1" s="648"/>
      <c r="F1" s="648"/>
    </row>
    <row r="2" spans="1:12">
      <c r="A2" s="44" t="s">
        <v>803</v>
      </c>
      <c r="B2" s="509"/>
      <c r="E2" s="648"/>
      <c r="F2" s="648"/>
    </row>
    <row r="3" spans="1:12">
      <c r="A3" s="44"/>
      <c r="B3" s="509"/>
      <c r="E3" s="648"/>
      <c r="F3" s="648"/>
    </row>
    <row r="4" spans="1:12" ht="18">
      <c r="A4" s="137" t="s">
        <v>180</v>
      </c>
      <c r="B4" s="510" t="s">
        <v>383</v>
      </c>
      <c r="E4" s="648"/>
      <c r="F4" s="648"/>
    </row>
    <row r="5" spans="1:12" ht="21">
      <c r="A5" s="116" t="s">
        <v>182</v>
      </c>
      <c r="B5" s="511"/>
      <c r="E5" s="903"/>
      <c r="F5" s="904"/>
      <c r="G5" s="914"/>
      <c r="H5" s="914"/>
      <c r="I5" s="9"/>
      <c r="J5" s="9"/>
    </row>
    <row r="6" spans="1:12">
      <c r="A6" s="117" t="s">
        <v>183</v>
      </c>
      <c r="B6" s="512">
        <v>4.0513950503279288</v>
      </c>
      <c r="E6" s="905"/>
      <c r="F6" s="905"/>
      <c r="G6" s="915"/>
      <c r="H6" s="915"/>
      <c r="I6" s="10"/>
      <c r="J6" s="10"/>
      <c r="K6" s="10"/>
      <c r="L6" s="10"/>
    </row>
    <row r="7" spans="1:12">
      <c r="A7" s="117" t="s">
        <v>6</v>
      </c>
      <c r="B7" s="512">
        <v>154.82889028421619</v>
      </c>
      <c r="E7" s="648"/>
      <c r="F7" s="648"/>
      <c r="G7" s="916"/>
      <c r="H7" s="916"/>
      <c r="K7" s="10"/>
      <c r="L7" s="10"/>
    </row>
    <row r="8" spans="1:12">
      <c r="A8" s="117" t="s">
        <v>7</v>
      </c>
      <c r="B8" s="512">
        <v>93.70280955270276</v>
      </c>
      <c r="E8" s="648"/>
      <c r="F8" s="648"/>
      <c r="G8" s="916"/>
      <c r="H8" s="916"/>
      <c r="K8" s="10"/>
      <c r="L8" s="10"/>
    </row>
    <row r="9" spans="1:12">
      <c r="A9" s="117" t="s">
        <v>8</v>
      </c>
      <c r="B9" s="512">
        <v>31.909886478760498</v>
      </c>
      <c r="E9" s="905"/>
      <c r="F9" s="905"/>
      <c r="G9" s="915"/>
      <c r="H9" s="915"/>
      <c r="I9" s="10"/>
      <c r="J9" s="10"/>
      <c r="K9" s="10"/>
      <c r="L9" s="10"/>
    </row>
    <row r="10" spans="1:12">
      <c r="A10" s="117" t="s">
        <v>9</v>
      </c>
      <c r="B10" s="512">
        <v>47.900718217356051</v>
      </c>
      <c r="E10" s="906"/>
      <c r="F10" s="906"/>
      <c r="G10" s="917"/>
      <c r="H10" s="917"/>
      <c r="I10" s="11"/>
      <c r="J10" s="11"/>
      <c r="K10" s="10"/>
      <c r="L10" s="10"/>
    </row>
    <row r="11" spans="1:12">
      <c r="A11" s="117" t="s">
        <v>10</v>
      </c>
      <c r="B11" s="512">
        <v>48.479822138264581</v>
      </c>
      <c r="E11" s="648"/>
      <c r="F11" s="906"/>
      <c r="G11" s="917"/>
      <c r="H11" s="917"/>
      <c r="I11" s="11"/>
      <c r="J11" s="11"/>
      <c r="K11" s="10"/>
      <c r="L11" s="10"/>
    </row>
    <row r="12" spans="1:12">
      <c r="A12" s="118" t="s">
        <v>16</v>
      </c>
      <c r="B12" s="512">
        <v>8</v>
      </c>
      <c r="E12" s="906"/>
      <c r="F12" s="905"/>
      <c r="G12" s="915"/>
      <c r="H12" s="915"/>
      <c r="I12" s="10"/>
      <c r="J12" s="10"/>
      <c r="K12" s="10"/>
      <c r="L12" s="10"/>
    </row>
    <row r="13" spans="1:12">
      <c r="A13" s="118" t="s">
        <v>17</v>
      </c>
      <c r="B13" s="512">
        <v>5</v>
      </c>
      <c r="E13" s="905"/>
      <c r="F13" s="905"/>
      <c r="G13" s="915"/>
      <c r="H13" s="915"/>
      <c r="I13" s="10"/>
      <c r="J13" s="10"/>
      <c r="K13" s="10"/>
      <c r="L13" s="10"/>
    </row>
    <row r="14" spans="1:12">
      <c r="A14" s="118" t="s">
        <v>184</v>
      </c>
      <c r="B14" s="512">
        <v>1.5</v>
      </c>
      <c r="E14" s="905"/>
      <c r="F14" s="905"/>
      <c r="G14" s="915"/>
      <c r="H14" s="915"/>
      <c r="I14" s="10"/>
      <c r="J14" s="10"/>
      <c r="K14" s="10"/>
      <c r="L14" s="10"/>
    </row>
    <row r="15" spans="1:12">
      <c r="A15" s="118" t="s">
        <v>185</v>
      </c>
      <c r="B15" s="512">
        <v>18</v>
      </c>
      <c r="E15" s="905"/>
      <c r="F15" s="905"/>
      <c r="G15" s="915"/>
      <c r="H15" s="915"/>
      <c r="I15" s="10"/>
      <c r="J15" s="10"/>
      <c r="K15" s="10"/>
      <c r="L15" s="10"/>
    </row>
    <row r="16" spans="1:12">
      <c r="A16" s="118" t="s">
        <v>805</v>
      </c>
      <c r="B16" s="513">
        <v>10</v>
      </c>
      <c r="E16" s="905"/>
      <c r="F16" s="905"/>
      <c r="G16" s="915"/>
      <c r="H16" s="915"/>
      <c r="I16" s="10"/>
      <c r="J16" s="10"/>
      <c r="K16" s="10"/>
      <c r="L16" s="10"/>
    </row>
    <row r="17" spans="1:12" s="43" customFormat="1" ht="15.75" thickBot="1">
      <c r="A17" s="119"/>
      <c r="B17" s="514"/>
      <c r="E17" s="907"/>
      <c r="F17" s="907"/>
      <c r="G17" s="154"/>
      <c r="H17" s="154"/>
      <c r="I17" s="154"/>
      <c r="J17" s="154"/>
      <c r="K17" s="154"/>
      <c r="L17" s="154"/>
    </row>
    <row r="18" spans="1:12" s="43" customFormat="1" ht="15.75" thickBot="1">
      <c r="A18" s="195"/>
      <c r="B18" s="515"/>
      <c r="E18" s="907"/>
      <c r="F18" s="907"/>
      <c r="G18" s="154"/>
      <c r="H18" s="154"/>
      <c r="I18" s="154"/>
      <c r="J18" s="154"/>
      <c r="K18" s="154"/>
      <c r="L18" s="154"/>
    </row>
    <row r="19" spans="1:12" ht="18.75" thickBot="1">
      <c r="A19" s="121" t="s">
        <v>187</v>
      </c>
      <c r="B19" s="508"/>
      <c r="E19" s="905"/>
      <c r="F19" s="905"/>
      <c r="G19" s="10"/>
      <c r="H19" s="10"/>
      <c r="I19" s="10"/>
      <c r="J19" s="10"/>
      <c r="K19" s="10"/>
      <c r="L19" s="10"/>
    </row>
    <row r="20" spans="1:12">
      <c r="A20" s="44" t="s">
        <v>803</v>
      </c>
      <c r="B20" s="509"/>
      <c r="E20" s="905"/>
      <c r="F20" s="905"/>
      <c r="G20" s="10"/>
      <c r="H20" s="10"/>
      <c r="I20" s="10"/>
      <c r="J20" s="10"/>
      <c r="K20" s="10"/>
      <c r="L20" s="10"/>
    </row>
    <row r="21" spans="1:12">
      <c r="A21" s="44"/>
      <c r="B21" s="509"/>
      <c r="E21" s="905"/>
      <c r="F21" s="905"/>
      <c r="G21" s="10"/>
      <c r="H21" s="10"/>
      <c r="I21" s="10"/>
      <c r="J21" s="10"/>
      <c r="K21" s="10"/>
      <c r="L21" s="10"/>
    </row>
    <row r="22" spans="1:12" ht="18">
      <c r="A22" s="138" t="s">
        <v>180</v>
      </c>
      <c r="B22" s="516" t="s">
        <v>383</v>
      </c>
      <c r="E22" s="905"/>
      <c r="F22" s="905"/>
      <c r="G22" s="10"/>
      <c r="H22" s="10"/>
      <c r="I22" s="10"/>
      <c r="J22" s="10"/>
      <c r="K22" s="10"/>
      <c r="L22" s="10"/>
    </row>
    <row r="23" spans="1:12" s="72" customFormat="1">
      <c r="A23" s="118" t="s">
        <v>182</v>
      </c>
      <c r="B23" s="512">
        <v>11.179298215104232</v>
      </c>
      <c r="E23" s="908"/>
      <c r="F23" s="908"/>
      <c r="G23" s="918"/>
      <c r="H23" s="918"/>
    </row>
    <row r="24" spans="1:12">
      <c r="A24" s="117" t="s">
        <v>183</v>
      </c>
      <c r="B24" s="512">
        <v>4.2231090152811745</v>
      </c>
      <c r="E24" s="905"/>
      <c r="F24" s="905"/>
      <c r="G24" s="915"/>
      <c r="H24" s="915"/>
      <c r="I24" s="10"/>
      <c r="J24" s="10"/>
      <c r="K24" s="10"/>
      <c r="L24" s="10"/>
    </row>
    <row r="25" spans="1:12">
      <c r="A25" s="117" t="s">
        <v>6</v>
      </c>
      <c r="B25" s="512">
        <v>38.500010322620319</v>
      </c>
      <c r="E25" s="905"/>
      <c r="F25" s="905"/>
      <c r="G25" s="915"/>
      <c r="H25" s="915"/>
      <c r="I25" s="10"/>
      <c r="J25" s="10"/>
      <c r="K25" s="10"/>
      <c r="L25" s="10"/>
    </row>
    <row r="26" spans="1:12">
      <c r="A26" s="117" t="s">
        <v>7</v>
      </c>
      <c r="B26" s="512">
        <v>2.6387483538958847</v>
      </c>
      <c r="E26" s="905"/>
      <c r="F26" s="905"/>
      <c r="G26" s="915"/>
      <c r="H26" s="915"/>
      <c r="I26" s="10"/>
      <c r="J26" s="10"/>
      <c r="K26" s="10"/>
      <c r="L26" s="10"/>
    </row>
    <row r="27" spans="1:12">
      <c r="A27" s="117" t="s">
        <v>8</v>
      </c>
      <c r="B27" s="512">
        <v>1.1993683996109175</v>
      </c>
      <c r="E27" s="905"/>
      <c r="F27" s="905"/>
      <c r="G27" s="915"/>
      <c r="H27" s="915"/>
      <c r="I27" s="10"/>
      <c r="J27" s="10"/>
      <c r="K27" s="10"/>
      <c r="L27" s="10"/>
    </row>
    <row r="28" spans="1:12">
      <c r="A28" s="117" t="s">
        <v>9</v>
      </c>
      <c r="B28" s="512">
        <v>5.0655067831320864</v>
      </c>
      <c r="E28" s="905"/>
      <c r="F28" s="905"/>
      <c r="G28" s="915"/>
      <c r="H28" s="915"/>
      <c r="I28" s="10"/>
      <c r="J28" s="10"/>
      <c r="K28" s="10"/>
      <c r="L28" s="10"/>
    </row>
    <row r="29" spans="1:12">
      <c r="A29" s="117" t="s">
        <v>10</v>
      </c>
      <c r="B29" s="512">
        <v>3.8951527391088074</v>
      </c>
      <c r="E29" s="905"/>
      <c r="F29" s="905"/>
      <c r="G29" s="915"/>
      <c r="H29" s="915"/>
      <c r="I29" s="10"/>
      <c r="J29" s="10"/>
      <c r="K29" s="10"/>
      <c r="L29" s="10"/>
    </row>
    <row r="30" spans="1:12">
      <c r="A30" s="118" t="s">
        <v>184</v>
      </c>
      <c r="B30" s="512">
        <v>4.4523135992211316</v>
      </c>
      <c r="E30" s="905"/>
      <c r="F30" s="905"/>
      <c r="G30" s="915"/>
      <c r="H30" s="915"/>
      <c r="I30" s="10"/>
      <c r="J30" s="10"/>
      <c r="K30" s="10"/>
      <c r="L30" s="10"/>
    </row>
    <row r="31" spans="1:12">
      <c r="A31" s="117" t="s">
        <v>11</v>
      </c>
      <c r="B31" s="512">
        <v>1.6075002802320006</v>
      </c>
      <c r="E31" s="905"/>
      <c r="F31" s="905"/>
      <c r="G31" s="915"/>
      <c r="H31" s="915"/>
      <c r="I31" s="10"/>
      <c r="J31" s="10"/>
      <c r="K31" s="10"/>
      <c r="L31" s="10"/>
    </row>
    <row r="32" spans="1:12">
      <c r="A32" s="117" t="s">
        <v>12</v>
      </c>
      <c r="B32" s="512">
        <v>4.8225008406960006</v>
      </c>
      <c r="E32" s="905"/>
      <c r="F32" s="905"/>
      <c r="G32" s="915"/>
      <c r="H32" s="915"/>
      <c r="I32" s="10"/>
      <c r="J32" s="10"/>
      <c r="K32" s="10"/>
      <c r="L32" s="10"/>
    </row>
    <row r="33" spans="1:14">
      <c r="A33" s="117" t="s">
        <v>13</v>
      </c>
      <c r="B33" s="512">
        <v>6.3685027042560023</v>
      </c>
      <c r="E33" s="905"/>
      <c r="F33" s="905"/>
      <c r="G33" s="915"/>
      <c r="H33" s="915"/>
      <c r="I33" s="10"/>
      <c r="J33" s="10"/>
      <c r="K33" s="10"/>
      <c r="L33" s="10"/>
    </row>
    <row r="34" spans="1:14">
      <c r="A34" s="117" t="s">
        <v>14</v>
      </c>
      <c r="B34" s="512">
        <v>4.6362973013280016</v>
      </c>
      <c r="E34" s="905"/>
      <c r="F34" s="905"/>
      <c r="G34" s="915"/>
      <c r="H34" s="915"/>
      <c r="I34" s="10"/>
      <c r="J34" s="10"/>
      <c r="K34" s="10"/>
      <c r="L34" s="10"/>
    </row>
    <row r="35" spans="1:14">
      <c r="A35" s="117" t="s">
        <v>15</v>
      </c>
      <c r="B35" s="512">
        <v>12.338973989496003</v>
      </c>
      <c r="E35" s="905"/>
      <c r="F35" s="905"/>
      <c r="G35" s="915"/>
      <c r="H35" s="915"/>
      <c r="I35" s="10"/>
      <c r="J35" s="10"/>
      <c r="K35" s="10"/>
      <c r="L35" s="10"/>
    </row>
    <row r="36" spans="1:14">
      <c r="A36" s="118" t="s">
        <v>16</v>
      </c>
      <c r="B36" s="512">
        <v>0.19</v>
      </c>
      <c r="E36" s="905"/>
      <c r="F36" s="905"/>
      <c r="G36" s="915"/>
      <c r="H36" s="915"/>
      <c r="I36" s="10"/>
      <c r="J36" s="10"/>
      <c r="K36" s="10"/>
      <c r="L36" s="10"/>
    </row>
    <row r="37" spans="1:14">
      <c r="A37" s="118" t="s">
        <v>17</v>
      </c>
      <c r="B37" s="512">
        <v>0.13</v>
      </c>
      <c r="E37" s="648"/>
      <c r="F37" s="648"/>
      <c r="G37" s="916"/>
      <c r="H37" s="916"/>
    </row>
    <row r="38" spans="1:14">
      <c r="A38" s="118" t="s">
        <v>185</v>
      </c>
      <c r="B38" s="512">
        <v>1.5599999999999998</v>
      </c>
      <c r="E38" s="648"/>
      <c r="F38" s="648"/>
      <c r="G38" s="916"/>
      <c r="H38" s="916"/>
    </row>
    <row r="39" spans="1:14">
      <c r="A39" s="118" t="s">
        <v>186</v>
      </c>
      <c r="B39" s="512">
        <v>0.76</v>
      </c>
      <c r="E39" s="648"/>
      <c r="F39" s="648"/>
      <c r="G39" s="916"/>
      <c r="H39" s="916"/>
    </row>
    <row r="40" spans="1:14">
      <c r="A40" s="118" t="s">
        <v>18</v>
      </c>
      <c r="B40" s="513">
        <v>2.3420549746359747E-2</v>
      </c>
      <c r="E40" s="648"/>
      <c r="F40" s="648"/>
      <c r="G40" s="916"/>
      <c r="H40" s="916"/>
    </row>
    <row r="41" spans="1:14" ht="15.75" thickBot="1">
      <c r="A41" s="119"/>
      <c r="B41" s="517"/>
      <c r="E41" s="648"/>
      <c r="F41" s="648"/>
    </row>
    <row r="42" spans="1:14" s="43" customFormat="1" ht="15.75" thickBot="1">
      <c r="A42" s="196"/>
      <c r="B42" s="515"/>
      <c r="E42" s="909"/>
      <c r="F42" s="909"/>
      <c r="G42" s="197"/>
      <c r="H42" s="197"/>
      <c r="I42" s="197"/>
      <c r="J42" s="197"/>
      <c r="K42" s="197"/>
      <c r="L42" s="197"/>
      <c r="M42" s="197"/>
      <c r="N42" s="197"/>
    </row>
    <row r="43" spans="1:14" ht="15.75" thickBot="1">
      <c r="A43" s="121" t="s">
        <v>188</v>
      </c>
      <c r="B43" s="518"/>
      <c r="E43" s="648"/>
      <c r="F43" s="648"/>
    </row>
    <row r="44" spans="1:14">
      <c r="A44" s="44" t="s">
        <v>804</v>
      </c>
      <c r="B44" s="509"/>
      <c r="E44" s="648"/>
      <c r="F44" s="648"/>
    </row>
    <row r="45" spans="1:14">
      <c r="A45" s="44"/>
      <c r="B45" s="509"/>
      <c r="E45" s="648"/>
      <c r="F45" s="648"/>
    </row>
    <row r="46" spans="1:14" ht="18">
      <c r="A46" s="137" t="s">
        <v>189</v>
      </c>
      <c r="B46" s="510" t="s">
        <v>565</v>
      </c>
      <c r="E46" s="648"/>
      <c r="F46" s="648"/>
    </row>
    <row r="47" spans="1:14">
      <c r="A47" s="116" t="s">
        <v>190</v>
      </c>
      <c r="B47" s="1049">
        <v>0.88861662939023001</v>
      </c>
      <c r="E47" s="648"/>
      <c r="F47" s="648"/>
    </row>
    <row r="48" spans="1:14">
      <c r="A48" s="118" t="s">
        <v>191</v>
      </c>
      <c r="B48" s="1050">
        <v>0.94614482368636998</v>
      </c>
      <c r="E48" s="648"/>
      <c r="F48" s="648"/>
    </row>
    <row r="49" spans="1:12">
      <c r="A49" s="118" t="s">
        <v>184</v>
      </c>
      <c r="B49" s="1050">
        <v>3.107112902577E-2</v>
      </c>
      <c r="E49" s="648"/>
      <c r="F49" s="648"/>
    </row>
    <row r="50" spans="1:12">
      <c r="A50" s="118" t="s">
        <v>18</v>
      </c>
      <c r="B50" s="1051">
        <v>9.5679604357000003E-4</v>
      </c>
      <c r="E50" s="905"/>
      <c r="F50" s="905"/>
      <c r="G50" s="10"/>
      <c r="H50" s="10"/>
      <c r="I50" s="10"/>
      <c r="J50" s="10"/>
      <c r="K50" s="10"/>
      <c r="L50" s="10"/>
    </row>
    <row r="51" spans="1:12">
      <c r="A51" s="118" t="s">
        <v>16</v>
      </c>
      <c r="B51" s="1052">
        <v>6.4874437414799997E-3</v>
      </c>
      <c r="E51" s="905"/>
      <c r="F51" s="905"/>
      <c r="G51" s="10"/>
      <c r="H51" s="10"/>
      <c r="I51" s="10"/>
      <c r="J51" s="10"/>
      <c r="K51" s="10"/>
      <c r="L51" s="10"/>
    </row>
    <row r="52" spans="1:12" ht="15.75" thickBot="1">
      <c r="A52" s="119" t="s">
        <v>126</v>
      </c>
      <c r="B52" s="1053">
        <v>9.7935082605305673E-2</v>
      </c>
      <c r="E52" s="648"/>
      <c r="F52" s="648"/>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heetViews>
  <sheetFormatPr defaultRowHeight="15"/>
  <cols>
    <col min="1" max="1" width="80" customWidth="1"/>
    <col min="2" max="2" width="36" style="450" customWidth="1"/>
    <col min="3" max="3" width="70.28515625" style="523" customWidth="1"/>
  </cols>
  <sheetData>
    <row r="1" spans="1:3" s="330" customFormat="1" ht="15.75" thickBot="1">
      <c r="A1" s="366" t="s">
        <v>616</v>
      </c>
      <c r="B1" s="521"/>
      <c r="C1" s="522"/>
    </row>
    <row r="2" spans="1:3" s="330" customFormat="1">
      <c r="A2" s="370"/>
      <c r="B2" s="489"/>
      <c r="C2" s="524"/>
    </row>
    <row r="3" spans="1:3" s="330" customFormat="1">
      <c r="A3" s="368"/>
      <c r="B3" s="525">
        <v>2017</v>
      </c>
      <c r="C3" s="371" t="s">
        <v>181</v>
      </c>
    </row>
    <row r="4" spans="1:3">
      <c r="A4" s="120" t="s">
        <v>300</v>
      </c>
      <c r="B4" s="526">
        <v>4560.3379253907206</v>
      </c>
      <c r="C4" s="139" t="s">
        <v>806</v>
      </c>
    </row>
    <row r="5" spans="1:3" ht="15.75" thickBot="1">
      <c r="A5" s="925" t="s">
        <v>615</v>
      </c>
      <c r="B5" s="933">
        <v>675419.64000000013</v>
      </c>
      <c r="C5" s="934" t="s">
        <v>807</v>
      </c>
    </row>
    <row r="11" spans="1:3">
      <c r="B11" s="797"/>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433</v>
      </c>
      <c r="B1" s="367"/>
    </row>
    <row r="2" spans="1:2" s="330" customFormat="1">
      <c r="A2" s="358"/>
      <c r="B2" s="365"/>
    </row>
    <row r="3" spans="1:2" s="330" customFormat="1" ht="18">
      <c r="A3" s="368"/>
      <c r="B3" s="369" t="s">
        <v>436</v>
      </c>
    </row>
    <row r="4" spans="1:2" ht="18">
      <c r="A4" s="120" t="s">
        <v>434</v>
      </c>
      <c r="B4" s="527">
        <v>310</v>
      </c>
    </row>
    <row r="5" spans="1:2" ht="18.75" thickBot="1">
      <c r="A5" s="115" t="s">
        <v>435</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423</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424</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379</v>
      </c>
      <c r="B2" s="793"/>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920" t="s">
        <v>645</v>
      </c>
      <c r="B6" s="414" t="s">
        <v>768</v>
      </c>
      <c r="C6" s="415" t="s">
        <v>357</v>
      </c>
    </row>
    <row r="7" spans="1:3" s="330" customFormat="1">
      <c r="A7" s="920" t="s">
        <v>731</v>
      </c>
      <c r="B7" s="416" t="s">
        <v>592</v>
      </c>
      <c r="C7" s="417" t="s">
        <v>591</v>
      </c>
    </row>
    <row r="8" spans="1:3" s="330" customFormat="1">
      <c r="A8" s="445"/>
      <c r="B8" s="416"/>
      <c r="C8" s="417"/>
    </row>
    <row r="9" spans="1:3" ht="21">
      <c r="A9" s="126" t="s">
        <v>459</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RowHeight="15"/>
  <cols>
    <col min="1" max="1" width="82.7109375" style="330"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7" t="s">
        <v>475</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493</v>
      </c>
      <c r="B3" s="49">
        <f ca="1">IF(ISERROR('SEAP template'!C27),0,'SEAP template'!C27)</f>
        <v>41554.163045936177</v>
      </c>
      <c r="C3" s="43" t="s">
        <v>169</v>
      </c>
      <c r="D3" s="43"/>
      <c r="E3" s="154"/>
      <c r="F3" s="43"/>
      <c r="G3" s="43"/>
      <c r="H3" s="43"/>
      <c r="I3" s="43"/>
      <c r="J3" s="43"/>
      <c r="K3" s="96"/>
    </row>
    <row r="4" spans="1:11">
      <c r="A4" s="358" t="s">
        <v>170</v>
      </c>
      <c r="B4" s="49">
        <f>IF(ISERROR('SEAP template'!B78+'SEAP template'!C78),0,'SEAP template'!B78+'SEAP template'!C78)</f>
        <v>11367.563248058797</v>
      </c>
      <c r="C4" s="43" t="s">
        <v>169</v>
      </c>
      <c r="D4" s="43"/>
      <c r="E4" s="43"/>
      <c r="F4" s="43"/>
      <c r="G4" s="43"/>
      <c r="H4" s="43"/>
      <c r="I4" s="43"/>
      <c r="J4" s="43"/>
      <c r="K4" s="96"/>
    </row>
    <row r="5" spans="1:11">
      <c r="A5" s="358" t="s">
        <v>526</v>
      </c>
      <c r="B5" s="49">
        <f>IF(ISERROR('Eigen informatie GS &amp; warmtenet'!B4),0,'Eigen informatie GS &amp; warmtenet'!B4)</f>
        <v>0</v>
      </c>
      <c r="C5" s="43" t="s">
        <v>169</v>
      </c>
      <c r="D5" s="43"/>
      <c r="E5" s="43"/>
      <c r="F5" s="43"/>
      <c r="G5" s="43"/>
      <c r="H5" s="43"/>
      <c r="I5" s="43"/>
      <c r="J5" s="43"/>
      <c r="K5" s="96"/>
    </row>
    <row r="6" spans="1:11">
      <c r="A6" s="358" t="s">
        <v>171</v>
      </c>
      <c r="B6" s="530">
        <f>E6</f>
        <v>0.221</v>
      </c>
      <c r="C6" s="43" t="s">
        <v>172</v>
      </c>
      <c r="D6" s="43"/>
      <c r="E6" s="931">
        <v>0.221</v>
      </c>
      <c r="F6" s="43" t="s">
        <v>697</v>
      </c>
      <c r="G6" s="43" t="s">
        <v>702</v>
      </c>
      <c r="H6" s="43"/>
      <c r="I6" s="43"/>
      <c r="J6" s="43"/>
      <c r="K6" s="96"/>
    </row>
    <row r="7" spans="1:11">
      <c r="A7" s="358"/>
      <c r="B7" s="452"/>
      <c r="C7" s="43"/>
      <c r="D7" s="43"/>
      <c r="E7" s="43"/>
      <c r="F7" s="48"/>
      <c r="G7" s="43"/>
      <c r="H7" s="43"/>
      <c r="I7" s="43"/>
      <c r="J7" s="43"/>
      <c r="K7" s="96"/>
    </row>
    <row r="8" spans="1:11">
      <c r="A8" s="358"/>
      <c r="B8" s="452"/>
      <c r="C8" s="43"/>
      <c r="D8" s="43"/>
      <c r="E8" s="43"/>
      <c r="F8" s="48"/>
      <c r="G8" s="43"/>
      <c r="H8" s="930"/>
      <c r="I8" s="155"/>
      <c r="J8" s="43"/>
      <c r="K8" s="96"/>
    </row>
    <row r="9" spans="1:11">
      <c r="A9" s="358" t="s">
        <v>174</v>
      </c>
      <c r="B9" s="49">
        <f>IF(ISERROR('SEAP template'!Q78),0,'SEAP template'!Q78)</f>
        <v>937.87411764705894</v>
      </c>
      <c r="C9" s="43" t="s">
        <v>173</v>
      </c>
      <c r="D9" s="43"/>
      <c r="E9" s="43"/>
      <c r="F9" s="43"/>
      <c r="G9" s="43"/>
      <c r="H9" s="43"/>
      <c r="I9" s="43"/>
      <c r="J9" s="43"/>
      <c r="K9" s="96"/>
    </row>
    <row r="10" spans="1:11">
      <c r="A10" s="358" t="s">
        <v>399</v>
      </c>
      <c r="B10" s="48">
        <v>0</v>
      </c>
      <c r="C10" s="43" t="s">
        <v>173</v>
      </c>
      <c r="D10" s="154"/>
      <c r="E10" s="43"/>
      <c r="F10" s="43"/>
      <c r="G10" s="43"/>
      <c r="H10" s="43"/>
      <c r="I10" s="43"/>
      <c r="J10" s="43"/>
      <c r="K10" s="96"/>
    </row>
    <row r="11" spans="1:11">
      <c r="A11" s="358"/>
      <c r="B11" s="452"/>
      <c r="C11" s="43"/>
      <c r="D11" s="43"/>
      <c r="E11" s="43"/>
      <c r="F11" s="43"/>
      <c r="G11" s="43"/>
      <c r="H11" s="43"/>
      <c r="I11" s="43"/>
      <c r="J11" s="43"/>
      <c r="K11" s="96"/>
    </row>
    <row r="12" spans="1:11">
      <c r="A12" s="359" t="s">
        <v>175</v>
      </c>
      <c r="B12" s="529">
        <f ca="1">IF((B4+B5)&gt;B3,(B9+B10)/(B4+B5),((B3-B4-B5)*B6+B9+B10)/B3)</f>
        <v>0.18311312550240619</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476</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1339.8201680672271</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494</v>
      </c>
      <c r="B20" s="49">
        <f ca="1">IF(ISERROR('SEAP template'!D27),0,('SEAP template'!D27))</f>
        <v>5637.8571428571431</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1">
        <f ca="1">IF(B20=0,0,(B17+B18-B19)/B20)</f>
        <v>0.23764705882352943</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8"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88" t="s">
        <v>664</v>
      </c>
      <c r="B1" s="888" t="s">
        <v>307</v>
      </c>
      <c r="C1" s="888" t="s">
        <v>311</v>
      </c>
      <c r="D1" s="888" t="s">
        <v>312</v>
      </c>
      <c r="E1" s="888" t="s">
        <v>313</v>
      </c>
      <c r="F1" s="888" t="s">
        <v>314</v>
      </c>
      <c r="H1" s="1067" t="s">
        <v>878</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26">
        <v>1.269E-8</v>
      </c>
    </row>
    <row r="3" spans="1:8">
      <c r="A3" s="314" t="str">
        <f>CONCATENATE(TableECFTransport[[#This Row],[Voertuigtype]],"_",TableECFTransport[[#This Row],[Wegtype]],"_",TableECFTransport[[#This Row],[Brandstoftechnologie]],"_",TableECFTransport[[#This Row],[Brandstof]])</f>
        <v>BUS_Genummerde wegen_Diesel_Diesel</v>
      </c>
      <c r="B3" s="314" t="s">
        <v>662</v>
      </c>
      <c r="C3" s="314" t="s">
        <v>63</v>
      </c>
      <c r="D3" s="314" t="s">
        <v>201</v>
      </c>
      <c r="E3" s="314" t="s">
        <v>201</v>
      </c>
      <c r="F3" s="1026">
        <v>9.4264800000000003E-9</v>
      </c>
    </row>
    <row r="4" spans="1:8">
      <c r="A4" s="314" t="str">
        <f>CONCATENATE(TableECFTransport[[#This Row],[Voertuigtype]],"_",TableECFTransport[[#This Row],[Wegtype]],"_",TableECFTransport[[#This Row],[Brandstoftechnologie]],"_",TableECFTransport[[#This Row],[Brandstof]])</f>
        <v>BUS_Niet-genummerde wegen_Diesel_Diesel</v>
      </c>
      <c r="B4" s="314" t="s">
        <v>662</v>
      </c>
      <c r="C4" s="314" t="s">
        <v>64</v>
      </c>
      <c r="D4" s="314" t="s">
        <v>201</v>
      </c>
      <c r="E4" s="314" t="s">
        <v>201</v>
      </c>
      <c r="F4" s="1026">
        <v>1.68537E-8</v>
      </c>
    </row>
    <row r="5" spans="1:8">
      <c r="A5" s="314" t="str">
        <f>CONCATENATE(TableECFTransport[[#This Row],[Voertuigtype]],"_",TableECFTransport[[#This Row],[Wegtype]],"_",TableECFTransport[[#This Row],[Brandstoftechnologie]],"_",TableECFTransport[[#This Row],[Brandstof]])</f>
        <v>BUS_Genummerde wegen_Diesel Hybrid CS_Diesel</v>
      </c>
      <c r="B5" s="314" t="s">
        <v>662</v>
      </c>
      <c r="C5" s="314" t="s">
        <v>63</v>
      </c>
      <c r="D5" s="314" t="s">
        <v>316</v>
      </c>
      <c r="E5" s="314" t="s">
        <v>201</v>
      </c>
      <c r="F5" s="1026">
        <v>9.4264800000000003E-9</v>
      </c>
    </row>
    <row r="6" spans="1:8" s="888" customFormat="1">
      <c r="A6" s="314" t="str">
        <f>CONCATENATE(TableECFTransport[[#This Row],[Voertuigtype]],"_",TableECFTransport[[#This Row],[Wegtype]],"_",TableECFTransport[[#This Row],[Brandstoftechnologie]],"_",TableECFTransport[[#This Row],[Brandstof]])</f>
        <v>BUS_Niet-genummerde wegen_Diesel Hybrid CS_Diesel</v>
      </c>
      <c r="B6" s="314" t="s">
        <v>662</v>
      </c>
      <c r="C6" s="314" t="s">
        <v>64</v>
      </c>
      <c r="D6" s="314" t="s">
        <v>316</v>
      </c>
      <c r="E6" s="314" t="s">
        <v>201</v>
      </c>
      <c r="F6" s="1026">
        <v>1.68537E-8</v>
      </c>
    </row>
    <row r="7" spans="1:8">
      <c r="A7" s="314" t="str">
        <f>CONCATENATE(TableECFTransport[[#This Row],[Voertuigtype]],"_",TableECFTransport[[#This Row],[Wegtype]],"_",TableECFTransport[[#This Row],[Brandstoftechnologie]],"_",TableECFTransport[[#This Row],[Brandstof]])</f>
        <v>Lichte voertuigen_Genummerde wegen_CNG_CNG</v>
      </c>
      <c r="B7" s="314" t="s">
        <v>646</v>
      </c>
      <c r="C7" s="314" t="s">
        <v>63</v>
      </c>
      <c r="D7" s="314" t="s">
        <v>308</v>
      </c>
      <c r="E7" s="314" t="s">
        <v>308</v>
      </c>
      <c r="F7" s="1026">
        <v>2.5306699999999999E-9</v>
      </c>
    </row>
    <row r="8" spans="1:8">
      <c r="A8" s="314" t="str">
        <f>CONCATENATE(TableECFTransport[[#This Row],[Voertuigtype]],"_",TableECFTransport[[#This Row],[Wegtype]],"_",TableECFTransport[[#This Row],[Brandstoftechnologie]],"_",TableECFTransport[[#This Row],[Brandstof]])</f>
        <v>Lichte voertuigen_Genummerde wegen_Diesel_Diesel</v>
      </c>
      <c r="B8" s="314" t="s">
        <v>646</v>
      </c>
      <c r="C8" s="314" t="s">
        <v>63</v>
      </c>
      <c r="D8" s="314" t="s">
        <v>201</v>
      </c>
      <c r="E8" s="314" t="s">
        <v>201</v>
      </c>
      <c r="F8" s="1026">
        <v>2.20426E-9</v>
      </c>
    </row>
    <row r="9" spans="1:8">
      <c r="A9" s="314" t="str">
        <f>CONCATENATE(TableECFTransport[[#This Row],[Voertuigtype]],"_",TableECFTransport[[#This Row],[Wegtype]],"_",TableECFTransport[[#This Row],[Brandstoftechnologie]],"_",TableECFTransport[[#This Row],[Brandstof]])</f>
        <v>Lichte voertuigen_Genummerde wegen_E85_E85</v>
      </c>
      <c r="B9" s="314" t="s">
        <v>646</v>
      </c>
      <c r="C9" s="314" t="s">
        <v>63</v>
      </c>
      <c r="D9" s="314" t="s">
        <v>638</v>
      </c>
      <c r="E9" s="314" t="s">
        <v>638</v>
      </c>
      <c r="F9" s="1026">
        <v>2.2104899999999999E-9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646</v>
      </c>
      <c r="C10" s="314" t="s">
        <v>63</v>
      </c>
      <c r="D10" s="314" t="s">
        <v>309</v>
      </c>
      <c r="E10" s="314" t="s">
        <v>309</v>
      </c>
      <c r="F10" s="102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646</v>
      </c>
      <c r="C11" s="314" t="s">
        <v>63</v>
      </c>
      <c r="D11" s="314" t="s">
        <v>118</v>
      </c>
      <c r="E11" s="314" t="s">
        <v>118</v>
      </c>
      <c r="F11" s="1026">
        <v>2.2329499999999998E-9</v>
      </c>
    </row>
    <row r="12" spans="1:8">
      <c r="A12" s="314" t="str">
        <f>CONCATENATE(TableECFTransport[[#This Row],[Voertuigtype]],"_",TableECFTransport[[#This Row],[Wegtype]],"_",TableECFTransport[[#This Row],[Brandstoftechnologie]],"_",TableECFTransport[[#This Row],[Brandstof]])</f>
        <v>Lichte voertuigen_Genummerde wegen_Petrol_Petrol</v>
      </c>
      <c r="B12" s="314" t="s">
        <v>646</v>
      </c>
      <c r="C12" s="314" t="s">
        <v>63</v>
      </c>
      <c r="D12" s="314" t="s">
        <v>310</v>
      </c>
      <c r="E12" s="314" t="s">
        <v>310</v>
      </c>
      <c r="F12" s="1026">
        <v>2.2104899999999999E-9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646</v>
      </c>
      <c r="C13" s="314" t="s">
        <v>63</v>
      </c>
      <c r="D13" s="314" t="s">
        <v>666</v>
      </c>
      <c r="E13" s="314" t="s">
        <v>310</v>
      </c>
      <c r="F13" s="1026">
        <v>1.4723199999999999E-9</v>
      </c>
    </row>
    <row r="14" spans="1:8">
      <c r="A14" s="314" t="str">
        <f>CONCATENATE(TableECFTransport[[#This Row],[Voertuigtype]],"_",TableECFTransport[[#This Row],[Wegtype]],"_",TableECFTransport[[#This Row],[Brandstoftechnologie]],"_",TableECFTransport[[#This Row],[Brandstof]])</f>
        <v>Lichte voertuigen_Niet-genummerde wegen_CNG_CNG</v>
      </c>
      <c r="B14" s="314" t="s">
        <v>646</v>
      </c>
      <c r="C14" s="314" t="s">
        <v>64</v>
      </c>
      <c r="D14" s="314" t="s">
        <v>308</v>
      </c>
      <c r="E14" s="314" t="s">
        <v>308</v>
      </c>
      <c r="F14" s="1026">
        <v>4.2876699999999999E-9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646</v>
      </c>
      <c r="C15" s="314" t="s">
        <v>64</v>
      </c>
      <c r="D15" s="314" t="s">
        <v>201</v>
      </c>
      <c r="E15" s="314" t="s">
        <v>201</v>
      </c>
      <c r="F15" s="1026">
        <v>3.3158799999999999E-9</v>
      </c>
    </row>
    <row r="16" spans="1:8">
      <c r="A16" s="314" t="str">
        <f>CONCATENATE(TableECFTransport[[#This Row],[Voertuigtype]],"_",TableECFTransport[[#This Row],[Wegtype]],"_",TableECFTransport[[#This Row],[Brandstoftechnologie]],"_",TableECFTransport[[#This Row],[Brandstof]])</f>
        <v>Lichte voertuigen_Niet-genummerde wegen_E85_E85</v>
      </c>
      <c r="B16" s="314" t="s">
        <v>646</v>
      </c>
      <c r="C16" s="314" t="s">
        <v>64</v>
      </c>
      <c r="D16" s="314" t="s">
        <v>638</v>
      </c>
      <c r="E16" s="314" t="s">
        <v>638</v>
      </c>
      <c r="F16" s="1026">
        <v>3.6826000000000001E-9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646</v>
      </c>
      <c r="C17" s="314" t="s">
        <v>64</v>
      </c>
      <c r="D17" s="314" t="s">
        <v>309</v>
      </c>
      <c r="E17" s="314" t="s">
        <v>309</v>
      </c>
      <c r="F17" s="102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646</v>
      </c>
      <c r="C18" s="314" t="s">
        <v>64</v>
      </c>
      <c r="D18" s="314" t="s">
        <v>118</v>
      </c>
      <c r="E18" s="314" t="s">
        <v>118</v>
      </c>
      <c r="F18" s="1026">
        <v>3.5947099999999999E-9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646</v>
      </c>
      <c r="C19" s="314" t="s">
        <v>64</v>
      </c>
      <c r="D19" s="314" t="s">
        <v>310</v>
      </c>
      <c r="E19" s="314" t="s">
        <v>310</v>
      </c>
      <c r="F19" s="1026">
        <v>3.6826000000000001E-9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646</v>
      </c>
      <c r="C20" s="314" t="s">
        <v>64</v>
      </c>
      <c r="D20" s="314" t="s">
        <v>666</v>
      </c>
      <c r="E20" s="314" t="s">
        <v>310</v>
      </c>
      <c r="F20" s="1026">
        <v>2.5640400000000002E-9</v>
      </c>
    </row>
    <row r="21" spans="1:7">
      <c r="A21" s="314" t="str">
        <f>CONCATENATE(TableECFTransport[[#This Row],[Voertuigtype]],"_",TableECFTransport[[#This Row],[Wegtype]],"_",TableECFTransport[[#This Row],[Brandstoftechnologie]],"_",TableECFTransport[[#This Row],[Brandstof]])</f>
        <v>Lichte voertuigen_snelwegen_CNG_CNG</v>
      </c>
      <c r="B21" s="314" t="s">
        <v>646</v>
      </c>
      <c r="C21" s="314" t="s">
        <v>663</v>
      </c>
      <c r="D21" s="314" t="s">
        <v>308</v>
      </c>
      <c r="E21" s="314" t="s">
        <v>308</v>
      </c>
      <c r="F21" s="1026">
        <v>2.5366499999999999E-9</v>
      </c>
    </row>
    <row r="22" spans="1:7">
      <c r="A22" s="314" t="str">
        <f>CONCATENATE(TableECFTransport[[#This Row],[Voertuigtype]],"_",TableECFTransport[[#This Row],[Wegtype]],"_",TableECFTransport[[#This Row],[Brandstoftechnologie]],"_",TableECFTransport[[#This Row],[Brandstof]])</f>
        <v>Lichte voertuigen_snelwegen_Diesel_Diesel</v>
      </c>
      <c r="B22" s="314" t="s">
        <v>646</v>
      </c>
      <c r="C22" s="314" t="s">
        <v>663</v>
      </c>
      <c r="D22" s="314" t="s">
        <v>201</v>
      </c>
      <c r="E22" s="314" t="s">
        <v>201</v>
      </c>
      <c r="F22" s="1026">
        <v>2.4530000000000001E-9</v>
      </c>
    </row>
    <row r="23" spans="1:7">
      <c r="A23" s="314" t="str">
        <f>CONCATENATE(TableECFTransport[[#This Row],[Voertuigtype]],"_",TableECFTransport[[#This Row],[Wegtype]],"_",TableECFTransport[[#This Row],[Brandstoftechnologie]],"_",TableECFTransport[[#This Row],[Brandstof]])</f>
        <v>Lichte voertuigen_snelwegen_E85_E85</v>
      </c>
      <c r="B23" s="314" t="s">
        <v>646</v>
      </c>
      <c r="C23" s="314" t="s">
        <v>663</v>
      </c>
      <c r="D23" s="314" t="s">
        <v>638</v>
      </c>
      <c r="E23" s="314" t="s">
        <v>638</v>
      </c>
      <c r="F23" s="1026">
        <v>2.3119100000000001E-9</v>
      </c>
    </row>
    <row r="24" spans="1:7">
      <c r="A24" s="314" t="str">
        <f>CONCATENATE(TableECFTransport[[#This Row],[Voertuigtype]],"_",TableECFTransport[[#This Row],[Wegtype]],"_",TableECFTransport[[#This Row],[Brandstoftechnologie]],"_",TableECFTransport[[#This Row],[Brandstof]])</f>
        <v>Lichte voertuigen_snelwegen_Electric_Electric</v>
      </c>
      <c r="B24" s="314" t="s">
        <v>646</v>
      </c>
      <c r="C24" s="314" t="s">
        <v>663</v>
      </c>
      <c r="D24" s="314" t="s">
        <v>309</v>
      </c>
      <c r="E24" s="314" t="s">
        <v>309</v>
      </c>
      <c r="F24" s="102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646</v>
      </c>
      <c r="C25" s="314" t="s">
        <v>663</v>
      </c>
      <c r="D25" s="314" t="s">
        <v>118</v>
      </c>
      <c r="E25" s="314" t="s">
        <v>118</v>
      </c>
      <c r="F25" s="1026">
        <v>2.7889400000000001E-9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646</v>
      </c>
      <c r="C26" s="314" t="s">
        <v>663</v>
      </c>
      <c r="D26" s="314" t="s">
        <v>310</v>
      </c>
      <c r="E26" s="314" t="s">
        <v>310</v>
      </c>
      <c r="F26" s="1026">
        <v>2.3119100000000001E-9</v>
      </c>
    </row>
    <row r="27" spans="1:7">
      <c r="A27" s="314" t="str">
        <f>CONCATENATE(TableECFTransport[[#This Row],[Voertuigtype]],"_",TableECFTransport[[#This Row],[Wegtype]],"_",TableECFTransport[[#This Row],[Brandstoftechnologie]],"_",TableECFTransport[[#This Row],[Brandstof]])</f>
        <v>Lichte voertuigen_snelwegen_Petrol Hybrid_Petrol</v>
      </c>
      <c r="B27" s="314" t="s">
        <v>646</v>
      </c>
      <c r="C27" s="314" t="s">
        <v>663</v>
      </c>
      <c r="D27" s="314" t="s">
        <v>666</v>
      </c>
      <c r="E27" s="314" t="s">
        <v>310</v>
      </c>
      <c r="F27" s="1026">
        <v>1.82724E-9</v>
      </c>
      <c r="G27" s="911"/>
    </row>
    <row r="28" spans="1:7">
      <c r="A28" s="314" t="str">
        <f>CONCATENATE(TableECFTransport[[#This Row],[Voertuigtype]],"_",TableECFTransport[[#This Row],[Wegtype]],"_",TableECFTransport[[#This Row],[Brandstoftechnologie]],"_",TableECFTransport[[#This Row],[Brandstof]])</f>
        <v>Zware voertuigen_Genummerde wegen_Diesel_Diesel</v>
      </c>
      <c r="B28" s="314" t="s">
        <v>647</v>
      </c>
      <c r="C28" s="314" t="s">
        <v>63</v>
      </c>
      <c r="D28" s="314" t="s">
        <v>201</v>
      </c>
      <c r="E28" s="314" t="s">
        <v>201</v>
      </c>
      <c r="F28" s="1026">
        <v>1.0040799999999999E-8</v>
      </c>
    </row>
    <row r="29" spans="1:7">
      <c r="A29" s="314" t="str">
        <f>CONCATENATE(TableECFTransport[[#This Row],[Voertuigtype]],"_",TableECFTransport[[#This Row],[Wegtype]],"_",TableECFTransport[[#This Row],[Brandstoftechnologie]],"_",TableECFTransport[[#This Row],[Brandstof]])</f>
        <v>Zware voertuigen_Genummerde wegen_Petrol_Petrol</v>
      </c>
      <c r="B29" s="314" t="s">
        <v>647</v>
      </c>
      <c r="C29" s="314" t="s">
        <v>63</v>
      </c>
      <c r="D29" s="314" t="s">
        <v>310</v>
      </c>
      <c r="E29" s="314" t="s">
        <v>310</v>
      </c>
      <c r="F29" s="1026">
        <v>6.5334099999999997E-9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647</v>
      </c>
      <c r="C30" s="314" t="s">
        <v>64</v>
      </c>
      <c r="D30" s="314" t="s">
        <v>201</v>
      </c>
      <c r="E30" s="314" t="s">
        <v>201</v>
      </c>
      <c r="F30" s="1026">
        <v>1.2925599999999999E-8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647</v>
      </c>
      <c r="C31" s="314" t="s">
        <v>64</v>
      </c>
      <c r="D31" s="314" t="s">
        <v>310</v>
      </c>
      <c r="E31" s="314" t="s">
        <v>310</v>
      </c>
      <c r="F31" s="1027">
        <v>1.0663700000000001E-8</v>
      </c>
    </row>
    <row r="32" spans="1:7">
      <c r="A32" s="314" t="str">
        <f>CONCATENATE(TableECFTransport[[#This Row],[Voertuigtype]],"_",TableECFTransport[[#This Row],[Wegtype]],"_",TableECFTransport[[#This Row],[Brandstoftechnologie]],"_",TableECFTransport[[#This Row],[Brandstof]])</f>
        <v>Zware voertuigen_snelwegen_Diesel_Diesel</v>
      </c>
      <c r="B32" s="314" t="s">
        <v>647</v>
      </c>
      <c r="C32" s="314" t="s">
        <v>663</v>
      </c>
      <c r="D32" s="314" t="s">
        <v>201</v>
      </c>
      <c r="E32" s="314" t="s">
        <v>201</v>
      </c>
      <c r="F32" s="1027">
        <v>9.5206299999999992E-9</v>
      </c>
    </row>
    <row r="33" spans="1:6">
      <c r="A33" s="314" t="str">
        <f>CONCATENATE(TableECFTransport[[#This Row],[Voertuigtype]],"_",TableECFTransport[[#This Row],[Wegtype]],"_",TableECFTransport[[#This Row],[Brandstoftechnologie]],"_",TableECFTransport[[#This Row],[Brandstof]])</f>
        <v>Zware voertuigen_snelwegen_Petrol_Petrol</v>
      </c>
      <c r="B33" s="314" t="s">
        <v>647</v>
      </c>
      <c r="C33" s="314" t="s">
        <v>663</v>
      </c>
      <c r="D33" s="314" t="s">
        <v>310</v>
      </c>
      <c r="E33" s="314" t="s">
        <v>310</v>
      </c>
      <c r="F33" s="1027">
        <v>6.61931E-9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Y16" sqref="Y16:Y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94">
        <v>2017</v>
      </c>
      <c r="B1" s="119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6"/>
      <c r="B2" s="119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6"/>
      <c r="B3" s="119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8"/>
      <c r="B4" s="119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389</v>
      </c>
      <c r="B5" s="919" t="s">
        <v>826</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0">
        <v>0</v>
      </c>
      <c r="D7" s="860">
        <v>0.52745073808780263</v>
      </c>
      <c r="E7" s="860">
        <v>0</v>
      </c>
      <c r="F7" s="861">
        <v>0.52745073808780263</v>
      </c>
      <c r="G7" s="860">
        <v>0</v>
      </c>
      <c r="H7" s="860">
        <v>0</v>
      </c>
      <c r="I7" s="860">
        <v>1.5666045695520829</v>
      </c>
      <c r="J7" s="860">
        <v>0.64811057430018204</v>
      </c>
      <c r="K7" s="860">
        <v>0</v>
      </c>
      <c r="L7" s="860">
        <v>49.750788767220307</v>
      </c>
      <c r="M7" s="860">
        <v>0</v>
      </c>
      <c r="N7" s="860">
        <v>0</v>
      </c>
      <c r="O7" s="860">
        <v>0</v>
      </c>
      <c r="P7" s="860">
        <v>0</v>
      </c>
      <c r="Q7" s="860">
        <v>0</v>
      </c>
      <c r="R7" s="861">
        <v>51.965503911072574</v>
      </c>
      <c r="S7" s="860">
        <v>88.90375124169357</v>
      </c>
      <c r="T7" s="860">
        <v>0</v>
      </c>
      <c r="U7" s="860">
        <v>0</v>
      </c>
      <c r="V7" s="861">
        <v>88.90375124169357</v>
      </c>
      <c r="W7" s="861">
        <v>141.39670589085392</v>
      </c>
      <c r="X7" s="860">
        <v>0</v>
      </c>
      <c r="Y7" s="860">
        <v>13.46369264932186</v>
      </c>
      <c r="Z7" s="860">
        <v>36.952193045278833</v>
      </c>
      <c r="AA7" s="862">
        <v>2.089248331381937</v>
      </c>
      <c r="AB7" s="862">
        <v>0</v>
      </c>
      <c r="AC7" s="861">
        <v>193.90183991683656</v>
      </c>
    </row>
    <row r="8" spans="1:29">
      <c r="A8" s="216" t="s">
        <v>155</v>
      </c>
      <c r="B8" s="217"/>
      <c r="C8" s="863">
        <v>0</v>
      </c>
      <c r="D8" s="863">
        <v>8.422096044597235E-5</v>
      </c>
      <c r="E8" s="863">
        <v>0</v>
      </c>
      <c r="F8" s="864">
        <v>8.422096044597235E-5</v>
      </c>
      <c r="G8" s="863">
        <v>0</v>
      </c>
      <c r="H8" s="863">
        <v>0</v>
      </c>
      <c r="I8" s="863">
        <v>0.56727724000051882</v>
      </c>
      <c r="J8" s="863">
        <v>2.4791664180833406E-3</v>
      </c>
      <c r="K8" s="863">
        <v>0</v>
      </c>
      <c r="L8" s="863">
        <v>5.0406699023032298</v>
      </c>
      <c r="M8" s="863">
        <v>0</v>
      </c>
      <c r="N8" s="863">
        <v>8.1699505616511358E-3</v>
      </c>
      <c r="O8" s="863">
        <v>0</v>
      </c>
      <c r="P8" s="863">
        <v>0</v>
      </c>
      <c r="Q8" s="863">
        <v>0</v>
      </c>
      <c r="R8" s="864">
        <v>5.6185962592834828</v>
      </c>
      <c r="S8" s="863">
        <v>49.277148522315571</v>
      </c>
      <c r="T8" s="863">
        <v>0</v>
      </c>
      <c r="U8" s="863">
        <v>0</v>
      </c>
      <c r="V8" s="864">
        <v>49.277148522315571</v>
      </c>
      <c r="W8" s="864">
        <v>54.895829002559502</v>
      </c>
      <c r="X8" s="863">
        <v>2.0446414912000002</v>
      </c>
      <c r="Y8" s="863">
        <v>3.3274826215189397</v>
      </c>
      <c r="Z8" s="863">
        <v>43.946405207965398</v>
      </c>
      <c r="AA8" s="865">
        <v>1.0079017734366742</v>
      </c>
      <c r="AB8" s="865">
        <v>0</v>
      </c>
      <c r="AC8" s="864">
        <v>105.2222600966805</v>
      </c>
    </row>
    <row r="9" spans="1:29">
      <c r="A9" s="3"/>
      <c r="B9" s="6" t="s">
        <v>156</v>
      </c>
      <c r="C9" s="866">
        <v>0</v>
      </c>
      <c r="D9" s="866">
        <v>0</v>
      </c>
      <c r="E9" s="866">
        <v>0</v>
      </c>
      <c r="F9" s="867">
        <v>0</v>
      </c>
      <c r="G9" s="866">
        <v>0</v>
      </c>
      <c r="H9" s="866">
        <v>0</v>
      </c>
      <c r="I9" s="866">
        <v>5.132883529515387E-2</v>
      </c>
      <c r="J9" s="866">
        <v>0</v>
      </c>
      <c r="K9" s="866">
        <v>0</v>
      </c>
      <c r="L9" s="866">
        <v>0.57495587277897353</v>
      </c>
      <c r="M9" s="866">
        <v>0</v>
      </c>
      <c r="N9" s="866">
        <v>0</v>
      </c>
      <c r="O9" s="866">
        <v>0</v>
      </c>
      <c r="P9" s="866">
        <v>0</v>
      </c>
      <c r="Q9" s="866">
        <v>0</v>
      </c>
      <c r="R9" s="867">
        <v>0.62628470807412739</v>
      </c>
      <c r="S9" s="866">
        <v>6.1507041691658371</v>
      </c>
      <c r="T9" s="866">
        <v>0</v>
      </c>
      <c r="U9" s="866">
        <v>0</v>
      </c>
      <c r="V9" s="867">
        <v>6.1507041691658371</v>
      </c>
      <c r="W9" s="867">
        <v>6.7769888772399645</v>
      </c>
      <c r="X9" s="866">
        <v>1.6592400000000002E-4</v>
      </c>
      <c r="Y9" s="866">
        <v>7.1666597294400001E-4</v>
      </c>
      <c r="Z9" s="866">
        <v>4.7803141242494425</v>
      </c>
      <c r="AA9" s="868">
        <v>0</v>
      </c>
      <c r="AB9" s="868">
        <v>0</v>
      </c>
      <c r="AC9" s="867">
        <v>11.558185591462351</v>
      </c>
    </row>
    <row r="10" spans="1:29">
      <c r="A10" s="3"/>
      <c r="B10" s="6" t="s">
        <v>157</v>
      </c>
      <c r="C10" s="866">
        <v>0</v>
      </c>
      <c r="D10" s="866">
        <v>0</v>
      </c>
      <c r="E10" s="866">
        <v>0</v>
      </c>
      <c r="F10" s="867">
        <v>0</v>
      </c>
      <c r="G10" s="866">
        <v>0</v>
      </c>
      <c r="H10" s="866">
        <v>0</v>
      </c>
      <c r="I10" s="866">
        <v>6.6906221338454844E-3</v>
      </c>
      <c r="J10" s="866">
        <v>0</v>
      </c>
      <c r="K10" s="866">
        <v>0</v>
      </c>
      <c r="L10" s="866">
        <v>0.29345498054121505</v>
      </c>
      <c r="M10" s="866">
        <v>0</v>
      </c>
      <c r="N10" s="866">
        <v>0</v>
      </c>
      <c r="O10" s="866">
        <v>0</v>
      </c>
      <c r="P10" s="866">
        <v>0</v>
      </c>
      <c r="Q10" s="866">
        <v>0</v>
      </c>
      <c r="R10" s="867">
        <v>0.30014560267506052</v>
      </c>
      <c r="S10" s="866">
        <v>5.9201684564363823</v>
      </c>
      <c r="T10" s="866">
        <v>0</v>
      </c>
      <c r="U10" s="866">
        <v>0</v>
      </c>
      <c r="V10" s="867">
        <v>5.9201684564363823</v>
      </c>
      <c r="W10" s="867">
        <v>6.220314059111443</v>
      </c>
      <c r="X10" s="866">
        <v>2.176344E-4</v>
      </c>
      <c r="Y10" s="866">
        <v>2.777427344E-2</v>
      </c>
      <c r="Z10" s="866">
        <v>3.5696156971730266</v>
      </c>
      <c r="AA10" s="868">
        <v>0</v>
      </c>
      <c r="AB10" s="868">
        <v>0</v>
      </c>
      <c r="AC10" s="867">
        <v>9.8179216641244693</v>
      </c>
    </row>
    <row r="11" spans="1:29">
      <c r="A11" s="3"/>
      <c r="B11" s="6" t="s">
        <v>158</v>
      </c>
      <c r="C11" s="866">
        <v>0</v>
      </c>
      <c r="D11" s="866">
        <v>0</v>
      </c>
      <c r="E11" s="866">
        <v>0</v>
      </c>
      <c r="F11" s="867">
        <v>0</v>
      </c>
      <c r="G11" s="866">
        <v>0</v>
      </c>
      <c r="H11" s="866">
        <v>0</v>
      </c>
      <c r="I11" s="866">
        <v>3.2214550816571368E-2</v>
      </c>
      <c r="J11" s="866">
        <v>0</v>
      </c>
      <c r="K11" s="866">
        <v>0</v>
      </c>
      <c r="L11" s="866">
        <v>0.15188492423482045</v>
      </c>
      <c r="M11" s="866">
        <v>0</v>
      </c>
      <c r="N11" s="866">
        <v>0</v>
      </c>
      <c r="O11" s="866">
        <v>0</v>
      </c>
      <c r="P11" s="866">
        <v>0</v>
      </c>
      <c r="Q11" s="866">
        <v>0</v>
      </c>
      <c r="R11" s="867">
        <v>0.18409947505139182</v>
      </c>
      <c r="S11" s="866">
        <v>3.5220119095496627</v>
      </c>
      <c r="T11" s="866">
        <v>0</v>
      </c>
      <c r="U11" s="866">
        <v>0</v>
      </c>
      <c r="V11" s="867">
        <v>3.5220119095496627</v>
      </c>
      <c r="W11" s="867">
        <v>3.7061113846010545</v>
      </c>
      <c r="X11" s="866">
        <v>0</v>
      </c>
      <c r="Y11" s="866">
        <v>2.8088309999999995E-3</v>
      </c>
      <c r="Z11" s="866">
        <v>1.2629774356632055</v>
      </c>
      <c r="AA11" s="868">
        <v>0</v>
      </c>
      <c r="AB11" s="868">
        <v>0</v>
      </c>
      <c r="AC11" s="867">
        <v>4.9718976512642596</v>
      </c>
    </row>
    <row r="12" spans="1:29">
      <c r="A12" s="3"/>
      <c r="B12" s="6" t="s">
        <v>159</v>
      </c>
      <c r="C12" s="866">
        <v>0</v>
      </c>
      <c r="D12" s="866">
        <v>0</v>
      </c>
      <c r="E12" s="866">
        <v>0</v>
      </c>
      <c r="F12" s="867">
        <v>0</v>
      </c>
      <c r="G12" s="866">
        <v>0</v>
      </c>
      <c r="H12" s="866">
        <v>0</v>
      </c>
      <c r="I12" s="866">
        <v>0.13655100187259481</v>
      </c>
      <c r="J12" s="866">
        <v>2.4791664180833406E-3</v>
      </c>
      <c r="K12" s="866">
        <v>0</v>
      </c>
      <c r="L12" s="866">
        <v>2.0747435894963222</v>
      </c>
      <c r="M12" s="866">
        <v>0</v>
      </c>
      <c r="N12" s="866">
        <v>0</v>
      </c>
      <c r="O12" s="866">
        <v>0</v>
      </c>
      <c r="P12" s="866">
        <v>0</v>
      </c>
      <c r="Q12" s="866">
        <v>0</v>
      </c>
      <c r="R12" s="867">
        <v>2.2137737577870005</v>
      </c>
      <c r="S12" s="866">
        <v>18.560759711144847</v>
      </c>
      <c r="T12" s="866">
        <v>0</v>
      </c>
      <c r="U12" s="866">
        <v>0</v>
      </c>
      <c r="V12" s="867">
        <v>18.560759711144847</v>
      </c>
      <c r="W12" s="867">
        <v>20.774533468931846</v>
      </c>
      <c r="X12" s="866">
        <v>1.502424E-4</v>
      </c>
      <c r="Y12" s="866">
        <v>9.1204627001629998E-3</v>
      </c>
      <c r="Z12" s="866">
        <v>16.969857442219837</v>
      </c>
      <c r="AA12" s="868">
        <v>0</v>
      </c>
      <c r="AB12" s="868">
        <v>0</v>
      </c>
      <c r="AC12" s="867">
        <v>37.753661616251847</v>
      </c>
    </row>
    <row r="13" spans="1:29">
      <c r="A13" s="3"/>
      <c r="B13" s="6" t="s">
        <v>160</v>
      </c>
      <c r="C13" s="866">
        <v>0</v>
      </c>
      <c r="D13" s="866">
        <v>0</v>
      </c>
      <c r="E13" s="866">
        <v>0</v>
      </c>
      <c r="F13" s="867">
        <v>0</v>
      </c>
      <c r="G13" s="866">
        <v>0</v>
      </c>
      <c r="H13" s="866">
        <v>0</v>
      </c>
      <c r="I13" s="866">
        <v>0.33284454808615954</v>
      </c>
      <c r="J13" s="866">
        <v>0</v>
      </c>
      <c r="K13" s="866">
        <v>0</v>
      </c>
      <c r="L13" s="866">
        <v>1.1833841626097379</v>
      </c>
      <c r="M13" s="866">
        <v>0</v>
      </c>
      <c r="N13" s="866">
        <v>1.9452263242026517E-4</v>
      </c>
      <c r="O13" s="866">
        <v>0</v>
      </c>
      <c r="P13" s="866">
        <v>0</v>
      </c>
      <c r="Q13" s="866">
        <v>0</v>
      </c>
      <c r="R13" s="867">
        <v>1.5164232333283176</v>
      </c>
      <c r="S13" s="866">
        <v>9.3094257820397903</v>
      </c>
      <c r="T13" s="866">
        <v>0</v>
      </c>
      <c r="U13" s="866">
        <v>0</v>
      </c>
      <c r="V13" s="867">
        <v>9.3094257820397903</v>
      </c>
      <c r="W13" s="867">
        <v>10.825849015368108</v>
      </c>
      <c r="X13" s="866">
        <v>1.2228839999999999E-4</v>
      </c>
      <c r="Y13" s="866">
        <v>4.9164834239999993E-3</v>
      </c>
      <c r="Z13" s="866">
        <v>12.402478312413399</v>
      </c>
      <c r="AA13" s="868">
        <v>0</v>
      </c>
      <c r="AB13" s="868">
        <v>0</v>
      </c>
      <c r="AC13" s="867">
        <v>23.233366099605504</v>
      </c>
    </row>
    <row r="14" spans="1:29">
      <c r="A14" s="218"/>
      <c r="B14" s="219" t="s">
        <v>161</v>
      </c>
      <c r="C14" s="869">
        <v>0</v>
      </c>
      <c r="D14" s="869">
        <v>8.422096044597235E-5</v>
      </c>
      <c r="E14" s="869">
        <v>0</v>
      </c>
      <c r="F14" s="870">
        <v>8.422096044597235E-5</v>
      </c>
      <c r="G14" s="866">
        <v>0</v>
      </c>
      <c r="H14" s="866">
        <v>0</v>
      </c>
      <c r="I14" s="866">
        <v>7.6476817961937549E-3</v>
      </c>
      <c r="J14" s="866">
        <v>0</v>
      </c>
      <c r="K14" s="866">
        <v>0</v>
      </c>
      <c r="L14" s="866">
        <v>0.76224637264216044</v>
      </c>
      <c r="M14" s="866">
        <v>0</v>
      </c>
      <c r="N14" s="866">
        <v>7.9754279292308713E-3</v>
      </c>
      <c r="O14" s="866">
        <v>0</v>
      </c>
      <c r="P14" s="866">
        <v>0</v>
      </c>
      <c r="Q14" s="866">
        <v>0</v>
      </c>
      <c r="R14" s="870">
        <v>0.77786948236758513</v>
      </c>
      <c r="S14" s="866">
        <v>5.81407849397905</v>
      </c>
      <c r="T14" s="869">
        <v>0</v>
      </c>
      <c r="U14" s="869">
        <v>0</v>
      </c>
      <c r="V14" s="870">
        <v>5.81407849397905</v>
      </c>
      <c r="W14" s="870">
        <v>6.5920321973070815</v>
      </c>
      <c r="X14" s="866">
        <v>2.0439854020000001</v>
      </c>
      <c r="Y14" s="866">
        <v>3.2821459049818329</v>
      </c>
      <c r="Z14" s="866">
        <v>4.9611621962464918</v>
      </c>
      <c r="AA14" s="871">
        <v>0</v>
      </c>
      <c r="AB14" s="871">
        <v>0</v>
      </c>
      <c r="AC14" s="870">
        <v>16.879325700535407</v>
      </c>
    </row>
    <row r="15" spans="1:29">
      <c r="A15" s="216" t="s">
        <v>162</v>
      </c>
      <c r="B15" s="220"/>
      <c r="C15" s="872">
        <v>0</v>
      </c>
      <c r="D15" s="872">
        <v>0.21173284720000002</v>
      </c>
      <c r="E15" s="872">
        <v>0.16942030000000005</v>
      </c>
      <c r="F15" s="873">
        <v>0.38115314720000004</v>
      </c>
      <c r="G15" s="872">
        <v>0</v>
      </c>
      <c r="H15" s="872">
        <v>0</v>
      </c>
      <c r="I15" s="872">
        <v>2.1804930898997452</v>
      </c>
      <c r="J15" s="872">
        <v>0.19655239249581599</v>
      </c>
      <c r="K15" s="872">
        <v>0</v>
      </c>
      <c r="L15" s="872">
        <v>7.8203242186953368</v>
      </c>
      <c r="M15" s="872">
        <v>0</v>
      </c>
      <c r="N15" s="872">
        <v>0.38246948642598161</v>
      </c>
      <c r="O15" s="872">
        <v>0</v>
      </c>
      <c r="P15" s="872">
        <v>5.1943599999999999E-2</v>
      </c>
      <c r="Q15" s="872">
        <v>0</v>
      </c>
      <c r="R15" s="1054">
        <v>10.631782787516878</v>
      </c>
      <c r="S15" s="872">
        <v>33.235823944046203</v>
      </c>
      <c r="T15" s="872">
        <v>0</v>
      </c>
      <c r="U15" s="872">
        <v>0</v>
      </c>
      <c r="V15" s="1054">
        <v>33.235823944046203</v>
      </c>
      <c r="W15" s="1054">
        <v>44.248759878763074</v>
      </c>
      <c r="X15" s="872">
        <v>0</v>
      </c>
      <c r="Y15" s="872">
        <v>1.8131082331603647</v>
      </c>
      <c r="Z15" s="872">
        <v>46.137670575239426</v>
      </c>
      <c r="AA15" s="874">
        <v>3.6134693391023376E-2</v>
      </c>
      <c r="AB15" s="874">
        <v>0</v>
      </c>
      <c r="AC15" s="873">
        <f>SUM(W15:Z15)</f>
        <v>92.199538687162857</v>
      </c>
    </row>
    <row r="16" spans="1:29">
      <c r="A16" s="5"/>
      <c r="B16" s="6" t="s">
        <v>34</v>
      </c>
      <c r="C16" s="875">
        <v>0</v>
      </c>
      <c r="D16" s="875">
        <v>0</v>
      </c>
      <c r="E16" s="875">
        <v>0</v>
      </c>
      <c r="F16" s="867">
        <v>0</v>
      </c>
      <c r="G16" s="875">
        <v>0</v>
      </c>
      <c r="H16" s="875">
        <v>0</v>
      </c>
      <c r="I16" s="875">
        <v>1.377E-3</v>
      </c>
      <c r="J16" s="875">
        <v>0</v>
      </c>
      <c r="K16" s="875">
        <v>0</v>
      </c>
      <c r="L16" s="875">
        <v>1.6707572352129989E-2</v>
      </c>
      <c r="M16" s="875">
        <v>0</v>
      </c>
      <c r="N16" s="875">
        <v>0</v>
      </c>
      <c r="O16" s="875">
        <v>0</v>
      </c>
      <c r="P16" s="875">
        <v>0</v>
      </c>
      <c r="Q16" s="875">
        <v>0</v>
      </c>
      <c r="R16" s="867">
        <v>1.8084572352129989E-2</v>
      </c>
      <c r="S16" s="875">
        <v>0.35929156687840091</v>
      </c>
      <c r="T16" s="875">
        <v>0</v>
      </c>
      <c r="U16" s="875">
        <v>0</v>
      </c>
      <c r="V16" s="876">
        <v>0.35929156687840091</v>
      </c>
      <c r="W16" s="867">
        <v>0.37737613923053093</v>
      </c>
      <c r="X16" s="875">
        <v>0</v>
      </c>
      <c r="Y16" s="875">
        <v>0</v>
      </c>
      <c r="Z16" s="875">
        <v>0.65551757239999908</v>
      </c>
      <c r="AA16" s="868">
        <v>0</v>
      </c>
      <c r="AB16" s="868">
        <v>0</v>
      </c>
      <c r="AC16" s="867">
        <f t="shared" ref="AC16:AC24" si="0">SUM(W16:Z16)</f>
        <v>1.0328937116305301</v>
      </c>
    </row>
    <row r="17" spans="1:31">
      <c r="A17" s="5"/>
      <c r="B17" s="6" t="s">
        <v>37</v>
      </c>
      <c r="C17" s="875">
        <v>0</v>
      </c>
      <c r="D17" s="875">
        <v>0</v>
      </c>
      <c r="E17" s="875">
        <v>0.16314800000000007</v>
      </c>
      <c r="F17" s="867">
        <v>0.16314800000000007</v>
      </c>
      <c r="G17" s="875">
        <v>0</v>
      </c>
      <c r="H17" s="875">
        <v>0</v>
      </c>
      <c r="I17" s="875">
        <v>4.7100365030000001E-3</v>
      </c>
      <c r="J17" s="875">
        <v>0</v>
      </c>
      <c r="K17" s="875">
        <v>0</v>
      </c>
      <c r="L17" s="875">
        <v>7.6051493139287024E-2</v>
      </c>
      <c r="M17" s="875">
        <v>0</v>
      </c>
      <c r="N17" s="875">
        <v>0</v>
      </c>
      <c r="O17" s="875">
        <v>0</v>
      </c>
      <c r="P17" s="875">
        <v>3.22536E-2</v>
      </c>
      <c r="Q17" s="875">
        <v>0</v>
      </c>
      <c r="R17" s="867">
        <v>0.11301512964228702</v>
      </c>
      <c r="S17" s="875">
        <v>1.3299160862816004</v>
      </c>
      <c r="T17" s="875">
        <v>0</v>
      </c>
      <c r="U17" s="875">
        <v>0</v>
      </c>
      <c r="V17" s="876">
        <v>1.3299160862816004</v>
      </c>
      <c r="W17" s="867">
        <v>1.6060792159238875</v>
      </c>
      <c r="X17" s="875">
        <v>0</v>
      </c>
      <c r="Y17" s="875">
        <v>0</v>
      </c>
      <c r="Z17" s="875">
        <v>1.4703655668000009</v>
      </c>
      <c r="AA17" s="868">
        <v>0</v>
      </c>
      <c r="AB17" s="868">
        <v>0</v>
      </c>
      <c r="AC17" s="867">
        <f t="shared" si="0"/>
        <v>3.0764447827238883</v>
      </c>
    </row>
    <row r="18" spans="1:31">
      <c r="A18" s="5"/>
      <c r="B18" s="6" t="s">
        <v>35</v>
      </c>
      <c r="C18" s="875">
        <v>0</v>
      </c>
      <c r="D18" s="875">
        <v>0</v>
      </c>
      <c r="E18" s="875">
        <v>6.2722999999999807E-3</v>
      </c>
      <c r="F18" s="867">
        <v>6.2722999999999807E-3</v>
      </c>
      <c r="G18" s="875">
        <v>0</v>
      </c>
      <c r="H18" s="875">
        <v>0</v>
      </c>
      <c r="I18" s="875">
        <v>4.498904429128283E-2</v>
      </c>
      <c r="J18" s="875">
        <v>7.2468007500000008E-3</v>
      </c>
      <c r="K18" s="875">
        <v>0</v>
      </c>
      <c r="L18" s="875">
        <v>0.39844235609005241</v>
      </c>
      <c r="M18" s="875">
        <v>0</v>
      </c>
      <c r="N18" s="875">
        <v>0.19137718987464059</v>
      </c>
      <c r="O18" s="875">
        <v>0</v>
      </c>
      <c r="P18" s="875">
        <v>0</v>
      </c>
      <c r="Q18" s="875">
        <v>0</v>
      </c>
      <c r="R18" s="867">
        <v>0.64205539100597586</v>
      </c>
      <c r="S18" s="875">
        <v>4.4417160691517026</v>
      </c>
      <c r="T18" s="875">
        <v>0</v>
      </c>
      <c r="U18" s="875">
        <v>0</v>
      </c>
      <c r="V18" s="876">
        <v>4.4417160691517026</v>
      </c>
      <c r="W18" s="867">
        <v>5.0900437601576787</v>
      </c>
      <c r="X18" s="875">
        <v>0</v>
      </c>
      <c r="Y18" s="875">
        <v>7.8840732460062998E-2</v>
      </c>
      <c r="Z18" s="875">
        <v>6.2360944132231744</v>
      </c>
      <c r="AA18" s="868">
        <v>0</v>
      </c>
      <c r="AB18" s="868">
        <v>0</v>
      </c>
      <c r="AC18" s="867">
        <f t="shared" si="0"/>
        <v>11.404978905840917</v>
      </c>
    </row>
    <row r="19" spans="1:31">
      <c r="A19" s="5"/>
      <c r="B19" s="6" t="s">
        <v>32</v>
      </c>
      <c r="C19" s="875">
        <v>0</v>
      </c>
      <c r="D19" s="875">
        <v>0</v>
      </c>
      <c r="E19" s="875">
        <v>0</v>
      </c>
      <c r="F19" s="867">
        <v>0</v>
      </c>
      <c r="G19" s="875">
        <v>0</v>
      </c>
      <c r="H19" s="875">
        <v>0</v>
      </c>
      <c r="I19" s="875">
        <v>1.9834441926141926</v>
      </c>
      <c r="J19" s="875">
        <v>0.18930559174581599</v>
      </c>
      <c r="K19" s="875">
        <v>0</v>
      </c>
      <c r="L19" s="875">
        <v>5.8070510470299324</v>
      </c>
      <c r="M19" s="875">
        <v>0</v>
      </c>
      <c r="N19" s="875">
        <v>0.12511607704933211</v>
      </c>
      <c r="O19" s="875">
        <v>0</v>
      </c>
      <c r="P19" s="875">
        <v>0</v>
      </c>
      <c r="Q19" s="875">
        <v>0</v>
      </c>
      <c r="R19" s="867">
        <v>8.1049169084392734</v>
      </c>
      <c r="S19" s="875">
        <v>5.0889163436350628</v>
      </c>
      <c r="T19" s="875">
        <v>0</v>
      </c>
      <c r="U19" s="875">
        <v>0</v>
      </c>
      <c r="V19" s="876">
        <v>5.0889163436350628</v>
      </c>
      <c r="W19" s="867">
        <v>13.193833252074336</v>
      </c>
      <c r="X19" s="875">
        <v>0</v>
      </c>
      <c r="Y19" s="875">
        <v>0.51954832552679964</v>
      </c>
      <c r="Z19" s="875">
        <v>7.1575188906391585</v>
      </c>
      <c r="AA19" s="868">
        <v>0</v>
      </c>
      <c r="AB19" s="868">
        <v>0</v>
      </c>
      <c r="AC19" s="867">
        <f t="shared" si="0"/>
        <v>20.870900468240293</v>
      </c>
    </row>
    <row r="20" spans="1:31">
      <c r="A20" s="5"/>
      <c r="B20" s="6" t="s">
        <v>40</v>
      </c>
      <c r="C20" s="875">
        <v>0</v>
      </c>
      <c r="D20" s="875">
        <v>0</v>
      </c>
      <c r="E20" s="875">
        <v>0</v>
      </c>
      <c r="F20" s="867">
        <v>0</v>
      </c>
      <c r="G20" s="875">
        <v>0</v>
      </c>
      <c r="H20" s="875">
        <v>0</v>
      </c>
      <c r="I20" s="875">
        <v>1.9135384659357199E-2</v>
      </c>
      <c r="J20" s="875">
        <v>0</v>
      </c>
      <c r="K20" s="875">
        <v>0</v>
      </c>
      <c r="L20" s="875">
        <v>0.57776042036650088</v>
      </c>
      <c r="M20" s="875">
        <v>0</v>
      </c>
      <c r="N20" s="875">
        <v>6.0150765600000006E-3</v>
      </c>
      <c r="O20" s="875">
        <v>0</v>
      </c>
      <c r="P20" s="875">
        <v>0</v>
      </c>
      <c r="Q20" s="875">
        <v>0</v>
      </c>
      <c r="R20" s="867">
        <v>0.60291088158585804</v>
      </c>
      <c r="S20" s="875">
        <v>11.501889847228311</v>
      </c>
      <c r="T20" s="875">
        <v>0</v>
      </c>
      <c r="U20" s="875">
        <v>0</v>
      </c>
      <c r="V20" s="876">
        <v>11.501889847228311</v>
      </c>
      <c r="W20" s="867">
        <v>12.104800728814169</v>
      </c>
      <c r="X20" s="875">
        <v>0</v>
      </c>
      <c r="Y20" s="875">
        <v>0.62807866868791595</v>
      </c>
      <c r="Z20" s="875">
        <v>10.80888330839006</v>
      </c>
      <c r="AA20" s="868">
        <v>0</v>
      </c>
      <c r="AB20" s="868">
        <v>0</v>
      </c>
      <c r="AC20" s="867">
        <f t="shared" si="0"/>
        <v>23.541762705892147</v>
      </c>
    </row>
    <row r="21" spans="1:31">
      <c r="A21" s="5"/>
      <c r="B21" s="6" t="s">
        <v>39</v>
      </c>
      <c r="C21" s="875">
        <v>0</v>
      </c>
      <c r="D21" s="875">
        <v>0</v>
      </c>
      <c r="E21" s="875">
        <v>0</v>
      </c>
      <c r="F21" s="867">
        <v>0</v>
      </c>
      <c r="G21" s="875">
        <v>0</v>
      </c>
      <c r="H21" s="875">
        <v>0</v>
      </c>
      <c r="I21" s="875">
        <v>8.1394084183831691E-3</v>
      </c>
      <c r="J21" s="875">
        <v>0</v>
      </c>
      <c r="K21" s="875">
        <v>0</v>
      </c>
      <c r="L21" s="875">
        <v>6.7772134476470958E-2</v>
      </c>
      <c r="M21" s="875">
        <v>0</v>
      </c>
      <c r="N21" s="875">
        <v>0</v>
      </c>
      <c r="O21" s="875">
        <v>0</v>
      </c>
      <c r="P21" s="875">
        <v>0</v>
      </c>
      <c r="Q21" s="875">
        <v>0</v>
      </c>
      <c r="R21" s="867">
        <v>7.5911542894854134E-2</v>
      </c>
      <c r="S21" s="875">
        <v>2.1626645725729778</v>
      </c>
      <c r="T21" s="875">
        <v>0</v>
      </c>
      <c r="U21" s="875">
        <v>0</v>
      </c>
      <c r="V21" s="876">
        <v>2.1626645725729778</v>
      </c>
      <c r="W21" s="867">
        <v>2.2385761154678319</v>
      </c>
      <c r="X21" s="875">
        <v>0</v>
      </c>
      <c r="Y21" s="875">
        <v>0.10173350648558602</v>
      </c>
      <c r="Z21" s="875">
        <v>2.3089840446676027</v>
      </c>
      <c r="AA21" s="868">
        <v>0</v>
      </c>
      <c r="AB21" s="868">
        <v>0</v>
      </c>
      <c r="AC21" s="867">
        <f t="shared" si="0"/>
        <v>4.6492936666210207</v>
      </c>
    </row>
    <row r="22" spans="1:31">
      <c r="A22" s="5"/>
      <c r="B22" s="6" t="s">
        <v>36</v>
      </c>
      <c r="C22" s="875">
        <v>0</v>
      </c>
      <c r="D22" s="875">
        <v>5.8600000000003094E-4</v>
      </c>
      <c r="E22" s="875">
        <v>0</v>
      </c>
      <c r="F22" s="867">
        <v>5.8600000000003094E-4</v>
      </c>
      <c r="G22" s="875">
        <v>0</v>
      </c>
      <c r="H22" s="875">
        <v>0</v>
      </c>
      <c r="I22" s="875">
        <v>8.498791037884941E-2</v>
      </c>
      <c r="J22" s="875">
        <v>0</v>
      </c>
      <c r="K22" s="875">
        <v>0</v>
      </c>
      <c r="L22" s="875">
        <v>0.73516951372089112</v>
      </c>
      <c r="M22" s="875">
        <v>0</v>
      </c>
      <c r="N22" s="875">
        <v>1.951707200000008E-2</v>
      </c>
      <c r="O22" s="875">
        <v>0</v>
      </c>
      <c r="P22" s="875">
        <v>1.9689999999999999E-2</v>
      </c>
      <c r="Q22" s="875">
        <v>0</v>
      </c>
      <c r="R22" s="867">
        <v>0.85936449609974064</v>
      </c>
      <c r="S22" s="875">
        <v>1.1257360681475133</v>
      </c>
      <c r="T22" s="875">
        <v>0</v>
      </c>
      <c r="U22" s="875">
        <v>0</v>
      </c>
      <c r="V22" s="876">
        <v>1.1257360681475133</v>
      </c>
      <c r="W22" s="867">
        <v>1.9856865642472539</v>
      </c>
      <c r="X22" s="875">
        <v>0</v>
      </c>
      <c r="Y22" s="875">
        <v>0.47741000000000006</v>
      </c>
      <c r="Z22" s="875">
        <v>1.9299453805543116</v>
      </c>
      <c r="AA22" s="868">
        <v>0</v>
      </c>
      <c r="AB22" s="868">
        <v>0</v>
      </c>
      <c r="AC22" s="867">
        <f t="shared" si="0"/>
        <v>4.3930419448015652</v>
      </c>
    </row>
    <row r="23" spans="1:31">
      <c r="A23" s="5"/>
      <c r="B23" s="6" t="s">
        <v>38</v>
      </c>
      <c r="C23" s="875">
        <v>0</v>
      </c>
      <c r="D23" s="875">
        <v>0.21114684719999999</v>
      </c>
      <c r="E23" s="875">
        <v>0</v>
      </c>
      <c r="F23" s="867">
        <v>0.21114684719999999</v>
      </c>
      <c r="G23" s="875">
        <v>0</v>
      </c>
      <c r="H23" s="875">
        <v>0</v>
      </c>
      <c r="I23" s="875">
        <v>2.8396123597800001E-3</v>
      </c>
      <c r="J23" s="875">
        <v>0</v>
      </c>
      <c r="K23" s="875">
        <v>0</v>
      </c>
      <c r="L23" s="875">
        <v>2.0557973829020734E-2</v>
      </c>
      <c r="M23" s="875">
        <v>0</v>
      </c>
      <c r="N23" s="875">
        <v>1.0654294200878136E-4</v>
      </c>
      <c r="O23" s="875">
        <v>0</v>
      </c>
      <c r="P23" s="875">
        <v>0</v>
      </c>
      <c r="Q23" s="875">
        <v>0</v>
      </c>
      <c r="R23" s="867">
        <v>2.3504129130809515E-2</v>
      </c>
      <c r="S23" s="875">
        <v>0.57410480417718412</v>
      </c>
      <c r="T23" s="875">
        <v>0</v>
      </c>
      <c r="U23" s="875">
        <v>0</v>
      </c>
      <c r="V23" s="876">
        <v>0.57410480417718412</v>
      </c>
      <c r="W23" s="867">
        <v>0.80875578050799368</v>
      </c>
      <c r="X23" s="875">
        <v>0</v>
      </c>
      <c r="Y23" s="875">
        <v>0</v>
      </c>
      <c r="Z23" s="875">
        <v>1.9217098630491205</v>
      </c>
      <c r="AA23" s="868">
        <v>0</v>
      </c>
      <c r="AB23" s="868">
        <v>0</v>
      </c>
      <c r="AC23" s="867">
        <f t="shared" si="0"/>
        <v>2.730465643557114</v>
      </c>
    </row>
    <row r="24" spans="1:31">
      <c r="A24" s="221"/>
      <c r="B24" s="219" t="s">
        <v>33</v>
      </c>
      <c r="C24" s="875">
        <v>0</v>
      </c>
      <c r="D24" s="875">
        <v>0</v>
      </c>
      <c r="E24" s="875">
        <v>0</v>
      </c>
      <c r="F24" s="867">
        <v>0</v>
      </c>
      <c r="G24" s="875">
        <v>0</v>
      </c>
      <c r="H24" s="875">
        <v>0</v>
      </c>
      <c r="I24" s="875">
        <v>3.0870500674900003E-2</v>
      </c>
      <c r="J24" s="875">
        <v>0</v>
      </c>
      <c r="K24" s="875">
        <v>0</v>
      </c>
      <c r="L24" s="875">
        <v>0.12081170769105001</v>
      </c>
      <c r="M24" s="875">
        <v>0</v>
      </c>
      <c r="N24" s="875">
        <v>4.0337528000000011E-2</v>
      </c>
      <c r="O24" s="875">
        <v>0</v>
      </c>
      <c r="P24" s="875">
        <v>0</v>
      </c>
      <c r="Q24" s="875">
        <v>0</v>
      </c>
      <c r="R24" s="867">
        <v>0.19201973636595002</v>
      </c>
      <c r="S24" s="875">
        <v>6.6515885859734496</v>
      </c>
      <c r="T24" s="875">
        <v>0</v>
      </c>
      <c r="U24" s="875">
        <v>0</v>
      </c>
      <c r="V24" s="876">
        <v>6.6515885859734496</v>
      </c>
      <c r="W24" s="867">
        <v>6.8436083223393993</v>
      </c>
      <c r="X24" s="875">
        <v>0</v>
      </c>
      <c r="Y24" s="875">
        <v>7.4970000000000037E-3</v>
      </c>
      <c r="Z24" s="875">
        <v>13.648651535515995</v>
      </c>
      <c r="AA24" s="868">
        <v>0</v>
      </c>
      <c r="AB24" s="868">
        <v>0</v>
      </c>
      <c r="AC24" s="867">
        <f t="shared" si="0"/>
        <v>20.499756857855395</v>
      </c>
    </row>
    <row r="25" spans="1:31">
      <c r="A25" s="5" t="s">
        <v>644</v>
      </c>
      <c r="B25" s="128"/>
      <c r="C25" s="872">
        <f>SUM(C27:C32)</f>
        <v>0</v>
      </c>
      <c r="D25" s="872">
        <f t="shared" ref="D25:E25" si="1">SUM(D27:D32)</f>
        <v>0.66718946324254313</v>
      </c>
      <c r="E25" s="872">
        <f t="shared" si="1"/>
        <v>0</v>
      </c>
      <c r="F25" s="873">
        <f>SUM(F27:F32)</f>
        <v>0.66718946324254313</v>
      </c>
      <c r="G25" s="863">
        <f>SUM(G27:G32)</f>
        <v>0</v>
      </c>
      <c r="H25" s="863">
        <f t="shared" ref="H25:Q25" si="2">SUM(H27:H32)</f>
        <v>0</v>
      </c>
      <c r="I25" s="863">
        <f t="shared" si="2"/>
        <v>7.5579814861831865E-2</v>
      </c>
      <c r="J25" s="863">
        <f t="shared" si="2"/>
        <v>7.2321348906007707E-2</v>
      </c>
      <c r="K25" s="863">
        <f t="shared" si="2"/>
        <v>0</v>
      </c>
      <c r="L25" s="863">
        <f t="shared" si="2"/>
        <v>8.1107369728193195</v>
      </c>
      <c r="M25" s="863">
        <f t="shared" si="2"/>
        <v>0</v>
      </c>
      <c r="N25" s="863">
        <f t="shared" si="2"/>
        <v>0.44774622062287628</v>
      </c>
      <c r="O25" s="863">
        <f t="shared" si="2"/>
        <v>0</v>
      </c>
      <c r="P25" s="863">
        <f t="shared" si="2"/>
        <v>0</v>
      </c>
      <c r="Q25" s="863">
        <f t="shared" si="2"/>
        <v>0</v>
      </c>
      <c r="R25" s="873">
        <f>SUM(R27:R32)</f>
        <v>8.7063843572100375</v>
      </c>
      <c r="S25" s="863">
        <f>SUM(S27:S32)</f>
        <v>18.104005625520834</v>
      </c>
      <c r="T25" s="863">
        <f t="shared" ref="T25:U25" si="3">SUM(T27:T32)</f>
        <v>0</v>
      </c>
      <c r="U25" s="863">
        <f t="shared" si="3"/>
        <v>0</v>
      </c>
      <c r="V25" s="873">
        <f>SUM(V27:V32)</f>
        <v>18.104005625520834</v>
      </c>
      <c r="W25" s="873">
        <f>SUM(W27:W32)</f>
        <v>27.477579445973415</v>
      </c>
      <c r="X25" s="872">
        <f>SUM(X27:X32)</f>
        <v>0</v>
      </c>
      <c r="Y25" s="863">
        <f>SUM(Y27:Y32)</f>
        <v>3.1156925425971846</v>
      </c>
      <c r="Z25" s="865">
        <v>-2.5288002554715834</v>
      </c>
      <c r="AA25" s="874">
        <f>SUM(AA27:AA32)</f>
        <v>0</v>
      </c>
      <c r="AB25" s="874">
        <f>SUM(AB27:AB32)</f>
        <v>0</v>
      </c>
      <c r="AC25" s="864">
        <f>SUM(AC27:AC32)</f>
        <v>28.064471733099015</v>
      </c>
      <c r="AE25" s="38"/>
    </row>
    <row r="26" spans="1:31">
      <c r="A26" s="5"/>
      <c r="B26" s="128"/>
      <c r="C26" s="877"/>
      <c r="D26" s="878"/>
      <c r="E26" s="877"/>
      <c r="F26" s="867"/>
      <c r="G26" s="878"/>
      <c r="H26" s="878"/>
      <c r="I26" s="878"/>
      <c r="J26" s="878"/>
      <c r="K26" s="878"/>
      <c r="L26" s="878"/>
      <c r="M26" s="878"/>
      <c r="N26" s="878"/>
      <c r="O26" s="878"/>
      <c r="P26" s="878"/>
      <c r="Q26" s="878"/>
      <c r="R26" s="867"/>
      <c r="S26" s="878"/>
      <c r="T26" s="877"/>
      <c r="U26" s="877"/>
      <c r="V26" s="867"/>
      <c r="W26" s="867"/>
      <c r="X26" s="877"/>
      <c r="Y26" s="881"/>
      <c r="Z26" s="881">
        <v>2.4216793794672591</v>
      </c>
      <c r="AA26" s="882"/>
      <c r="AB26" s="879"/>
      <c r="AC26" s="880"/>
      <c r="AE26" s="38"/>
    </row>
    <row r="27" spans="1:31">
      <c r="A27" s="3"/>
      <c r="B27" s="6" t="s">
        <v>163</v>
      </c>
      <c r="C27" s="866">
        <v>0</v>
      </c>
      <c r="D27" s="866">
        <v>0</v>
      </c>
      <c r="E27" s="866">
        <v>0</v>
      </c>
      <c r="F27" s="867">
        <v>0</v>
      </c>
      <c r="G27" s="866">
        <v>0</v>
      </c>
      <c r="H27" s="866">
        <v>0</v>
      </c>
      <c r="I27" s="866">
        <v>6.1440589917452569E-2</v>
      </c>
      <c r="J27" s="866">
        <v>8.15436137622137E-4</v>
      </c>
      <c r="K27" s="866">
        <v>0</v>
      </c>
      <c r="L27" s="866">
        <v>4.7980972971145421</v>
      </c>
      <c r="M27" s="866">
        <v>0</v>
      </c>
      <c r="N27" s="866">
        <v>0</v>
      </c>
      <c r="O27" s="866">
        <v>0</v>
      </c>
      <c r="P27" s="866">
        <v>0</v>
      </c>
      <c r="Q27" s="866">
        <v>0</v>
      </c>
      <c r="R27" s="867">
        <v>4.8603533231696172</v>
      </c>
      <c r="S27" s="866">
        <v>0.28797902492777</v>
      </c>
      <c r="T27" s="866">
        <v>0</v>
      </c>
      <c r="U27" s="866">
        <v>0</v>
      </c>
      <c r="V27" s="867">
        <v>0.28797902492777</v>
      </c>
      <c r="W27" s="867">
        <v>5.1483323480973873</v>
      </c>
      <c r="X27" s="866">
        <v>0</v>
      </c>
      <c r="Y27" s="866">
        <v>0.95953362666668507</v>
      </c>
      <c r="Z27" s="866">
        <v>2.355695385761984</v>
      </c>
      <c r="AA27" s="868">
        <v>0</v>
      </c>
      <c r="AB27" s="868">
        <v>0</v>
      </c>
      <c r="AC27" s="867">
        <v>8.4635613605260573</v>
      </c>
    </row>
    <row r="28" spans="1:31">
      <c r="A28" s="3"/>
      <c r="B28" s="6" t="s">
        <v>164</v>
      </c>
      <c r="C28" s="866">
        <v>0</v>
      </c>
      <c r="D28" s="866">
        <v>9.4079151607059572E-4</v>
      </c>
      <c r="E28" s="866">
        <v>0</v>
      </c>
      <c r="F28" s="867">
        <v>9.4079151607059572E-4</v>
      </c>
      <c r="G28" s="866">
        <v>0</v>
      </c>
      <c r="H28" s="866">
        <v>0</v>
      </c>
      <c r="I28" s="866">
        <v>1.8570194947220284E-3</v>
      </c>
      <c r="J28" s="866">
        <v>4.6609263302750382E-4</v>
      </c>
      <c r="K28" s="866">
        <v>0</v>
      </c>
      <c r="L28" s="866">
        <v>1.8467017293573218</v>
      </c>
      <c r="M28" s="866">
        <v>0</v>
      </c>
      <c r="N28" s="866">
        <v>0</v>
      </c>
      <c r="O28" s="866">
        <v>0</v>
      </c>
      <c r="P28" s="866">
        <v>0</v>
      </c>
      <c r="Q28" s="866">
        <v>0</v>
      </c>
      <c r="R28" s="867">
        <v>1.8490248414850714</v>
      </c>
      <c r="S28" s="866">
        <v>0.24446812448880001</v>
      </c>
      <c r="T28" s="866">
        <v>0</v>
      </c>
      <c r="U28" s="866">
        <v>0</v>
      </c>
      <c r="V28" s="867">
        <v>0.24446812448880001</v>
      </c>
      <c r="W28" s="867">
        <v>2.0944337574899419</v>
      </c>
      <c r="X28" s="866">
        <v>0</v>
      </c>
      <c r="Y28" s="866">
        <v>1.8525275730440298</v>
      </c>
      <c r="Z28" s="866">
        <v>-3.949167651329441E-2</v>
      </c>
      <c r="AA28" s="868">
        <v>0</v>
      </c>
      <c r="AB28" s="868">
        <v>0</v>
      </c>
      <c r="AC28" s="867">
        <v>3.9074696540206775</v>
      </c>
    </row>
    <row r="29" spans="1:31">
      <c r="A29" s="3"/>
      <c r="B29" s="6" t="s">
        <v>165</v>
      </c>
      <c r="C29" s="866">
        <v>0</v>
      </c>
      <c r="D29" s="866">
        <v>0.62831966102044223</v>
      </c>
      <c r="E29" s="866">
        <v>0</v>
      </c>
      <c r="F29" s="867">
        <v>0.62831966102044223</v>
      </c>
      <c r="G29" s="866">
        <v>0</v>
      </c>
      <c r="H29" s="866">
        <v>0</v>
      </c>
      <c r="I29" s="866">
        <v>7.6764257591469976E-3</v>
      </c>
      <c r="J29" s="866">
        <v>2.9440414874801727E-3</v>
      </c>
      <c r="K29" s="866">
        <v>0</v>
      </c>
      <c r="L29" s="866">
        <v>0.74505015085106441</v>
      </c>
      <c r="M29" s="866">
        <v>0</v>
      </c>
      <c r="N29" s="866">
        <v>0.41753638823217359</v>
      </c>
      <c r="O29" s="866">
        <v>0</v>
      </c>
      <c r="P29" s="866">
        <v>0</v>
      </c>
      <c r="Q29" s="866">
        <v>0</v>
      </c>
      <c r="R29" s="867">
        <v>1.1732070063298652</v>
      </c>
      <c r="S29" s="866">
        <v>17.571558476104265</v>
      </c>
      <c r="T29" s="866">
        <v>0</v>
      </c>
      <c r="U29" s="866">
        <v>0</v>
      </c>
      <c r="V29" s="867">
        <v>17.571558476104265</v>
      </c>
      <c r="W29" s="867">
        <v>19.373085143454574</v>
      </c>
      <c r="X29" s="866">
        <v>0</v>
      </c>
      <c r="Y29" s="866">
        <v>0.30341000384646999</v>
      </c>
      <c r="Z29" s="866">
        <v>-5.6605289892932964</v>
      </c>
      <c r="AA29" s="868">
        <v>0</v>
      </c>
      <c r="AB29" s="868">
        <v>0</v>
      </c>
      <c r="AC29" s="867">
        <v>14.015966158007746</v>
      </c>
    </row>
    <row r="30" spans="1:31">
      <c r="A30" s="3"/>
      <c r="B30" s="6" t="s">
        <v>166</v>
      </c>
      <c r="C30" s="866">
        <v>0</v>
      </c>
      <c r="D30" s="866">
        <v>3.7929010706030317E-2</v>
      </c>
      <c r="E30" s="866">
        <v>0</v>
      </c>
      <c r="F30" s="867">
        <v>3.7929010706030317E-2</v>
      </c>
      <c r="G30" s="866">
        <v>0</v>
      </c>
      <c r="H30" s="866">
        <v>0</v>
      </c>
      <c r="I30" s="866">
        <v>4.6040220034132863E-3</v>
      </c>
      <c r="J30" s="866">
        <v>3.8388118068254417E-3</v>
      </c>
      <c r="K30" s="866">
        <v>0</v>
      </c>
      <c r="L30" s="866">
        <v>0.71065760576459225</v>
      </c>
      <c r="M30" s="866">
        <v>0</v>
      </c>
      <c r="N30" s="866">
        <v>3.0209832390702671E-2</v>
      </c>
      <c r="O30" s="866">
        <v>0</v>
      </c>
      <c r="P30" s="866">
        <v>0</v>
      </c>
      <c r="Q30" s="866">
        <v>0</v>
      </c>
      <c r="R30" s="867">
        <v>0.74931027196553357</v>
      </c>
      <c r="S30" s="866">
        <v>0</v>
      </c>
      <c r="T30" s="866">
        <v>0</v>
      </c>
      <c r="U30" s="866">
        <v>0</v>
      </c>
      <c r="V30" s="867">
        <v>0</v>
      </c>
      <c r="W30" s="867">
        <v>0.78723928267156384</v>
      </c>
      <c r="X30" s="866">
        <v>0</v>
      </c>
      <c r="Y30" s="866">
        <v>2.2133904000000001E-4</v>
      </c>
      <c r="Z30" s="866">
        <v>0.81547532815702306</v>
      </c>
      <c r="AA30" s="868">
        <v>0</v>
      </c>
      <c r="AB30" s="868">
        <v>0</v>
      </c>
      <c r="AC30" s="867">
        <v>1.6029359498685869</v>
      </c>
    </row>
    <row r="31" spans="1:31">
      <c r="A31" s="3"/>
      <c r="B31" s="6" t="s">
        <v>167</v>
      </c>
      <c r="C31" s="866">
        <v>0</v>
      </c>
      <c r="D31" s="866">
        <v>0</v>
      </c>
      <c r="E31" s="866">
        <v>0</v>
      </c>
      <c r="F31" s="867">
        <v>0</v>
      </c>
      <c r="G31" s="866">
        <v>0</v>
      </c>
      <c r="H31" s="866">
        <v>0</v>
      </c>
      <c r="I31" s="866">
        <v>1.757687097E-6</v>
      </c>
      <c r="J31" s="866">
        <v>6.1302113488488602E-2</v>
      </c>
      <c r="K31" s="866">
        <v>0</v>
      </c>
      <c r="L31" s="866">
        <v>6.8157765275399899E-3</v>
      </c>
      <c r="M31" s="866">
        <v>0</v>
      </c>
      <c r="N31" s="866">
        <v>0</v>
      </c>
      <c r="O31" s="866">
        <v>0</v>
      </c>
      <c r="P31" s="866">
        <v>0</v>
      </c>
      <c r="Q31" s="866">
        <v>0</v>
      </c>
      <c r="R31" s="867">
        <v>6.8119647703125591E-2</v>
      </c>
      <c r="S31" s="866">
        <v>0</v>
      </c>
      <c r="T31" s="866">
        <v>0</v>
      </c>
      <c r="U31" s="866">
        <v>0</v>
      </c>
      <c r="V31" s="867">
        <v>0</v>
      </c>
      <c r="W31" s="867">
        <v>6.8119647703125591E-2</v>
      </c>
      <c r="X31" s="866">
        <v>0</v>
      </c>
      <c r="Y31" s="866">
        <v>0</v>
      </c>
      <c r="Z31" s="866">
        <v>0</v>
      </c>
      <c r="AA31" s="868">
        <v>0</v>
      </c>
      <c r="AB31" s="868">
        <v>0</v>
      </c>
      <c r="AC31" s="867">
        <v>6.8119647703125591E-2</v>
      </c>
    </row>
    <row r="32" spans="1:31">
      <c r="A32" s="4"/>
      <c r="B32" s="127" t="s">
        <v>168</v>
      </c>
      <c r="C32" s="884">
        <v>0</v>
      </c>
      <c r="D32" s="884">
        <v>0</v>
      </c>
      <c r="E32" s="884">
        <v>0</v>
      </c>
      <c r="F32" s="883">
        <v>0</v>
      </c>
      <c r="G32" s="884">
        <v>0</v>
      </c>
      <c r="H32" s="884">
        <v>0</v>
      </c>
      <c r="I32" s="884">
        <v>0</v>
      </c>
      <c r="J32" s="884">
        <v>2.95485335256384E-3</v>
      </c>
      <c r="K32" s="884">
        <v>0</v>
      </c>
      <c r="L32" s="884">
        <v>3.4144132042593003E-3</v>
      </c>
      <c r="M32" s="884">
        <v>0</v>
      </c>
      <c r="N32" s="884">
        <v>0</v>
      </c>
      <c r="O32" s="884">
        <v>0</v>
      </c>
      <c r="P32" s="884">
        <v>0</v>
      </c>
      <c r="Q32" s="884">
        <v>0</v>
      </c>
      <c r="R32" s="883">
        <v>6.3692665568231398E-3</v>
      </c>
      <c r="S32" s="884">
        <v>0</v>
      </c>
      <c r="T32" s="884">
        <v>0</v>
      </c>
      <c r="U32" s="884">
        <v>0</v>
      </c>
      <c r="V32" s="883">
        <v>0</v>
      </c>
      <c r="W32" s="883">
        <v>6.3692665568231398E-3</v>
      </c>
      <c r="X32" s="884">
        <v>0</v>
      </c>
      <c r="Y32" s="884">
        <v>0</v>
      </c>
      <c r="Z32" s="884">
        <v>4.9696415999999998E-5</v>
      </c>
      <c r="AA32" s="885">
        <v>0</v>
      </c>
      <c r="AB32" s="885">
        <v>0</v>
      </c>
      <c r="AC32" s="883">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0" t="s">
        <v>461</v>
      </c>
      <c r="B2" s="120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463</v>
      </c>
      <c r="C6" s="161" t="s">
        <v>479</v>
      </c>
    </row>
    <row r="7" spans="1:3" s="11" customFormat="1">
      <c r="A7" s="132"/>
      <c r="B7" s="133"/>
      <c r="C7" s="134"/>
    </row>
    <row r="8" spans="1:3" s="11" customFormat="1" ht="60">
      <c r="A8" s="113" t="s">
        <v>154</v>
      </c>
      <c r="B8" s="130" t="s">
        <v>463</v>
      </c>
      <c r="C8" s="311" t="s">
        <v>480</v>
      </c>
    </row>
    <row r="9" spans="1:3" s="11" customFormat="1">
      <c r="A9" s="132"/>
      <c r="B9" s="133"/>
      <c r="C9" s="134"/>
    </row>
    <row r="10" spans="1:3" s="11" customFormat="1" ht="60">
      <c r="A10" s="113" t="s">
        <v>155</v>
      </c>
      <c r="B10" s="130" t="s">
        <v>463</v>
      </c>
      <c r="C10" s="311" t="s">
        <v>480</v>
      </c>
    </row>
    <row r="11" spans="1:3" s="11" customFormat="1">
      <c r="A11" s="132"/>
      <c r="B11" s="133"/>
      <c r="C11" s="134"/>
    </row>
    <row r="12" spans="1:3" s="11" customFormat="1" ht="60">
      <c r="A12" s="113" t="s">
        <v>384</v>
      </c>
      <c r="B12" s="130" t="s">
        <v>463</v>
      </c>
      <c r="C12" s="311" t="s">
        <v>480</v>
      </c>
    </row>
    <row r="13" spans="1:3" s="11" customFormat="1">
      <c r="A13" s="132"/>
      <c r="B13" s="133"/>
      <c r="C13" s="134"/>
    </row>
    <row r="14" spans="1:3" s="11" customFormat="1" ht="60">
      <c r="A14" s="113" t="s">
        <v>111</v>
      </c>
      <c r="B14" s="130" t="s">
        <v>481</v>
      </c>
      <c r="C14" s="311" t="s">
        <v>480</v>
      </c>
    </row>
    <row r="15" spans="1:3" s="11" customFormat="1" ht="63">
      <c r="A15" s="123"/>
      <c r="B15" s="130" t="s">
        <v>482</v>
      </c>
      <c r="C15" s="311" t="s">
        <v>486</v>
      </c>
    </row>
    <row r="16" spans="1:3" s="11" customFormat="1">
      <c r="A16" s="132"/>
      <c r="B16" s="133"/>
      <c r="C16" s="134"/>
    </row>
    <row r="17" spans="1:3" s="11" customFormat="1" ht="45">
      <c r="A17" s="113" t="s">
        <v>462</v>
      </c>
      <c r="B17" s="130" t="s">
        <v>532</v>
      </c>
      <c r="C17" s="161" t="s">
        <v>533</v>
      </c>
    </row>
    <row r="18" spans="1:3" s="11" customFormat="1">
      <c r="A18" s="132"/>
      <c r="B18" s="133"/>
      <c r="C18" s="134"/>
    </row>
    <row r="19" spans="1:3" s="11" customFormat="1" ht="60">
      <c r="A19" s="113" t="s">
        <v>387</v>
      </c>
      <c r="B19" s="310" t="s">
        <v>530</v>
      </c>
      <c r="C19" s="161" t="s">
        <v>531</v>
      </c>
    </row>
    <row r="20" spans="1:3" s="11" customFormat="1">
      <c r="A20" s="113"/>
      <c r="B20" s="130"/>
      <c r="C20" s="131"/>
    </row>
    <row r="21" spans="1:3" ht="21">
      <c r="A21" s="126" t="s">
        <v>465</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2" t="s">
        <v>193</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527</v>
      </c>
      <c r="B5" s="30">
        <f>SUM(OV_ov_ele_kWh,OV_rest_ele_kWh)/1000</f>
        <v>1007.726</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528</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466</v>
      </c>
      <c r="B8" s="21">
        <f>MAX((B5+B6),0)</f>
        <v>1007.726</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0.18311312550240619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184.52785751003779</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9" activePane="bottomRight" state="frozen"/>
      <selection activeCell="B35" sqref="B35"/>
      <selection pane="topRight" activeCell="B35" sqref="B35"/>
      <selection pane="bottomLeft" activeCell="B35" sqref="B35"/>
      <selection pane="bottomRight" activeCell="B55" sqref="B55"/>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2" t="s">
        <v>154</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529</v>
      </c>
      <c r="B5" s="30">
        <f>IF(ISERROR(SUM(HH_hh_ele_kWh,HH_rest_kWh)/1000),0,SUM(HH_hh_ele_kWh,HH_rest_kWh)/1000)</f>
        <v>22247.912920000002</v>
      </c>
      <c r="C5" s="17">
        <f>IF(ISERROR('Eigen informatie GS &amp; warmtenet'!B59),0,'Eigen informatie GS &amp; warmtenet'!B59)</f>
        <v>0</v>
      </c>
      <c r="D5" s="30">
        <f>(SUM(HH_hh_gas_kWh,HH_rest_gas_kWh)/1000)*0.902</f>
        <v>38962.25701478</v>
      </c>
      <c r="E5" s="17">
        <f>B46*B57</f>
        <v>7302.5026729590418</v>
      </c>
      <c r="F5" s="17">
        <f>B51*B62</f>
        <v>10366.56199915929</v>
      </c>
      <c r="G5" s="18"/>
      <c r="H5" s="17"/>
      <c r="I5" s="17"/>
      <c r="J5" s="17">
        <f>B50*B61+C50*C61</f>
        <v>2377.0232139930981</v>
      </c>
      <c r="K5" s="17"/>
      <c r="L5" s="17"/>
      <c r="M5" s="17"/>
      <c r="N5" s="17">
        <f>B48*B59+C48*C59</f>
        <v>10266.349771792236</v>
      </c>
      <c r="O5" s="17">
        <f>B69*B70*B71</f>
        <v>436.47080826514696</v>
      </c>
      <c r="P5" s="17">
        <f>B77*B78*B79/1000-B77*B78*B79/1000/B80</f>
        <v>505.63004676888113</v>
      </c>
    </row>
    <row r="6" spans="1:16">
      <c r="A6" s="16" t="s">
        <v>611</v>
      </c>
      <c r="B6" s="783">
        <f>kWh_PV_kleiner_dan_10kW</f>
        <v>2986.131896431893</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211</v>
      </c>
      <c r="B8" s="21">
        <f>B5+B6</f>
        <v>25234.044816431895</v>
      </c>
      <c r="C8" s="21">
        <f>C5</f>
        <v>0</v>
      </c>
      <c r="D8" s="21">
        <f>D5</f>
        <v>38962.25701478</v>
      </c>
      <c r="E8" s="21">
        <f>E5</f>
        <v>7302.5026729590418</v>
      </c>
      <c r="F8" s="21">
        <f>F5</f>
        <v>10366.56199915929</v>
      </c>
      <c r="G8" s="21"/>
      <c r="H8" s="21"/>
      <c r="I8" s="21"/>
      <c r="J8" s="21">
        <f>J5</f>
        <v>2377.0232139930981</v>
      </c>
      <c r="K8" s="21"/>
      <c r="L8" s="21">
        <f>L5</f>
        <v>0</v>
      </c>
      <c r="M8" s="21">
        <f>M5</f>
        <v>0</v>
      </c>
      <c r="N8" s="21">
        <f>N5</f>
        <v>10266.349771792236</v>
      </c>
      <c r="O8" s="21">
        <f>O5</f>
        <v>436.47080826514696</v>
      </c>
      <c r="P8" s="21">
        <f>P5</f>
        <v>505.63004676888113</v>
      </c>
    </row>
    <row r="9" spans="1:16">
      <c r="B9" s="19"/>
      <c r="C9" s="19"/>
      <c r="D9" s="258"/>
      <c r="E9" s="19"/>
      <c r="F9" s="19"/>
      <c r="G9" s="19"/>
      <c r="H9" s="19"/>
      <c r="I9" s="19"/>
      <c r="J9" s="19"/>
      <c r="K9" s="19"/>
      <c r="L9" s="19"/>
      <c r="M9" s="19"/>
      <c r="N9" s="19"/>
      <c r="O9" s="19"/>
      <c r="P9" s="19"/>
    </row>
    <row r="10" spans="1:16">
      <c r="A10" s="24" t="s">
        <v>213</v>
      </c>
      <c r="B10" s="25">
        <f ca="1">'EF ele_warmte'!B12</f>
        <v>0.18311312550240619</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4620.6848154046356</v>
      </c>
      <c r="C12" s="23">
        <f ca="1">C10*C8</f>
        <v>0</v>
      </c>
      <c r="D12" s="23">
        <f>D8*D10</f>
        <v>7870.3759169855603</v>
      </c>
      <c r="E12" s="23">
        <f>E10*E8</f>
        <v>1657.6681067617026</v>
      </c>
      <c r="F12" s="23">
        <f>F10*F8</f>
        <v>2767.8720537755307</v>
      </c>
      <c r="G12" s="23"/>
      <c r="H12" s="23"/>
      <c r="I12" s="23"/>
      <c r="J12" s="23">
        <f>J10*J8</f>
        <v>841.46621775355675</v>
      </c>
      <c r="K12" s="23"/>
      <c r="L12" s="23">
        <f>L10*L8</f>
        <v>0</v>
      </c>
      <c r="M12" s="23">
        <f>M10*M8</f>
        <v>0</v>
      </c>
      <c r="N12" s="23">
        <f>N10*N8</f>
        <v>0</v>
      </c>
      <c r="O12" s="23">
        <f>O10*O8</f>
        <v>0</v>
      </c>
      <c r="P12" s="23">
        <f>P10*P8</f>
        <v>0</v>
      </c>
    </row>
    <row r="15" spans="1:16">
      <c r="A15" s="193" t="s">
        <v>477</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1184</v>
      </c>
      <c r="C18" s="166" t="s">
        <v>110</v>
      </c>
      <c r="D18" s="228"/>
      <c r="E18" s="15"/>
    </row>
    <row r="19" spans="1:7">
      <c r="A19" s="171" t="s">
        <v>71</v>
      </c>
      <c r="B19" s="37">
        <f>aantalw2001_ander</f>
        <v>0</v>
      </c>
      <c r="C19" s="166" t="s">
        <v>110</v>
      </c>
      <c r="D19" s="229"/>
      <c r="E19" s="15"/>
    </row>
    <row r="20" spans="1:7">
      <c r="A20" s="171" t="s">
        <v>72</v>
      </c>
      <c r="B20" s="37">
        <f>aantalw2001_propaan</f>
        <v>71</v>
      </c>
      <c r="C20" s="167">
        <f>IF(ISERROR(B20/SUM($B$20,$B$21,$B$22)*100),0,B20/SUM($B$20,$B$21,$B$22)*100)</f>
        <v>7.9152731326644368</v>
      </c>
      <c r="D20" s="229"/>
      <c r="E20" s="15"/>
    </row>
    <row r="21" spans="1:7">
      <c r="A21" s="171" t="s">
        <v>73</v>
      </c>
      <c r="B21" s="37">
        <f>aantalw2001_elektriciteit</f>
        <v>746</v>
      </c>
      <c r="C21" s="167">
        <f>IF(ISERROR(B21/SUM($B$20,$B$21,$B$22)*100),0,B21/SUM($B$20,$B$21,$B$22)*100)</f>
        <v>83.166109253065784</v>
      </c>
      <c r="D21" s="229"/>
      <c r="E21" s="15"/>
    </row>
    <row r="22" spans="1:7">
      <c r="A22" s="171" t="s">
        <v>74</v>
      </c>
      <c r="B22" s="37">
        <f>aantalw2001_hout</f>
        <v>80</v>
      </c>
      <c r="C22" s="167">
        <f>IF(ISERROR(B22/SUM($B$20,$B$21,$B$22)*100),0,B22/SUM($B$20,$B$21,$B$22)*100)</f>
        <v>8.9186176142697882</v>
      </c>
      <c r="D22" s="229"/>
      <c r="E22" s="15"/>
    </row>
    <row r="23" spans="1:7">
      <c r="A23" s="171" t="s">
        <v>75</v>
      </c>
      <c r="B23" s="37">
        <f>aantalw2001_niet_gespec</f>
        <v>62</v>
      </c>
      <c r="C23" s="166" t="s">
        <v>110</v>
      </c>
      <c r="D23" s="228"/>
      <c r="E23" s="15"/>
    </row>
    <row r="24" spans="1:7">
      <c r="A24" s="171" t="s">
        <v>76</v>
      </c>
      <c r="B24" s="37">
        <f>aantalw2001_steenkool</f>
        <v>348</v>
      </c>
      <c r="C24" s="166" t="s">
        <v>110</v>
      </c>
      <c r="D24" s="229"/>
      <c r="E24" s="15"/>
    </row>
    <row r="25" spans="1:7">
      <c r="A25" s="171" t="s">
        <v>77</v>
      </c>
      <c r="B25" s="37">
        <f>aantalw2001_stookolie</f>
        <v>2007</v>
      </c>
      <c r="C25" s="166" t="s">
        <v>110</v>
      </c>
      <c r="D25" s="228"/>
      <c r="E25" s="52"/>
    </row>
    <row r="26" spans="1:7">
      <c r="A26" s="171" t="s">
        <v>78</v>
      </c>
      <c r="B26" s="37">
        <f>aantalw2001_WP</f>
        <v>9</v>
      </c>
      <c r="C26" s="166" t="s">
        <v>110</v>
      </c>
      <c r="D26" s="228"/>
      <c r="E26" s="15"/>
    </row>
    <row r="27" spans="1:7" s="15" customFormat="1">
      <c r="A27" s="171"/>
      <c r="B27" s="29"/>
      <c r="C27" s="36"/>
      <c r="D27" s="228"/>
    </row>
    <row r="28" spans="1:7" s="15" customFormat="1">
      <c r="A28" s="230" t="s">
        <v>818</v>
      </c>
      <c r="B28" s="37">
        <f>aantalHuishoudens</f>
        <v>5285</v>
      </c>
      <c r="C28" s="36"/>
      <c r="D28" s="228"/>
    </row>
    <row r="29" spans="1:7" s="15" customFormat="1">
      <c r="A29" s="230" t="s">
        <v>819</v>
      </c>
      <c r="B29" s="37">
        <f>SUM(HH_hh_gas_aantal,HH_rest_gas_aantal)</f>
        <v>2859</v>
      </c>
      <c r="C29" s="36"/>
      <c r="D29" s="228"/>
    </row>
    <row r="30" spans="1:7" s="15" customFormat="1">
      <c r="A30" s="231"/>
      <c r="B30" s="29"/>
      <c r="C30" s="36"/>
      <c r="D30" s="232"/>
    </row>
    <row r="31" spans="1:7">
      <c r="A31" s="172" t="s">
        <v>820</v>
      </c>
      <c r="B31" s="168" t="s">
        <v>215</v>
      </c>
      <c r="C31" s="165" t="s">
        <v>216</v>
      </c>
      <c r="D31" s="174"/>
      <c r="G31" s="15"/>
    </row>
    <row r="32" spans="1:7">
      <c r="A32" s="171" t="s">
        <v>70</v>
      </c>
      <c r="B32" s="37">
        <f>B29</f>
        <v>2859</v>
      </c>
      <c r="C32" s="167">
        <f>IF(ISERROR(B32/SUM($B$32,$B$34,$B$35,$B$36,$B$38,$B$39)*100),0,B32/SUM($B$32,$B$34,$B$35,$B$36,$B$38,$B$39)*100)</f>
        <v>54.592323849532164</v>
      </c>
      <c r="D32" s="233"/>
      <c r="G32" s="15"/>
    </row>
    <row r="33" spans="1:7">
      <c r="A33" s="171" t="s">
        <v>71</v>
      </c>
      <c r="B33" s="34" t="s">
        <v>110</v>
      </c>
      <c r="C33" s="167"/>
      <c r="D33" s="233"/>
      <c r="G33" s="15"/>
    </row>
    <row r="34" spans="1:7">
      <c r="A34" s="171" t="s">
        <v>72</v>
      </c>
      <c r="B34" s="33">
        <f>IF((($B$28-$B$32-$B$39-$B$77-$B$38)*C20/100)&lt;0,0,($B$28-$B$32-$B$39-$B$77-$B$38)*C20/100)</f>
        <v>134.40133779264212</v>
      </c>
      <c r="C34" s="167">
        <f>IF(ISERROR(B34/SUM($B$32,$B$34,$B$35,$B$36,$B$38,$B$39)*100),0,B34/SUM($B$32,$B$34,$B$35,$B$36,$B$38,$B$39)*100)</f>
        <v>2.5663803282918103</v>
      </c>
      <c r="D34" s="233"/>
      <c r="G34" s="15"/>
    </row>
    <row r="35" spans="1:7">
      <c r="A35" s="171" t="s">
        <v>73</v>
      </c>
      <c r="B35" s="33">
        <f>IF((($B$28-$B$32-$B$39-$B$77-$B$38)*C21/100)&lt;0,0,($B$28-$B$32-$B$39-$B$77-$B$38)*C21/100)</f>
        <v>1412.1605351170572</v>
      </c>
      <c r="C35" s="167">
        <f>IF(ISERROR(B35/SUM($B$32,$B$34,$B$35,$B$36,$B$38,$B$39)*100),0,B35/SUM($B$32,$B$34,$B$35,$B$36,$B$38,$B$39)*100)</f>
        <v>26.965066547967481</v>
      </c>
      <c r="D35" s="233"/>
      <c r="G35" s="15"/>
    </row>
    <row r="36" spans="1:7">
      <c r="A36" s="171" t="s">
        <v>74</v>
      </c>
      <c r="B36" s="33">
        <f>IF((($B$28-$B$32-$B$39-$B$77-$B$38)*C22/100)&lt;0,0,($B$28-$B$32-$B$39-$B$77-$B$38)*C22/100)</f>
        <v>151.43812709030101</v>
      </c>
      <c r="C36" s="167">
        <f>IF(ISERROR(B36/SUM($B$32,$B$34,$B$35,$B$36,$B$38,$B$39)*100),0,B36/SUM($B$32,$B$34,$B$35,$B$36,$B$38,$B$39)*100)</f>
        <v>2.8916961445541527</v>
      </c>
      <c r="D36" s="233"/>
      <c r="G36" s="15"/>
    </row>
    <row r="37" spans="1:7">
      <c r="A37" s="171" t="s">
        <v>75</v>
      </c>
      <c r="B37" s="34" t="s">
        <v>110</v>
      </c>
      <c r="C37" s="167"/>
      <c r="D37" s="173"/>
      <c r="G37" s="15"/>
    </row>
    <row r="38" spans="1:7">
      <c r="A38" s="171" t="s">
        <v>76</v>
      </c>
      <c r="B38" s="33">
        <f>IF((B24-(B29-B18)*0.1)&lt;0,0,B24-(B29-B18)*0.1)</f>
        <v>180.5</v>
      </c>
      <c r="C38" s="167">
        <f>IF(ISERROR(B38/SUM($B$32,$B$34,$B$35,$B$36,$B$38,$B$39)*100),0,B38/SUM($B$32,$B$34,$B$35,$B$36,$B$38,$B$39)*100)</f>
        <v>3.4466297498567875</v>
      </c>
      <c r="D38" s="234"/>
      <c r="G38" s="15"/>
    </row>
    <row r="39" spans="1:7">
      <c r="A39" s="171" t="s">
        <v>77</v>
      </c>
      <c r="B39" s="33">
        <f>IF((B25-(B29-B18))&lt;0,0,B25-(B29-B18)*0.9)</f>
        <v>499.5</v>
      </c>
      <c r="C39" s="167">
        <f>IF(ISERROR(B39/SUM($B$32,$B$34,$B$35,$B$36,$B$38,$B$39)*100),0,B39/SUM($B$32,$B$34,$B$35,$B$36,$B$38,$B$39)*100)</f>
        <v>9.5379033797975925</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469</v>
      </c>
      <c r="B43" s="169" t="s">
        <v>816</v>
      </c>
      <c r="C43" s="169" t="s">
        <v>817</v>
      </c>
      <c r="D43" s="174"/>
    </row>
    <row r="44" spans="1:7">
      <c r="A44" s="171" t="s">
        <v>70</v>
      </c>
      <c r="B44" s="33">
        <f t="shared" ref="B44:B52" si="0">B32</f>
        <v>2859</v>
      </c>
      <c r="C44" s="34" t="s">
        <v>110</v>
      </c>
      <c r="D44" s="174"/>
    </row>
    <row r="45" spans="1:7">
      <c r="A45" s="171" t="s">
        <v>71</v>
      </c>
      <c r="B45" s="33" t="str">
        <f t="shared" si="0"/>
        <v>-</v>
      </c>
      <c r="C45" s="34" t="s">
        <v>110</v>
      </c>
      <c r="D45" s="174"/>
    </row>
    <row r="46" spans="1:7">
      <c r="A46" s="171" t="s">
        <v>72</v>
      </c>
      <c r="B46" s="33">
        <f t="shared" si="0"/>
        <v>134.40133779264212</v>
      </c>
      <c r="C46" s="34" t="s">
        <v>110</v>
      </c>
      <c r="D46" s="174"/>
    </row>
    <row r="47" spans="1:7">
      <c r="A47" s="171" t="s">
        <v>73</v>
      </c>
      <c r="B47" s="33">
        <f t="shared" si="0"/>
        <v>1412.1605351170572</v>
      </c>
      <c r="C47" s="34" t="s">
        <v>110</v>
      </c>
      <c r="D47" s="174"/>
    </row>
    <row r="48" spans="1:7">
      <c r="A48" s="171" t="s">
        <v>74</v>
      </c>
      <c r="B48" s="33">
        <f t="shared" si="0"/>
        <v>151.43812709030101</v>
      </c>
      <c r="C48" s="33">
        <f>B48*10</f>
        <v>1514.3812709030101</v>
      </c>
      <c r="D48" s="234"/>
    </row>
    <row r="49" spans="1:6">
      <c r="A49" s="171" t="s">
        <v>75</v>
      </c>
      <c r="B49" s="33" t="str">
        <f t="shared" si="0"/>
        <v>-</v>
      </c>
      <c r="C49" s="34" t="s">
        <v>110</v>
      </c>
      <c r="D49" s="234"/>
    </row>
    <row r="50" spans="1:6">
      <c r="A50" s="171" t="s">
        <v>76</v>
      </c>
      <c r="B50" s="33">
        <f t="shared" si="0"/>
        <v>180.5</v>
      </c>
      <c r="C50" s="33">
        <f>B50*2</f>
        <v>361</v>
      </c>
      <c r="D50" s="234"/>
    </row>
    <row r="51" spans="1:6">
      <c r="A51" s="171" t="s">
        <v>77</v>
      </c>
      <c r="B51" s="33">
        <f t="shared" si="0"/>
        <v>499.5</v>
      </c>
      <c r="C51" s="34" t="s">
        <v>110</v>
      </c>
      <c r="D51" s="174"/>
    </row>
    <row r="52" spans="1:6">
      <c r="A52" s="171" t="s">
        <v>78</v>
      </c>
      <c r="B52" s="33" t="str">
        <f t="shared" si="0"/>
        <v>zie verder</v>
      </c>
      <c r="C52" s="34" t="s">
        <v>110</v>
      </c>
      <c r="D52" s="174"/>
    </row>
    <row r="53" spans="1:6">
      <c r="A53" s="3"/>
      <c r="B53" s="43"/>
      <c r="C53" s="43"/>
      <c r="D53" s="174"/>
    </row>
    <row r="54" spans="1:6">
      <c r="A54" s="172" t="s">
        <v>472</v>
      </c>
      <c r="B54" s="165" t="s">
        <v>814</v>
      </c>
      <c r="C54" s="165" t="s">
        <v>815</v>
      </c>
      <c r="D54" s="299" t="s">
        <v>880</v>
      </c>
      <c r="E54" s="162"/>
      <c r="F54" s="162"/>
    </row>
    <row r="55" spans="1:6">
      <c r="A55" s="171" t="s">
        <v>70</v>
      </c>
      <c r="B55" s="163">
        <v>13.9508811865783</v>
      </c>
      <c r="C55" s="170" t="s">
        <v>110</v>
      </c>
      <c r="D55" s="173"/>
      <c r="E55" s="163"/>
      <c r="F55" s="163"/>
    </row>
    <row r="56" spans="1:6">
      <c r="A56" s="171" t="s">
        <v>71</v>
      </c>
      <c r="B56" s="170" t="s">
        <v>110</v>
      </c>
      <c r="C56" s="170" t="s">
        <v>110</v>
      </c>
      <c r="D56" s="173"/>
      <c r="E56" s="163"/>
      <c r="F56" s="163"/>
    </row>
    <row r="57" spans="1:6">
      <c r="A57" s="171" t="s">
        <v>72</v>
      </c>
      <c r="B57" s="163">
        <v>54.333556442909313</v>
      </c>
      <c r="C57" s="170" t="s">
        <v>110</v>
      </c>
      <c r="D57" s="173"/>
      <c r="E57" s="163"/>
      <c r="F57" s="163"/>
    </row>
    <row r="58" spans="1:6">
      <c r="A58" s="171" t="s">
        <v>73</v>
      </c>
      <c r="B58" s="163">
        <v>9.0832903585659786</v>
      </c>
      <c r="C58" s="170" t="s">
        <v>110</v>
      </c>
      <c r="D58" s="173"/>
      <c r="E58" s="163"/>
      <c r="F58" s="163"/>
    </row>
    <row r="59" spans="1:6">
      <c r="A59" s="171" t="s">
        <v>74</v>
      </c>
      <c r="B59" s="170">
        <v>9.7672459940657372</v>
      </c>
      <c r="C59" s="170">
        <v>5.8025125511364442</v>
      </c>
      <c r="D59" s="173"/>
      <c r="E59" s="163"/>
      <c r="F59" s="163"/>
    </row>
    <row r="60" spans="1:6">
      <c r="A60" s="171" t="s">
        <v>75</v>
      </c>
      <c r="B60" s="170" t="s">
        <v>110</v>
      </c>
      <c r="C60" s="170" t="s">
        <v>110</v>
      </c>
      <c r="D60" s="173"/>
      <c r="E60" s="163"/>
      <c r="F60" s="163"/>
    </row>
    <row r="61" spans="1:6">
      <c r="A61" s="171" t="s">
        <v>76</v>
      </c>
      <c r="B61" s="163">
        <v>6.3435809167690893</v>
      </c>
      <c r="C61" s="170">
        <v>3.4127613809315172</v>
      </c>
      <c r="D61" s="173"/>
      <c r="E61" s="163"/>
      <c r="F61" s="163"/>
    </row>
    <row r="62" spans="1:6">
      <c r="A62" s="171" t="s">
        <v>77</v>
      </c>
      <c r="B62" s="170">
        <v>20.753877876194775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470</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220</v>
      </c>
      <c r="C69" s="43"/>
      <c r="D69" s="173"/>
    </row>
    <row r="70" spans="1:6">
      <c r="A70" s="171" t="s">
        <v>467</v>
      </c>
      <c r="B70" s="313">
        <v>5.3300370073084435</v>
      </c>
      <c r="C70" s="43"/>
      <c r="D70" s="307" t="s">
        <v>841</v>
      </c>
    </row>
    <row r="71" spans="1:6">
      <c r="A71" s="245" t="s">
        <v>468</v>
      </c>
      <c r="B71" s="318">
        <f>1.34/3.6</f>
        <v>0.37222222222222223</v>
      </c>
      <c r="C71" s="43" t="s">
        <v>217</v>
      </c>
      <c r="D71" s="307" t="s">
        <v>842</v>
      </c>
    </row>
    <row r="72" spans="1:6">
      <c r="A72" s="175"/>
      <c r="B72" s="246"/>
      <c r="C72" s="178"/>
      <c r="D72" s="179"/>
    </row>
    <row r="73" spans="1:6">
      <c r="D73" s="164"/>
    </row>
    <row r="74" spans="1:6">
      <c r="A74" s="194" t="s">
        <v>471</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48</v>
      </c>
      <c r="C77" s="32"/>
      <c r="D77" s="177"/>
    </row>
    <row r="78" spans="1:6">
      <c r="A78" s="171" t="s">
        <v>437</v>
      </c>
      <c r="B78" s="313">
        <v>8.5956185892968069</v>
      </c>
      <c r="C78" s="32" t="s">
        <v>262</v>
      </c>
      <c r="D78" s="307" t="s">
        <v>841</v>
      </c>
    </row>
    <row r="79" spans="1:6">
      <c r="A79" s="171" t="s">
        <v>438</v>
      </c>
      <c r="B79" s="313">
        <v>1671.14092090028</v>
      </c>
      <c r="C79" s="32" t="s">
        <v>264</v>
      </c>
      <c r="D79" s="307" t="s">
        <v>841</v>
      </c>
    </row>
    <row r="80" spans="1:6">
      <c r="A80" s="171" t="s">
        <v>400</v>
      </c>
      <c r="B80" s="313">
        <v>3.75</v>
      </c>
      <c r="C80" s="43"/>
      <c r="D80" s="307" t="s">
        <v>842</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155</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10518.076611999999</v>
      </c>
      <c r="C5" s="17">
        <f>IF(ISERROR('Eigen informatie GS &amp; warmtenet'!B60),0,'Eigen informatie GS &amp; warmtenet'!B60)</f>
        <v>0</v>
      </c>
      <c r="D5" s="30">
        <f>SUM(D6:D12)</f>
        <v>10721.840434316002</v>
      </c>
      <c r="E5" s="17">
        <f>SUM(E6:E12)</f>
        <v>188.04961231483438</v>
      </c>
      <c r="F5" s="17">
        <f>SUM(F6:F12)</f>
        <v>1161.969307513496</v>
      </c>
      <c r="G5" s="18"/>
      <c r="H5" s="17"/>
      <c r="I5" s="17"/>
      <c r="J5" s="17">
        <f>SUM(J6:J12)</f>
        <v>1.3736166632138603E-2</v>
      </c>
      <c r="K5" s="17"/>
      <c r="L5" s="17"/>
      <c r="M5" s="17"/>
      <c r="N5" s="17">
        <f>SUM(N6:N12)</f>
        <v>542.44626123048943</v>
      </c>
      <c r="O5" s="17">
        <f>B38*B39*B40</f>
        <v>9.7945215316823084</v>
      </c>
      <c r="P5" s="17">
        <f>B46*B47*B48/1000-B46*B47*B48/1000/B49</f>
        <v>52.539138306495019</v>
      </c>
      <c r="R5" s="32"/>
    </row>
    <row r="6" spans="1:18">
      <c r="A6" s="32" t="s">
        <v>53</v>
      </c>
      <c r="B6" s="37">
        <f>B26</f>
        <v>1982.9810030000001</v>
      </c>
      <c r="C6" s="33"/>
      <c r="D6" s="37">
        <f>IF(ISERROR(TER_kantoor_gas_kWh/1000),0,TER_kantoor_gas_kWh/1000)*0.902</f>
        <v>2237.2108552199998</v>
      </c>
      <c r="E6" s="33">
        <f>$C$26*'E Balans VL '!I12/100/3.6*1000000</f>
        <v>15.956412337342083</v>
      </c>
      <c r="F6" s="33">
        <f>$C$26*('E Balans VL '!L12+'E Balans VL '!N12)/100/3.6*1000000</f>
        <v>242.44028790904565</v>
      </c>
      <c r="G6" s="34"/>
      <c r="H6" s="33"/>
      <c r="I6" s="33"/>
      <c r="J6" s="33">
        <f>$C$26*('E Balans VL '!D12+'E Balans VL '!E12)/100/3.6*1000000</f>
        <v>0</v>
      </c>
      <c r="K6" s="33"/>
      <c r="L6" s="33"/>
      <c r="M6" s="33"/>
      <c r="N6" s="33">
        <f>$C$26*'E Balans VL '!Y12/100/3.6*1000000</f>
        <v>1.0657546378673357</v>
      </c>
      <c r="O6" s="33"/>
      <c r="P6" s="33"/>
      <c r="R6" s="32"/>
    </row>
    <row r="7" spans="1:18">
      <c r="A7" s="32" t="s">
        <v>52</v>
      </c>
      <c r="B7" s="37">
        <f t="shared" ref="B7:B12" si="0">B27</f>
        <v>899.97483099999999</v>
      </c>
      <c r="C7" s="33"/>
      <c r="D7" s="37">
        <f>IF(ISERROR(TER_horeca_gas_kWh/1000),0,TER_horeca_gas_kWh/1000)*0.902</f>
        <v>1082.6709806440001</v>
      </c>
      <c r="E7" s="33">
        <f>$C$27*'E Balans VL '!I9/100/3.6*1000000</f>
        <v>9.6635197331171145</v>
      </c>
      <c r="F7" s="33">
        <f>$C$27*('E Balans VL '!L9+'E Balans VL '!N9)/100/3.6*1000000</f>
        <v>108.24514895618046</v>
      </c>
      <c r="G7" s="34"/>
      <c r="H7" s="33"/>
      <c r="I7" s="33"/>
      <c r="J7" s="33">
        <f>$C$27*('E Balans VL '!D9+'E Balans VL '!E9)/100/3.6*1000000</f>
        <v>0</v>
      </c>
      <c r="K7" s="33"/>
      <c r="L7" s="33"/>
      <c r="M7" s="33"/>
      <c r="N7" s="33">
        <f>$C$27*'E Balans VL '!Y9/100/3.6*1000000</f>
        <v>0.13492446753904391</v>
      </c>
      <c r="O7" s="33"/>
      <c r="P7" s="33"/>
      <c r="R7" s="32"/>
    </row>
    <row r="8" spans="1:18">
      <c r="A8" s="6" t="s">
        <v>51</v>
      </c>
      <c r="B8" s="37">
        <f t="shared" si="0"/>
        <v>4636.3206019999998</v>
      </c>
      <c r="C8" s="33"/>
      <c r="D8" s="37">
        <f>IF(ISERROR(TER_handel_gas_kWh/1000),0,TER_handel_gas_kWh/1000)*0.902</f>
        <v>1705.6213414019999</v>
      </c>
      <c r="E8" s="33">
        <f>$C$28*'E Balans VL '!I13/100/3.6*1000000</f>
        <v>124.4246509998496</v>
      </c>
      <c r="F8" s="33">
        <f>$C$28*('E Balans VL '!L13+'E Balans VL '!N13)/100/3.6*1000000</f>
        <v>442.44788051626813</v>
      </c>
      <c r="G8" s="34"/>
      <c r="H8" s="33"/>
      <c r="I8" s="33"/>
      <c r="J8" s="33">
        <f>$C$28*('E Balans VL '!D13+'E Balans VL '!E13)/100/3.6*1000000</f>
        <v>0</v>
      </c>
      <c r="K8" s="33"/>
      <c r="L8" s="33"/>
      <c r="M8" s="33"/>
      <c r="N8" s="33">
        <f>$C$28*'E Balans VL '!Y13/100/3.6*1000000</f>
        <v>1.8378902033852564</v>
      </c>
      <c r="O8" s="33"/>
      <c r="P8" s="33"/>
      <c r="R8" s="32"/>
    </row>
    <row r="9" spans="1:18">
      <c r="A9" s="32" t="s">
        <v>50</v>
      </c>
      <c r="B9" s="37">
        <f t="shared" si="0"/>
        <v>134.16669300000001</v>
      </c>
      <c r="C9" s="33"/>
      <c r="D9" s="37">
        <f>IF(ISERROR(TER_gezond_gas_kWh/1000),0,TER_gezond_gas_kWh/1000)*0.902</f>
        <v>289.83760795000001</v>
      </c>
      <c r="E9" s="33">
        <f>$C$29*'E Balans VL '!I10/100/3.6*1000000</f>
        <v>0.25147206925427767</v>
      </c>
      <c r="F9" s="33">
        <f>$C$29*('E Balans VL '!L10+'E Balans VL '!N10)/100/3.6*1000000</f>
        <v>11.02972634134675</v>
      </c>
      <c r="G9" s="34"/>
      <c r="H9" s="33"/>
      <c r="I9" s="33"/>
      <c r="J9" s="33">
        <f>$C$29*('E Balans VL '!D10+'E Balans VL '!E10)/100/3.6*1000000</f>
        <v>0</v>
      </c>
      <c r="K9" s="33"/>
      <c r="L9" s="33"/>
      <c r="M9" s="33"/>
      <c r="N9" s="33">
        <f>$C$29*'E Balans VL '!Y10/100/3.6*1000000</f>
        <v>1.0439169742764354</v>
      </c>
      <c r="O9" s="33"/>
      <c r="P9" s="33"/>
      <c r="R9" s="32"/>
    </row>
    <row r="10" spans="1:18">
      <c r="A10" s="32" t="s">
        <v>49</v>
      </c>
      <c r="B10" s="37">
        <f t="shared" si="0"/>
        <v>627.45227299999999</v>
      </c>
      <c r="C10" s="33"/>
      <c r="D10" s="37">
        <f>IF(ISERROR(TER_ander_gas_kWh/1000),0,TER_ander_gas_kWh/1000)*0.902</f>
        <v>514.76457095799992</v>
      </c>
      <c r="E10" s="33">
        <f>$C$30*'E Balans VL '!I14/100/3.6*1000000</f>
        <v>0.96722403670514479</v>
      </c>
      <c r="F10" s="33">
        <f>$C$30*('E Balans VL '!L14+'E Balans VL '!N14)/100/3.6*1000000</f>
        <v>97.412138600973236</v>
      </c>
      <c r="G10" s="34"/>
      <c r="H10" s="33"/>
      <c r="I10" s="33"/>
      <c r="J10" s="33">
        <f>$C$30*('E Balans VL '!D14+'E Balans VL '!E14)/100/3.6*1000000</f>
        <v>1.0651664060902816E-2</v>
      </c>
      <c r="K10" s="33"/>
      <c r="L10" s="33"/>
      <c r="M10" s="33"/>
      <c r="N10" s="33">
        <f>$C$30*'E Balans VL '!Y14/100/3.6*1000000</f>
        <v>415.10231412240114</v>
      </c>
      <c r="O10" s="33"/>
      <c r="P10" s="33"/>
      <c r="R10" s="32"/>
    </row>
    <row r="11" spans="1:18">
      <c r="A11" s="32" t="s">
        <v>54</v>
      </c>
      <c r="B11" s="37">
        <f t="shared" si="0"/>
        <v>627.69113600000003</v>
      </c>
      <c r="C11" s="33"/>
      <c r="D11" s="37">
        <f>IF(ISERROR(TER_onderwijs_gas_kWh/1000),0,TER_onderwijs_gas_kWh/1000)*0.902</f>
        <v>1870.7276048780002</v>
      </c>
      <c r="E11" s="33">
        <f>$C$31*'E Balans VL '!I11/100/3.6*1000000</f>
        <v>16.010411133881597</v>
      </c>
      <c r="F11" s="33">
        <f>$C$31*('E Balans VL '!L11+'E Balans VL '!N11)/100/3.6*1000000</f>
        <v>75.48576715795862</v>
      </c>
      <c r="G11" s="34"/>
      <c r="H11" s="33"/>
      <c r="I11" s="33"/>
      <c r="J11" s="33">
        <f>$C$31*('E Balans VL '!D11+'E Balans VL '!E11)/100/3.6*1000000</f>
        <v>0</v>
      </c>
      <c r="K11" s="33"/>
      <c r="L11" s="33"/>
      <c r="M11" s="33"/>
      <c r="N11" s="33">
        <f>$C$31*'E Balans VL '!Y11/100/3.6*1000000</f>
        <v>1.3959697706683103</v>
      </c>
      <c r="O11" s="33"/>
      <c r="P11" s="33"/>
      <c r="R11" s="32"/>
    </row>
    <row r="12" spans="1:18">
      <c r="A12" s="32" t="s">
        <v>259</v>
      </c>
      <c r="B12" s="37">
        <f t="shared" si="0"/>
        <v>1609.490074</v>
      </c>
      <c r="C12" s="33"/>
      <c r="D12" s="37">
        <f>IF(ISERROR(TER_rest_gas_kWh/1000),0,TER_rest_gas_kWh/1000)*0.902</f>
        <v>3021.0074732640001</v>
      </c>
      <c r="E12" s="33">
        <f>$C$32*'E Balans VL '!I8/100/3.6*1000000</f>
        <v>20.775922004684521</v>
      </c>
      <c r="F12" s="33">
        <f>$C$32*('E Balans VL '!L8+'E Balans VL '!N8)/100/3.6*1000000</f>
        <v>184.90835803172308</v>
      </c>
      <c r="G12" s="34"/>
      <c r="H12" s="33"/>
      <c r="I12" s="33"/>
      <c r="J12" s="33">
        <f>$C$32*('E Balans VL '!D8+'E Balans VL '!E8)/100/3.6*1000000</f>
        <v>3.0845025712357881E-3</v>
      </c>
      <c r="K12" s="33"/>
      <c r="L12" s="33"/>
      <c r="M12" s="33"/>
      <c r="N12" s="33">
        <f>$C$32*'E Balans VL '!Y8/100/3.6*1000000</f>
        <v>121.86549105435191</v>
      </c>
      <c r="O12" s="33"/>
      <c r="P12" s="33"/>
      <c r="R12" s="32"/>
    </row>
    <row r="13" spans="1:18">
      <c r="A13" s="16" t="s">
        <v>478</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492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10518.076611999999</v>
      </c>
      <c r="C16" s="21">
        <f t="shared" ca="1" si="1"/>
        <v>0</v>
      </c>
      <c r="D16" s="21">
        <f t="shared" ca="1" si="1"/>
        <v>10721.840434316002</v>
      </c>
      <c r="E16" s="21">
        <f t="shared" si="1"/>
        <v>188.04961231483438</v>
      </c>
      <c r="F16" s="21">
        <f t="shared" ca="1" si="1"/>
        <v>1161.969307513496</v>
      </c>
      <c r="G16" s="21">
        <f t="shared" si="1"/>
        <v>0</v>
      </c>
      <c r="H16" s="21">
        <f t="shared" si="1"/>
        <v>0</v>
      </c>
      <c r="I16" s="21">
        <f t="shared" si="1"/>
        <v>0</v>
      </c>
      <c r="J16" s="21">
        <f t="shared" si="1"/>
        <v>1.3736166632138603E-2</v>
      </c>
      <c r="K16" s="21">
        <f t="shared" si="1"/>
        <v>0</v>
      </c>
      <c r="L16" s="21">
        <f t="shared" ca="1" si="1"/>
        <v>0</v>
      </c>
      <c r="M16" s="21">
        <f t="shared" si="1"/>
        <v>0</v>
      </c>
      <c r="N16" s="21">
        <f t="shared" ca="1" si="1"/>
        <v>542.44626123048943</v>
      </c>
      <c r="O16" s="21">
        <f>O5</f>
        <v>9.7945215316823084</v>
      </c>
      <c r="P16" s="21">
        <f>P5</f>
        <v>52.539138306495019</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0.18311312550240619</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1925.9978826970791</v>
      </c>
      <c r="C20" s="23">
        <f t="shared" ref="C20:P20" ca="1" si="2">C16*C18</f>
        <v>0</v>
      </c>
      <c r="D20" s="23">
        <f t="shared" ca="1" si="2"/>
        <v>2165.8117677318323</v>
      </c>
      <c r="E20" s="23">
        <f t="shared" si="2"/>
        <v>42.687261995467402</v>
      </c>
      <c r="F20" s="23">
        <f t="shared" ca="1" si="2"/>
        <v>310.24580510610343</v>
      </c>
      <c r="G20" s="23">
        <f t="shared" si="2"/>
        <v>0</v>
      </c>
      <c r="H20" s="23">
        <f t="shared" si="2"/>
        <v>0</v>
      </c>
      <c r="I20" s="23">
        <f t="shared" si="2"/>
        <v>0</v>
      </c>
      <c r="J20" s="23">
        <f t="shared" si="2"/>
        <v>4.8626029877770656E-3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477</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1982.9810030000001</v>
      </c>
      <c r="C26" s="39">
        <f>IF(ISERROR(B26*3.6/1000000/'E Balans VL '!Z12*100),0,B26*3.6/1000000/'E Balans VL '!Z12*100)</f>
        <v>4.2067127759360716E-2</v>
      </c>
      <c r="D26" s="237" t="s">
        <v>708</v>
      </c>
      <c r="F26" s="6"/>
    </row>
    <row r="27" spans="1:18">
      <c r="A27" s="231" t="s">
        <v>52</v>
      </c>
      <c r="B27" s="33">
        <f>IF(ISERROR(TER_horeca_ele_kWh/1000),0,TER_horeca_ele_kWh/1000)</f>
        <v>899.97483099999999</v>
      </c>
      <c r="C27" s="39">
        <f>IF(ISERROR(B27*3.6/1000000/'E Balans VL '!Z9*100),0,B27*3.6/1000000/'E Balans VL '!Z9*100)</f>
        <v>6.7776077207242075E-2</v>
      </c>
      <c r="D27" s="237" t="s">
        <v>708</v>
      </c>
      <c r="F27" s="6"/>
    </row>
    <row r="28" spans="1:18">
      <c r="A28" s="171" t="s">
        <v>51</v>
      </c>
      <c r="B28" s="33">
        <f>IF(ISERROR(TER_handel_ele_kWh/1000),0,TER_handel_ele_kWh/1000)</f>
        <v>4636.3206019999998</v>
      </c>
      <c r="C28" s="39">
        <f>IF(ISERROR(B28*3.6/1000000/'E Balans VL '!Z13*100),0,B28*3.6/1000000/'E Balans VL '!Z13*100)</f>
        <v>0.13457595931044319</v>
      </c>
      <c r="D28" s="237" t="s">
        <v>708</v>
      </c>
      <c r="F28" s="6"/>
    </row>
    <row r="29" spans="1:18">
      <c r="A29" s="231" t="s">
        <v>50</v>
      </c>
      <c r="B29" s="33">
        <f>IF(ISERROR(TER_gezond_ele_kWh/1000),0,TER_gezond_ele_kWh/1000)</f>
        <v>134.16669300000001</v>
      </c>
      <c r="C29" s="39">
        <f>IF(ISERROR(B29*3.6/1000000/'E Balans VL '!Z10*100),0,B29*3.6/1000000/'E Balans VL '!Z10*100)</f>
        <v>1.3530870989348074E-2</v>
      </c>
      <c r="D29" s="237" t="s">
        <v>708</v>
      </c>
      <c r="F29" s="6"/>
    </row>
    <row r="30" spans="1:18">
      <c r="A30" s="231" t="s">
        <v>49</v>
      </c>
      <c r="B30" s="33">
        <f>IF(ISERROR(TER_ander_ele_kWh/1000),0,TER_ander_ele_kWh/1000)</f>
        <v>627.45227299999999</v>
      </c>
      <c r="C30" s="39">
        <f>IF(ISERROR(B30*3.6/1000000/'E Balans VL '!Z14*100),0,B30*3.6/1000000/'E Balans VL '!Z14*100)</f>
        <v>4.5530222424676629E-2</v>
      </c>
      <c r="D30" s="237" t="s">
        <v>708</v>
      </c>
      <c r="F30" s="6"/>
    </row>
    <row r="31" spans="1:18">
      <c r="A31" s="231" t="s">
        <v>54</v>
      </c>
      <c r="B31" s="33">
        <f>IF(ISERROR(TER_onderwijs_ele_kWh/1000),0,TER_onderwijs_ele_kWh/1000)</f>
        <v>627.69113600000003</v>
      </c>
      <c r="C31" s="39">
        <f>IF(ISERROR(B31*3.6/1000000/'E Balans VL '!Z11*100),0,B31*3.6/1000000/'E Balans VL '!Z11*100)</f>
        <v>0.17891753453326023</v>
      </c>
      <c r="D31" s="237" t="s">
        <v>708</v>
      </c>
    </row>
    <row r="32" spans="1:18">
      <c r="A32" s="231" t="s">
        <v>259</v>
      </c>
      <c r="B32" s="33">
        <f>IF(ISERROR(TER_rest_ele_kWh/1000),0,TER_rest_ele_kWh/1000)</f>
        <v>1609.490074</v>
      </c>
      <c r="C32" s="39">
        <f>IF(ISERROR(B32*3.6/1000000/'E Balans VL '!Z8*100),0,B32*3.6/1000000/'E Balans VL '!Z8*100)</f>
        <v>1.3184614848428587E-2</v>
      </c>
      <c r="D32" s="237" t="s">
        <v>708</v>
      </c>
    </row>
    <row r="33" spans="1:4">
      <c r="A33" s="240"/>
      <c r="B33" s="180"/>
      <c r="C33" s="180"/>
      <c r="D33" s="241"/>
    </row>
    <row r="34" spans="1:4">
      <c r="A34" s="32"/>
      <c r="B34" s="32"/>
      <c r="C34" s="32"/>
    </row>
    <row r="35" spans="1:4">
      <c r="A35" s="193" t="s">
        <v>470</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2</v>
      </c>
      <c r="C38" s="43"/>
      <c r="D38" s="232"/>
    </row>
    <row r="39" spans="1:4">
      <c r="A39" s="171" t="s">
        <v>467</v>
      </c>
      <c r="B39" s="313">
        <v>13.15681996793146</v>
      </c>
      <c r="C39" s="43"/>
      <c r="D39" s="307" t="s">
        <v>841</v>
      </c>
    </row>
    <row r="40" spans="1:4">
      <c r="A40" s="6" t="s">
        <v>468</v>
      </c>
      <c r="B40" s="318">
        <f>1.34/3.6</f>
        <v>0.37222222222222223</v>
      </c>
      <c r="C40" s="43" t="s">
        <v>217</v>
      </c>
      <c r="D40" s="307" t="s">
        <v>842</v>
      </c>
    </row>
    <row r="41" spans="1:4">
      <c r="A41" s="240"/>
      <c r="B41" s="180"/>
      <c r="C41" s="180"/>
      <c r="D41" s="241"/>
    </row>
    <row r="43" spans="1:4">
      <c r="A43" s="194" t="s">
        <v>471</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1</v>
      </c>
      <c r="C46" s="32"/>
      <c r="D46" s="232"/>
    </row>
    <row r="47" spans="1:4">
      <c r="A47" s="171" t="s">
        <v>437</v>
      </c>
      <c r="B47" s="533">
        <v>37.963784638354454</v>
      </c>
      <c r="C47" s="32" t="s">
        <v>262</v>
      </c>
      <c r="D47" s="307" t="s">
        <v>841</v>
      </c>
    </row>
    <row r="48" spans="1:4">
      <c r="A48" s="171" t="s">
        <v>438</v>
      </c>
      <c r="B48" s="533">
        <v>1887.1743212997605</v>
      </c>
      <c r="C48" s="32" t="s">
        <v>264</v>
      </c>
      <c r="D48" s="307" t="s">
        <v>841</v>
      </c>
    </row>
    <row r="49" spans="1:4">
      <c r="A49" s="171" t="s">
        <v>400</v>
      </c>
      <c r="B49" s="533">
        <v>3.75</v>
      </c>
      <c r="C49" s="32"/>
      <c r="D49" s="307" t="s">
        <v>842</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162</v>
      </c>
      <c r="B1" s="1203" t="s">
        <v>194</v>
      </c>
      <c r="C1" s="1204"/>
      <c r="D1" s="1204"/>
      <c r="E1" s="1204"/>
      <c r="F1" s="1204"/>
      <c r="G1" s="1204"/>
      <c r="H1" s="1204"/>
      <c r="I1" s="1204"/>
      <c r="J1" s="1204"/>
      <c r="K1" s="1204"/>
      <c r="L1" s="1204"/>
      <c r="M1" s="1204"/>
      <c r="N1" s="1204"/>
      <c r="O1" s="1204"/>
      <c r="P1" s="1204"/>
      <c r="R1" s="768"/>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c r="R2" s="768"/>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68"/>
    </row>
    <row r="4" spans="1:18" ht="15.75">
      <c r="A4" s="13"/>
      <c r="B4" s="14"/>
      <c r="C4" s="14"/>
      <c r="D4" s="14"/>
      <c r="E4" s="14"/>
      <c r="F4" s="14"/>
      <c r="G4" s="14"/>
      <c r="H4" s="14"/>
      <c r="I4" s="14"/>
      <c r="J4" s="14"/>
      <c r="K4" s="14"/>
      <c r="L4" s="14"/>
      <c r="M4" s="14"/>
      <c r="N4" s="14"/>
      <c r="O4" s="14"/>
      <c r="P4" s="14"/>
      <c r="R4" s="6"/>
    </row>
    <row r="5" spans="1:18">
      <c r="A5" s="16" t="s">
        <v>268</v>
      </c>
      <c r="B5" s="30">
        <f>SUM(B6:B15)</f>
        <v>2252.8359140000002</v>
      </c>
      <c r="C5" s="17">
        <f>IF(ISERROR('Eigen informatie GS &amp; warmtenet'!B61),0,'Eigen informatie GS &amp; warmtenet'!B61)</f>
        <v>0</v>
      </c>
      <c r="D5" s="30">
        <f>SUM(D6:D15)</f>
        <v>2101.0493721580001</v>
      </c>
      <c r="E5" s="17">
        <f>SUM(E6:E15)</f>
        <v>300.36111781098418</v>
      </c>
      <c r="F5" s="17">
        <f>SUM(F6:F15)</f>
        <v>974.69346816640416</v>
      </c>
      <c r="G5" s="18"/>
      <c r="H5" s="17"/>
      <c r="I5" s="17"/>
      <c r="J5" s="17">
        <f>SUM(J6:J15)</f>
        <v>2.9292964005521402</v>
      </c>
      <c r="K5" s="17"/>
      <c r="L5" s="17"/>
      <c r="M5" s="17"/>
      <c r="N5" s="17">
        <f>SUM(N6:N15)</f>
        <v>104.54892225340478</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797.45753500000001</v>
      </c>
      <c r="C8" s="33"/>
      <c r="D8" s="37">
        <f>IF( ISERROR(IND_metaal_Gas_kWH/1000),0,IND_metaal_Gas_kWH/1000)*0.902</f>
        <v>450.34975722000001</v>
      </c>
      <c r="E8" s="33">
        <f>C30*'E Balans VL '!I18/100/3.6*1000000</f>
        <v>5.7530964070168702</v>
      </c>
      <c r="F8" s="33">
        <f>C30*'E Balans VL '!L18/100/3.6*1000000+C30*'E Balans VL '!N18/100/3.6*1000000</f>
        <v>75.424778724079005</v>
      </c>
      <c r="G8" s="34"/>
      <c r="H8" s="33"/>
      <c r="I8" s="33"/>
      <c r="J8" s="40">
        <f>C30*'E Balans VL '!D18/100/3.6*1000000+C30*'E Balans VL '!E18/100/3.6*1000000</f>
        <v>0.80208742288672574</v>
      </c>
      <c r="K8" s="33"/>
      <c r="L8" s="33"/>
      <c r="M8" s="33"/>
      <c r="N8" s="33">
        <f>C30*'E Balans VL '!Y18/100/3.6*1000000</f>
        <v>10.081973106738191</v>
      </c>
      <c r="O8" s="33"/>
      <c r="P8" s="33"/>
      <c r="R8" s="32"/>
    </row>
    <row r="9" spans="1:18">
      <c r="A9" s="6" t="s">
        <v>32</v>
      </c>
      <c r="B9" s="37">
        <f t="shared" si="0"/>
        <v>1018.068491</v>
      </c>
      <c r="C9" s="33"/>
      <c r="D9" s="37">
        <f>IF( ISERROR(IND_andere_gas_kWh/1000),0,IND_andere_gas_kWh/1000)*0.902</f>
        <v>566.38687883800003</v>
      </c>
      <c r="E9" s="33">
        <f>C31*'E Balans VL '!I19/100/3.6*1000000</f>
        <v>282.12039213732692</v>
      </c>
      <c r="F9" s="33">
        <f>C31*'E Balans VL '!L19/100/3.6*1000000+C31*'E Balans VL '!N19/100/3.6*1000000</f>
        <v>843.77736540376497</v>
      </c>
      <c r="G9" s="34"/>
      <c r="H9" s="33"/>
      <c r="I9" s="33"/>
      <c r="J9" s="40">
        <f>C31*'E Balans VL '!D19/100/3.6*1000000+C31*'E Balans VL '!E19/100/3.6*1000000</f>
        <v>0</v>
      </c>
      <c r="K9" s="33"/>
      <c r="L9" s="33"/>
      <c r="M9" s="33"/>
      <c r="N9" s="33">
        <f>C31*'E Balans VL '!Y19/100/3.6*1000000</f>
        <v>73.899320120887921</v>
      </c>
      <c r="O9" s="33"/>
      <c r="P9" s="33"/>
      <c r="R9" s="32"/>
    </row>
    <row r="10" spans="1:18">
      <c r="A10" s="6" t="s">
        <v>40</v>
      </c>
      <c r="B10" s="37">
        <f t="shared" si="0"/>
        <v>179.81636399999999</v>
      </c>
      <c r="C10" s="33"/>
      <c r="D10" s="37">
        <f>IF( ISERROR(IND_voed_gas_kWh/1000),0,IND_voed_gas_kWh/1000)*0.902</f>
        <v>265.12809186600003</v>
      </c>
      <c r="E10" s="33">
        <f>C32*'E Balans VL '!I20/100/3.6*1000000</f>
        <v>0.31833587198745444</v>
      </c>
      <c r="F10" s="33">
        <f>C32*'E Balans VL '!L20/100/3.6*1000000+C32*'E Balans VL '!N20/100/3.6*1000000</f>
        <v>9.7116773541384251</v>
      </c>
      <c r="G10" s="34"/>
      <c r="H10" s="33"/>
      <c r="I10" s="33"/>
      <c r="J10" s="40">
        <f>C32*'E Balans VL '!D20/100/3.6*1000000+C32*'E Balans VL '!E20/100/3.6*1000000</f>
        <v>0</v>
      </c>
      <c r="K10" s="33"/>
      <c r="L10" s="33"/>
      <c r="M10" s="33"/>
      <c r="N10" s="33">
        <f>C32*'E Balans VL '!Y20/100/3.6*1000000</f>
        <v>10.448704023084092</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257.49352399999998</v>
      </c>
      <c r="C15" s="33"/>
      <c r="D15" s="37">
        <f>IF( ISERROR(IND_rest_gas_kWh/1000),0,IND_rest_gas_kWh/1000)*0.902</f>
        <v>819.18464423399996</v>
      </c>
      <c r="E15" s="33">
        <f>C37*'E Balans VL '!I15/100/3.6*1000000</f>
        <v>12.169293394652934</v>
      </c>
      <c r="F15" s="33">
        <f>C37*'E Balans VL '!L15/100/3.6*1000000+C37*'E Balans VL '!N15/100/3.6*1000000</f>
        <v>45.779646684421799</v>
      </c>
      <c r="G15" s="34"/>
      <c r="H15" s="33"/>
      <c r="I15" s="33"/>
      <c r="J15" s="40">
        <f>C37*'E Balans VL '!D15/100/3.6*1000000+C37*'E Balans VL '!E15/100/3.6*1000000</f>
        <v>2.1272089776654144</v>
      </c>
      <c r="K15" s="33"/>
      <c r="L15" s="33"/>
      <c r="M15" s="33"/>
      <c r="N15" s="33">
        <f>C37*'E Balans VL '!Y15/100/3.6*1000000</f>
        <v>10.118925002694574</v>
      </c>
      <c r="O15" s="33"/>
      <c r="P15" s="33"/>
      <c r="R15" s="32"/>
    </row>
    <row r="16" spans="1:18">
      <c r="A16" s="16" t="s">
        <v>478</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2252.8359140000002</v>
      </c>
      <c r="C18" s="21">
        <f>C5+C16</f>
        <v>0</v>
      </c>
      <c r="D18" s="21">
        <f>MAX((D5+D16),0)</f>
        <v>2101.0493721580001</v>
      </c>
      <c r="E18" s="21">
        <f>MAX((E5+E16),0)</f>
        <v>300.36111781098418</v>
      </c>
      <c r="F18" s="21">
        <f>MAX((F5+F16),0)</f>
        <v>974.69346816640416</v>
      </c>
      <c r="G18" s="21"/>
      <c r="H18" s="21"/>
      <c r="I18" s="21"/>
      <c r="J18" s="21">
        <f>MAX((J5+J16),0)</f>
        <v>2.9292964005521402</v>
      </c>
      <c r="K18" s="21"/>
      <c r="L18" s="21">
        <f>MAX((L5+L16),0)</f>
        <v>0</v>
      </c>
      <c r="M18" s="21"/>
      <c r="N18" s="21">
        <f>MAX((N5+N16),0)</f>
        <v>104.54892225340478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0.18311312550240619</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412.52382545660998</v>
      </c>
      <c r="C22" s="23">
        <f ca="1">C18*C20</f>
        <v>0</v>
      </c>
      <c r="D22" s="23">
        <f>D18*D20</f>
        <v>424.41197317591605</v>
      </c>
      <c r="E22" s="23">
        <f>E18*E20</f>
        <v>68.181973743093408</v>
      </c>
      <c r="F22" s="23">
        <f>F18*F20</f>
        <v>260.24315600042991</v>
      </c>
      <c r="G22" s="23"/>
      <c r="H22" s="23"/>
      <c r="I22" s="23"/>
      <c r="J22" s="23">
        <f>J18*J20</f>
        <v>1.0369709257954576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477</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708</v>
      </c>
    </row>
    <row r="29" spans="1:18">
      <c r="A29" s="171" t="s">
        <v>37</v>
      </c>
      <c r="B29" s="37">
        <f>IF( ISERROR(IND_nonf_ele_kWh/1000),0,IND_nonf_ele_kWh/1000)</f>
        <v>0</v>
      </c>
      <c r="C29" s="39">
        <f>IF(ISERROR(B29*3.6/1000000/'E Balans VL '!Z17*100),0,B29*3.6/1000000/'E Balans VL '!Z17*100)</f>
        <v>0</v>
      </c>
      <c r="D29" s="237" t="s">
        <v>708</v>
      </c>
    </row>
    <row r="30" spans="1:18">
      <c r="A30" s="171" t="s">
        <v>35</v>
      </c>
      <c r="B30" s="37">
        <f>IF( ISERROR(IND_metaal_ele_kWh/1000),0,IND_metaal_ele_kWh/1000)</f>
        <v>797.45753500000001</v>
      </c>
      <c r="C30" s="39">
        <f>IF(ISERROR(B30*3.6/1000000/'E Balans VL '!Z18*100),0,B30*3.6/1000000/'E Balans VL '!Z18*100)</f>
        <v>4.6035979184545092E-2</v>
      </c>
      <c r="D30" s="237" t="s">
        <v>708</v>
      </c>
    </row>
    <row r="31" spans="1:18">
      <c r="A31" s="6" t="s">
        <v>32</v>
      </c>
      <c r="B31" s="37">
        <f>IF( ISERROR(IND_ander_ele_kWh/1000),0,IND_ander_ele_kWh/1000)</f>
        <v>1018.068491</v>
      </c>
      <c r="C31" s="39">
        <f>IF(ISERROR(B31*3.6/1000000/'E Balans VL '!Z19*100),0,B31*3.6/1000000/'E Balans VL '!Z19*100)</f>
        <v>5.1205545156063369E-2</v>
      </c>
      <c r="D31" s="237" t="s">
        <v>708</v>
      </c>
    </row>
    <row r="32" spans="1:18">
      <c r="A32" s="171" t="s">
        <v>40</v>
      </c>
      <c r="B32" s="37">
        <f>IF( ISERROR(IND_voed_ele_kWh/1000),0,IND_voed_ele_kWh/1000)</f>
        <v>179.81636399999999</v>
      </c>
      <c r="C32" s="39">
        <f>IF(ISERROR(B32*3.6/1000000/'E Balans VL '!Z20*100),0,B32*3.6/1000000/'E Balans VL '!Z20*100)</f>
        <v>5.9889527153792416E-3</v>
      </c>
      <c r="D32" s="237" t="s">
        <v>708</v>
      </c>
    </row>
    <row r="33" spans="1:5">
      <c r="A33" s="171" t="s">
        <v>39</v>
      </c>
      <c r="B33" s="37">
        <f>IF( ISERROR(IND_textiel_ele_kWh/1000),0,IND_textiel_ele_kWh/1000)</f>
        <v>0</v>
      </c>
      <c r="C33" s="39">
        <f>IF(ISERROR(B33*3.6/1000000/'E Balans VL '!Z21*100),0,B33*3.6/1000000/'E Balans VL '!Z21*100)</f>
        <v>0</v>
      </c>
      <c r="D33" s="237" t="s">
        <v>708</v>
      </c>
    </row>
    <row r="34" spans="1:5">
      <c r="A34" s="171" t="s">
        <v>36</v>
      </c>
      <c r="B34" s="37">
        <f>IF( ISERROR(IND_min_ele_kWh/1000),0,IND_min_ele_kWh/1000)</f>
        <v>0</v>
      </c>
      <c r="C34" s="39">
        <f>IF(ISERROR(B34*3.6/1000000/'E Balans VL '!Z22*100),0,B34*3.6/1000000/'E Balans VL '!Z22*100)</f>
        <v>0</v>
      </c>
      <c r="D34" s="237" t="s">
        <v>708</v>
      </c>
    </row>
    <row r="35" spans="1:5">
      <c r="A35" s="171" t="s">
        <v>38</v>
      </c>
      <c r="B35" s="37">
        <f>IF( ISERROR(IND_papier_ele_kWh/1000),0,IND_papier_ele_kWh/1000)</f>
        <v>0</v>
      </c>
      <c r="C35" s="39">
        <f>IF(ISERROR(B35*3.6/1000000/'E Balans VL '!Z22*100),0,B35*3.6/1000000/'E Balans VL '!Z22*100)</f>
        <v>0</v>
      </c>
      <c r="D35" s="237" t="s">
        <v>708</v>
      </c>
    </row>
    <row r="36" spans="1:5">
      <c r="A36" s="171" t="s">
        <v>33</v>
      </c>
      <c r="B36" s="37">
        <f>IF( ISERROR(IND_chemie_ele_kWh/1000),0,IND_chemie_ele_kWh/1000)</f>
        <v>0</v>
      </c>
      <c r="C36" s="39">
        <f>IF(ISERROR(B36*3.6/1000000/'E Balans VL '!Z24*100),0,B36*3.6/1000000/'E Balans VL '!Z24*100)</f>
        <v>0</v>
      </c>
      <c r="D36" s="237" t="s">
        <v>708</v>
      </c>
    </row>
    <row r="37" spans="1:5">
      <c r="A37" s="171" t="s">
        <v>269</v>
      </c>
      <c r="B37" s="37">
        <f>IF( ISERROR(IND_rest_ele_kWh/1000),0,IND_rest_ele_kWh/1000)</f>
        <v>257.49352399999998</v>
      </c>
      <c r="C37" s="39">
        <f>IF(ISERROR(B37*3.6/1000000/'E Balans VL '!Z15*100),0,B37*3.6/1000000/'E Balans VL '!Z15*100)</f>
        <v>2.0091536370227541E-3</v>
      </c>
      <c r="D37" s="237" t="s">
        <v>708</v>
      </c>
    </row>
    <row r="38" spans="1:5">
      <c r="A38" s="240"/>
      <c r="B38" s="180"/>
      <c r="C38" s="180"/>
      <c r="D38" s="241"/>
    </row>
    <row r="39" spans="1:5">
      <c r="A39" s="231"/>
      <c r="B39" s="32"/>
      <c r="C39" s="32"/>
      <c r="D39" s="32"/>
      <c r="E39" s="32"/>
    </row>
    <row r="40" spans="1:5">
      <c r="A40" s="193" t="s">
        <v>470</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467</v>
      </c>
      <c r="B44" s="313">
        <v>13.15681996793146</v>
      </c>
      <c r="C44" s="43"/>
      <c r="D44" s="307" t="s">
        <v>841</v>
      </c>
    </row>
    <row r="45" spans="1:5">
      <c r="A45" s="6" t="s">
        <v>468</v>
      </c>
      <c r="B45" s="318">
        <f>1.34/3.6</f>
        <v>0.37222222222222223</v>
      </c>
      <c r="C45" s="43" t="s">
        <v>217</v>
      </c>
      <c r="D45" s="307" t="s">
        <v>842</v>
      </c>
    </row>
    <row r="46" spans="1:5" s="32" customFormat="1">
      <c r="A46" s="175"/>
      <c r="B46" s="246"/>
      <c r="C46" s="180"/>
      <c r="D46" s="241"/>
    </row>
    <row r="48" spans="1:5">
      <c r="A48" s="194" t="s">
        <v>471</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42.166215685288535</v>
      </c>
      <c r="C52" s="32" t="s">
        <v>262</v>
      </c>
      <c r="D52" s="307" t="s">
        <v>497</v>
      </c>
    </row>
    <row r="53" spans="1:4">
      <c r="A53" s="171" t="s">
        <v>263</v>
      </c>
      <c r="B53" s="313">
        <v>1870.3471198212708</v>
      </c>
      <c r="C53" s="32" t="s">
        <v>264</v>
      </c>
      <c r="D53" s="307" t="s">
        <v>497</v>
      </c>
    </row>
    <row r="54" spans="1:4">
      <c r="A54" s="171" t="s">
        <v>400</v>
      </c>
      <c r="B54" s="313">
        <v>3.75</v>
      </c>
      <c r="C54" s="32"/>
      <c r="D54" s="307" t="s">
        <v>497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270</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1911.6360870000001</v>
      </c>
      <c r="C5" s="17">
        <f>'Eigen informatie GS &amp; warmtenet'!B62</f>
        <v>0</v>
      </c>
      <c r="D5" s="30">
        <f>IF(ISERROR(SUM(LB_lb_gas_kWh,LB_rest_gas_kWh)/1000),0,SUM(LB_lb_gas_kWh,LB_rest_gas_kWh)/1000)*0.902</f>
        <v>11382.324750521999</v>
      </c>
      <c r="E5" s="17">
        <f>B17*'E Balans VL '!I25/3.6*1000000/100</f>
        <v>59.661531895457138</v>
      </c>
      <c r="F5" s="17">
        <f>B17*('E Balans VL '!L25/3.6*1000000+'E Balans VL '!N25/3.6*1000000)/100</f>
        <v>6755.9336967911377</v>
      </c>
      <c r="G5" s="18"/>
      <c r="H5" s="17"/>
      <c r="I5" s="17"/>
      <c r="J5" s="17">
        <f>('E Balans VL '!D25+'E Balans VL '!E25)/3.6*1000000*landbouw!B17/100</f>
        <v>526.66899904857917</v>
      </c>
      <c r="K5" s="17"/>
      <c r="L5" s="17">
        <f>L6*(-1)</f>
        <v>0</v>
      </c>
      <c r="M5" s="17"/>
      <c r="N5" s="17">
        <f>N6*(-1)</f>
        <v>0</v>
      </c>
      <c r="O5" s="17"/>
      <c r="P5" s="17"/>
      <c r="R5" s="32"/>
    </row>
    <row r="6" spans="1:18">
      <c r="A6" s="16" t="s">
        <v>478</v>
      </c>
      <c r="B6" s="17" t="s">
        <v>210</v>
      </c>
      <c r="C6" s="17">
        <f>'lokale energieproductie'!O39+'lokale energieproductie'!O32</f>
        <v>5637.8571428571431</v>
      </c>
      <c r="D6" s="308">
        <f>('lokale energieproductie'!P32+'lokale energieproductie'!P39)*(-1)</f>
        <v>-11275.714285714286</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1911.6360870000001</v>
      </c>
      <c r="C8" s="21">
        <f>C5+C6</f>
        <v>5637.8571428571431</v>
      </c>
      <c r="D8" s="21">
        <f>MAX((D5+D6),0)</f>
        <v>106.61046480771256</v>
      </c>
      <c r="E8" s="21">
        <f>MAX((E5+E6),0)</f>
        <v>59.661531895457138</v>
      </c>
      <c r="F8" s="21">
        <f>MAX((F5+F6),0)</f>
        <v>6755.9336967911377</v>
      </c>
      <c r="G8" s="21"/>
      <c r="H8" s="21"/>
      <c r="I8" s="21"/>
      <c r="J8" s="21">
        <f>MAX((J5+J6),0)</f>
        <v>526.66899904857917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0.18311312550240619</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350.04565871375968</v>
      </c>
      <c r="C12" s="23">
        <f ca="1">C8*C10</f>
        <v>1339.8201680672271</v>
      </c>
      <c r="D12" s="23">
        <f>D8*D10</f>
        <v>21.535313891157937</v>
      </c>
      <c r="E12" s="23">
        <f>E8*E10</f>
        <v>13.543167740268771</v>
      </c>
      <c r="F12" s="23">
        <f>F8*F10</f>
        <v>1803.8342970432338</v>
      </c>
      <c r="G12" s="23"/>
      <c r="H12" s="23"/>
      <c r="I12" s="23"/>
      <c r="J12" s="23">
        <f>J8*J10</f>
        <v>186.44082566319702</v>
      </c>
      <c r="K12" s="23"/>
      <c r="L12" s="23">
        <f>L8*L10</f>
        <v>0</v>
      </c>
      <c r="M12" s="23">
        <f>M8*M10</f>
        <v>0</v>
      </c>
      <c r="N12" s="23">
        <f>N8*N10</f>
        <v>0</v>
      </c>
      <c r="O12" s="23"/>
      <c r="P12" s="23"/>
    </row>
    <row r="14" spans="1:18">
      <c r="A14" s="193" t="s">
        <v>484</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0.28417840823808538</v>
      </c>
      <c r="C17" s="237" t="s">
        <v>707</v>
      </c>
      <c r="D17" s="252"/>
    </row>
    <row r="18" spans="1:4">
      <c r="A18" s="240"/>
      <c r="B18" s="253"/>
      <c r="C18" s="241"/>
    </row>
    <row r="19" spans="1:4">
      <c r="A19" s="32"/>
      <c r="B19" s="48"/>
      <c r="C19" s="32"/>
    </row>
    <row r="20" spans="1:4">
      <c r="A20" s="32"/>
      <c r="B20" s="48"/>
      <c r="C20" s="32"/>
    </row>
    <row r="21" spans="1:4" ht="15.75" thickBot="1">
      <c r="B21" s="32"/>
    </row>
    <row r="22" spans="1:4" ht="15.75" customHeight="1">
      <c r="A22" s="1210" t="s">
        <v>302</v>
      </c>
      <c r="B22" s="1213" t="s">
        <v>303</v>
      </c>
      <c r="C22" s="1213" t="s">
        <v>483</v>
      </c>
    </row>
    <row r="23" spans="1:4">
      <c r="A23" s="1211"/>
      <c r="B23" s="1214"/>
      <c r="C23" s="1214"/>
    </row>
    <row r="24" spans="1:4" ht="15.75" thickBot="1">
      <c r="A24" s="1212"/>
      <c r="B24" s="1215"/>
      <c r="C24" s="121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149.57790207912058</v>
      </c>
      <c r="C26" s="247">
        <f>B26*'GWP N2O_CH4'!B5</f>
        <v>3141.1359436615321</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28.872134594355256</v>
      </c>
      <c r="C27" s="247">
        <f>B27*'GWP N2O_CH4'!B5</f>
        <v>606.31482648146039</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1.753353444232387</v>
      </c>
      <c r="C28" s="247">
        <f>B28*'GWP N2O_CH4'!B4</f>
        <v>543.53956771204003</v>
      </c>
      <c r="D28" s="50"/>
    </row>
    <row r="29" spans="1:4">
      <c r="A29" s="41" t="s">
        <v>276</v>
      </c>
      <c r="B29" s="247">
        <f>B34*'ha_N2O bodem landbouw'!B4</f>
        <v>12.733600265179399</v>
      </c>
      <c r="C29" s="247">
        <f>B29*'GWP N2O_CH4'!B4</f>
        <v>3947.4160822056137</v>
      </c>
      <c r="D29" s="50"/>
    </row>
    <row r="31" spans="1:4">
      <c r="A31" s="193" t="s">
        <v>485</v>
      </c>
      <c r="B31" s="203"/>
      <c r="C31" s="225"/>
    </row>
    <row r="32" spans="1:4">
      <c r="A32" s="236"/>
      <c r="B32" s="32"/>
      <c r="C32" s="237"/>
    </row>
    <row r="33" spans="1:5">
      <c r="A33" s="238"/>
      <c r="B33" s="224" t="s">
        <v>614</v>
      </c>
      <c r="C33" s="239" t="s">
        <v>181</v>
      </c>
    </row>
    <row r="34" spans="1:5">
      <c r="A34" s="257" t="s">
        <v>111</v>
      </c>
      <c r="B34" s="35">
        <f>IF(ISERROR(aantalCultuurgronden/'ha_N2O bodem landbouw'!B5),0,aantalCultuurgronden/'ha_N2O bodem landbouw'!B5)</f>
        <v>2.7922492748360113E-3</v>
      </c>
      <c r="C34" s="935" t="s">
        <v>722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M24" sqref="M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2" t="s">
        <v>487</v>
      </c>
      <c r="B1" s="1203" t="s">
        <v>536</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2.4641902621540344E-4</v>
      </c>
      <c r="C5" s="437" t="s">
        <v>210</v>
      </c>
      <c r="D5" s="422">
        <f>SUM(D6:D11)</f>
        <v>9.0315927826256398E-4</v>
      </c>
      <c r="E5" s="422">
        <f>SUM(E6:E11)</f>
        <v>8.5444981454214941E-4</v>
      </c>
      <c r="F5" s="435" t="s">
        <v>210</v>
      </c>
      <c r="G5" s="422">
        <f>SUM(G6:G11)</f>
        <v>0.49682563016664083</v>
      </c>
      <c r="H5" s="422">
        <f>SUM(H6:H11)</f>
        <v>8.6001906650157348E-2</v>
      </c>
      <c r="I5" s="437" t="s">
        <v>210</v>
      </c>
      <c r="J5" s="437" t="s">
        <v>210</v>
      </c>
      <c r="K5" s="437" t="s">
        <v>210</v>
      </c>
      <c r="L5" s="437" t="s">
        <v>210</v>
      </c>
      <c r="M5" s="422">
        <f>SUM(M6:M11)</f>
        <v>3.4332091175118241E-2</v>
      </c>
      <c r="N5" s="437" t="s">
        <v>210</v>
      </c>
      <c r="O5" s="437" t="s">
        <v>210</v>
      </c>
      <c r="P5" s="438" t="s">
        <v>210</v>
      </c>
    </row>
    <row r="6" spans="1:18">
      <c r="A6" s="261" t="s">
        <v>648</v>
      </c>
      <c r="B6" s="890">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6.0600031470772449E-5</v>
      </c>
      <c r="C6" s="423"/>
      <c r="D6" s="890">
        <f>vkm_GW_PW*SUMIFS(TableVerdeelsleutelVkm[CNG],TableVerdeelsleutelVkm[Voertuigtype],"Lichte voertuigen")*SUMIFS(TableECFTransport[EnergieConsumptieFactor (PJ per km)],TableECFTransport[Index],CONCATENATE($A6,"_CNG_CNG"))</f>
        <v>1.95217087094309E-4</v>
      </c>
      <c r="E6" s="890">
        <f>vkm_GW_PW*SUMIFS(TableVerdeelsleutelVkm[LPG],TableVerdeelsleutelVkm[Voertuigtype],"Lichte voertuigen")*SUMIFS(TableECFTransport[EnergieConsumptieFactor (PJ per km)],TableECFTransport[Index],CONCATENATE($A6,"_LPG_LPG"))</f>
        <v>1.6694508624619887E-4</v>
      </c>
      <c r="F6" s="425"/>
      <c r="G6" s="890">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5.3931516513072021E-2</v>
      </c>
      <c r="H6" s="890">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1.8287846486939648E-2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4.3195616405948337E-3</v>
      </c>
      <c r="N6" s="423"/>
      <c r="O6" s="423"/>
      <c r="P6" s="424"/>
    </row>
    <row r="7" spans="1:18">
      <c r="A7" s="261" t="s">
        <v>649</v>
      </c>
      <c r="B7" s="890">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90">
        <f>vkm_GW_ZV*SUMIFS(TableVerdeelsleutelVkm[CNG],TableVerdeelsleutelVkm[Voertuigtype],"Zware voertuigen")*SUMIFS(TableECFTransport[EnergieConsumptieFactor (PJ per km)],TableECFTransport[Index],CONCATENATE($A7,"_CNG_CNG"))</f>
        <v>0</v>
      </c>
      <c r="E7" s="890">
        <f>vkm_GW_ZV*SUMIFS(TableVerdeelsleutelVkm[LPG],TableVerdeelsleutelVkm[Voertuigtype],"Zware voertuigen")*SUMIFS(TableECFTransport[EnergieConsumptieFactor (PJ per km)],TableECFTransport[Index],CONCATENATE($A7,"_LPG_LPG"))</f>
        <v>0</v>
      </c>
      <c r="F7" s="425"/>
      <c r="G7" s="890">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4.2470405417910938E-2</v>
      </c>
      <c r="H7" s="890">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6.072886638498551E-7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2.4480963654103364E-3</v>
      </c>
      <c r="N7" s="423"/>
      <c r="O7" s="423"/>
      <c r="P7" s="424"/>
      <c r="R7" s="887"/>
    </row>
    <row r="8" spans="1:18">
      <c r="A8" s="261" t="s">
        <v>650</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4.8421849632901004E-5</v>
      </c>
      <c r="C8" s="423"/>
      <c r="D8" s="425">
        <f>vkm_NGW_PW*SUMIFS(TableVerdeelsleutelVkm[CNG],TableVerdeelsleutelVkm[Voertuigtype],"Lichte voertuigen")*SUMIFS(TableECFTransport[EnergieConsumptieFactor (PJ per km)],TableECFTransport[Index],CONCATENATE($A8,"_CNG_CNG"))</f>
        <v>2.642848018852856E-4</v>
      </c>
      <c r="E8" s="425">
        <f>vkm_NGW_PW*SUMIFS(TableVerdeelsleutelVkm[LPG],TableVerdeelsleutelVkm[Voertuigtype],"Lichte voertuigen")*SUMIFS(TableECFTransport[EnergieConsumptieFactor (PJ per km)],TableECFTransport[Index],CONCATENATE($A8,"_LPG_LPG"))</f>
        <v>2.1474696128334902E-4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6.4825689254643507E-2</v>
      </c>
      <c r="H8" s="890">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2.4344288537096869E-2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5.3485252827725283E-3</v>
      </c>
      <c r="N8" s="423"/>
      <c r="O8" s="423"/>
      <c r="P8" s="424"/>
      <c r="R8" s="887"/>
    </row>
    <row r="9" spans="1:18">
      <c r="A9" s="261" t="s">
        <v>651</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2.5591789982661328E-2</v>
      </c>
      <c r="H9" s="890">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4.6397549200487098E-7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1.4751788476043122E-3</v>
      </c>
      <c r="N9" s="423"/>
      <c r="O9" s="423"/>
      <c r="P9" s="424"/>
      <c r="R9" s="887"/>
    </row>
    <row r="10" spans="1:18">
      <c r="A10" s="261" t="s">
        <v>652</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1.3739714511172996E-4</v>
      </c>
      <c r="C10" s="423"/>
      <c r="D10" s="425">
        <f>vkm_SW_PW*SUMIFS(TableVerdeelsleutelVkm[CNG],TableVerdeelsleutelVkm[Voertuigtype],"Lichte voertuigen")*SUMIFS(TableECFTransport[EnergieConsumptieFactor (PJ per km)],TableECFTransport[Index],CONCATENATE($A10,"_CNG_CNG"))</f>
        <v>4.4365738928296938E-4</v>
      </c>
      <c r="E10" s="425">
        <f>vkm_SW_PW*SUMIFS(TableVerdeelsleutelVkm[LPG],TableVerdeelsleutelVkm[Voertuigtype],"Lichte voertuigen")*SUMIFS(TableECFTransport[EnergieConsumptieFactor (PJ per km)],TableECFTransport[Index],CONCATENATE($A10,"_LPG_LPG"))</f>
        <v>4.7275776701260152E-4</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0.13607621481696253</v>
      </c>
      <c r="H10" s="890">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4.3366042950913383E-2</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1.0714973210765808E-2</v>
      </c>
      <c r="N10" s="423"/>
      <c r="O10" s="423"/>
      <c r="P10" s="424"/>
      <c r="R10" s="887"/>
    </row>
    <row r="11" spans="1:18">
      <c r="A11" s="4" t="s">
        <v>653</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0.17393001418139051</v>
      </c>
      <c r="H11" s="891">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2.6574110515789946E-6</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1.0025755827970422E-2</v>
      </c>
      <c r="N11" s="426"/>
      <c r="O11" s="426"/>
      <c r="P11" s="428"/>
      <c r="R11" s="887"/>
    </row>
    <row r="12" spans="1:18">
      <c r="A12" s="329" t="s">
        <v>534</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68.449729504278736</v>
      </c>
      <c r="C14" s="21"/>
      <c r="D14" s="21">
        <f t="shared" ref="D14:M14" si="0">((D5)*10^9/3600)+D12</f>
        <v>250.87757729515667</v>
      </c>
      <c r="E14" s="21">
        <f t="shared" si="0"/>
        <v>237.34717070615261</v>
      </c>
      <c r="F14" s="21"/>
      <c r="G14" s="21">
        <f t="shared" si="0"/>
        <v>138007.11949073357</v>
      </c>
      <c r="H14" s="21">
        <f t="shared" si="0"/>
        <v>23889.418513932596</v>
      </c>
      <c r="I14" s="21"/>
      <c r="J14" s="21"/>
      <c r="K14" s="21"/>
      <c r="L14" s="21"/>
      <c r="M14" s="21">
        <f t="shared" si="0"/>
        <v>9536.6919930883996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0.18311312550240619</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12.534043909322747</v>
      </c>
      <c r="C18" s="23"/>
      <c r="D18" s="23">
        <f t="shared" ref="D18:M18" si="1">D14*D16</f>
        <v>50.677270613621651</v>
      </c>
      <c r="E18" s="23">
        <f t="shared" si="1"/>
        <v>53.877807750296647</v>
      </c>
      <c r="F18" s="23"/>
      <c r="G18" s="23">
        <f t="shared" si="1"/>
        <v>36847.900904025868</v>
      </c>
      <c r="H18" s="23">
        <f t="shared" si="1"/>
        <v>5948.4652099692166</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74"/>
    </row>
    <row r="21" spans="1:18">
      <c r="A21" s="262" t="s">
        <v>489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654</v>
      </c>
      <c r="D23" s="922" t="s">
        <v>655</v>
      </c>
      <c r="E23" s="922" t="s">
        <v>656</v>
      </c>
      <c r="F23" s="922" t="s">
        <v>638</v>
      </c>
      <c r="G23" s="922" t="s">
        <v>657</v>
      </c>
      <c r="H23" s="922" t="s">
        <v>658</v>
      </c>
      <c r="I23" s="922" t="s">
        <v>118</v>
      </c>
      <c r="J23" s="922" t="s">
        <v>659</v>
      </c>
      <c r="K23" s="922" t="s">
        <v>660</v>
      </c>
      <c r="L23" s="923" t="s">
        <v>661</v>
      </c>
      <c r="M23" s="129" t="s">
        <v>181</v>
      </c>
      <c r="N23" s="268" t="s">
        <v>315</v>
      </c>
    </row>
    <row r="24" spans="1:18">
      <c r="A24" s="32" t="s">
        <v>646</v>
      </c>
      <c r="B24" s="1055">
        <v>2.1916800000000001E-3</v>
      </c>
      <c r="C24" s="1055">
        <v>0.73521289000000001</v>
      </c>
      <c r="D24" s="1056"/>
      <c r="E24" s="1055"/>
      <c r="F24" s="1055"/>
      <c r="G24" s="1055">
        <v>2.0255770000000002E-3</v>
      </c>
      <c r="H24" s="1056"/>
      <c r="I24" s="1056">
        <v>2.1241709999999998E-3</v>
      </c>
      <c r="J24" s="1056">
        <v>0.25061802900000002</v>
      </c>
      <c r="K24" s="1056">
        <v>9.8532299999999993E-3</v>
      </c>
      <c r="M24" s="1061" t="s">
        <v>868</v>
      </c>
      <c r="N24" s="889">
        <f>SUM(B24:K24)</f>
        <v>1.0020255769999999</v>
      </c>
      <c r="O24" s="887" t="s">
        <v>639</v>
      </c>
    </row>
    <row r="25" spans="1:18">
      <c r="A25" s="32" t="s">
        <v>647</v>
      </c>
      <c r="B25" s="1056"/>
      <c r="C25" s="1055">
        <v>0.99997784700000003</v>
      </c>
      <c r="D25" s="1056"/>
      <c r="E25" s="1056"/>
      <c r="F25" s="1055"/>
      <c r="G25" s="1056"/>
      <c r="H25" s="1056"/>
      <c r="I25" s="1056"/>
      <c r="J25" s="1056">
        <v>2.2152999999999999E-5</v>
      </c>
      <c r="K25" s="1056"/>
      <c r="M25" s="1061" t="s">
        <v>868</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86">
        <v>2017</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5.45E-2</v>
      </c>
      <c r="D35" s="58"/>
      <c r="E35" s="1062" t="s">
        <v>870</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86">
        <f>C30</f>
        <v>2017</v>
      </c>
      <c r="D37" s="274" t="s">
        <v>318</v>
      </c>
      <c r="E37" s="921"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ht="15" customHeight="1">
      <c r="A41" s="277" t="s">
        <v>326</v>
      </c>
      <c r="B41" s="279"/>
      <c r="F41" s="58"/>
      <c r="G41" s="58"/>
      <c r="H41" s="58"/>
      <c r="I41" s="58"/>
      <c r="J41" s="58"/>
      <c r="K41" s="58"/>
      <c r="L41" s="282"/>
    </row>
    <row r="42" spans="1:16">
      <c r="A42" s="277" t="s">
        <v>323</v>
      </c>
      <c r="B42" s="279"/>
      <c r="C42" s="281">
        <v>6.2100000000000002E-2</v>
      </c>
      <c r="D42" s="280"/>
      <c r="E42" s="106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6" t="s">
        <v>488</v>
      </c>
      <c r="B46" s="1217" t="s">
        <v>535</v>
      </c>
      <c r="C46" s="1218"/>
      <c r="D46" s="1218"/>
      <c r="E46" s="1218"/>
      <c r="F46" s="1218"/>
      <c r="G46" s="1218"/>
      <c r="H46" s="1218"/>
      <c r="I46" s="1218"/>
      <c r="J46" s="1218"/>
      <c r="K46" s="1218"/>
      <c r="L46" s="1218"/>
      <c r="M46" s="1218"/>
      <c r="N46" s="1218"/>
      <c r="O46" s="1218"/>
      <c r="P46" s="1218"/>
    </row>
    <row r="47" spans="1:16" s="15" customFormat="1" ht="15.75" thickTop="1">
      <c r="A47" s="1216"/>
      <c r="B47" s="1219" t="s">
        <v>20</v>
      </c>
      <c r="C47" s="1219" t="s">
        <v>195</v>
      </c>
      <c r="D47" s="1221" t="s">
        <v>196</v>
      </c>
      <c r="E47" s="1222"/>
      <c r="F47" s="1222"/>
      <c r="G47" s="1222"/>
      <c r="H47" s="1222"/>
      <c r="I47" s="1222"/>
      <c r="J47" s="1222"/>
      <c r="K47" s="1223"/>
      <c r="L47" s="1221" t="s">
        <v>197</v>
      </c>
      <c r="M47" s="1222"/>
      <c r="N47" s="1222"/>
      <c r="O47" s="1222"/>
      <c r="P47" s="1223"/>
    </row>
    <row r="48" spans="1:16" s="15" customFormat="1" ht="45">
      <c r="A48" s="1216"/>
      <c r="B48" s="1220"/>
      <c r="C48" s="122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2.0959709203468803E-3</v>
      </c>
      <c r="H50" s="319">
        <f t="shared" si="2"/>
        <v>0</v>
      </c>
      <c r="I50" s="319">
        <f t="shared" si="2"/>
        <v>0</v>
      </c>
      <c r="J50" s="319">
        <f t="shared" si="2"/>
        <v>0</v>
      </c>
      <c r="K50" s="319">
        <f t="shared" si="2"/>
        <v>0</v>
      </c>
      <c r="L50" s="319">
        <f t="shared" si="2"/>
        <v>0</v>
      </c>
      <c r="M50" s="319">
        <f t="shared" si="2"/>
        <v>1.1647596765419519E-4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2.0959709203468803E-3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1.1647596765419519E-4</v>
      </c>
      <c r="N51" s="321"/>
      <c r="O51" s="321"/>
      <c r="P51" s="324"/>
    </row>
    <row r="52" spans="1:18">
      <c r="A52" s="4" t="s">
        <v>329</v>
      </c>
      <c r="B52" s="891">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582.21414454080013</v>
      </c>
      <c r="H54" s="21">
        <f t="shared" si="3"/>
        <v>0</v>
      </c>
      <c r="I54" s="21">
        <f t="shared" si="3"/>
        <v>0</v>
      </c>
      <c r="J54" s="21">
        <f t="shared" si="3"/>
        <v>0</v>
      </c>
      <c r="K54" s="21">
        <f t="shared" si="3"/>
        <v>0</v>
      </c>
      <c r="L54" s="21">
        <f t="shared" si="3"/>
        <v>0</v>
      </c>
      <c r="M54" s="21">
        <f t="shared" si="3"/>
        <v>32.354435459498667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0.18311312550240619</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155.45117659239364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549</v>
      </c>
      <c r="B61" s="264"/>
      <c r="C61" s="265"/>
    </row>
    <row r="62" spans="1:18" s="15" customFormat="1">
      <c r="A62" s="292"/>
      <c r="B62" s="288"/>
      <c r="C62" s="293"/>
    </row>
    <row r="63" spans="1:18">
      <c r="A63" s="294"/>
      <c r="B63" s="133"/>
      <c r="C63" s="295" t="s">
        <v>181</v>
      </c>
    </row>
    <row r="64" spans="1:18">
      <c r="A64" s="286" t="s">
        <v>201</v>
      </c>
      <c r="B64" s="289">
        <f>100%-B65</f>
        <v>0.94399999999999995</v>
      </c>
      <c r="C64" s="174"/>
    </row>
    <row r="65" spans="1:12">
      <c r="A65" s="286" t="s">
        <v>332</v>
      </c>
      <c r="B65" s="298">
        <v>5.6000000000000001E-2</v>
      </c>
      <c r="C65" s="174" t="s">
        <v>710</v>
      </c>
    </row>
    <row r="66" spans="1:12" s="15" customFormat="1">
      <c r="A66" s="287"/>
      <c r="B66" s="269"/>
      <c r="C66" s="232"/>
    </row>
    <row r="67" spans="1:12">
      <c r="A67" s="290" t="s">
        <v>315</v>
      </c>
      <c r="B67" s="291">
        <f>SUM(B64:B65)</f>
        <v>1</v>
      </c>
      <c r="C67" s="176"/>
    </row>
    <row r="70" spans="1:12">
      <c r="A70" s="262" t="s">
        <v>490</v>
      </c>
      <c r="B70" s="264"/>
      <c r="C70" s="264"/>
      <c r="D70" s="264"/>
      <c r="E70" s="264"/>
      <c r="F70" s="264"/>
      <c r="G70" s="264"/>
      <c r="H70" s="264"/>
      <c r="I70" s="264"/>
      <c r="J70" s="264"/>
      <c r="K70" s="264"/>
      <c r="L70" s="265"/>
    </row>
    <row r="71" spans="1:12">
      <c r="A71" s="419" t="s">
        <v>550</v>
      </c>
    </row>
    <row r="72" spans="1:12">
      <c r="A72" s="261"/>
      <c r="B72" s="266"/>
      <c r="C72" s="266"/>
      <c r="D72" s="266"/>
      <c r="E72" s="266"/>
    </row>
    <row r="73" spans="1:12">
      <c r="A73" s="273"/>
      <c r="B73" s="274" t="s">
        <v>317</v>
      </c>
      <c r="C73" s="886">
        <f>C30</f>
        <v>2017</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5.45E-2</v>
      </c>
      <c r="D78" s="418"/>
      <c r="E78" t="str">
        <f>E35</f>
        <v>Data VMM maart 2020</v>
      </c>
    </row>
    <row r="79" spans="1:12">
      <c r="B79" s="418"/>
      <c r="C79" s="418"/>
      <c r="D79" s="41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143" t="s">
        <v>220</v>
      </c>
      <c r="B2" s="1143"/>
      <c r="C2" s="1143"/>
      <c r="D2" s="59"/>
      <c r="E2" s="59"/>
      <c r="F2" s="59"/>
      <c r="G2" s="59"/>
      <c r="H2" s="60"/>
      <c r="I2" s="60"/>
      <c r="J2" s="61"/>
      <c r="K2" s="61"/>
      <c r="L2" s="60"/>
      <c r="M2" s="60"/>
      <c r="N2" s="60"/>
      <c r="O2" s="60"/>
      <c r="P2" s="60"/>
      <c r="Q2" s="60"/>
      <c r="R2" s="60"/>
    </row>
    <row r="3" spans="1:19">
      <c r="A3" s="1144"/>
      <c r="B3" s="1144"/>
      <c r="C3" s="1144"/>
      <c r="D3" s="1144"/>
      <c r="E3" s="1144"/>
      <c r="F3" s="1144"/>
      <c r="G3" s="1144"/>
      <c r="H3" s="1144"/>
      <c r="I3" s="1144"/>
      <c r="J3" s="1144"/>
      <c r="K3" s="1144"/>
      <c r="L3" s="1144"/>
      <c r="M3" s="1144"/>
      <c r="N3" s="1144"/>
      <c r="O3" s="1144"/>
      <c r="P3" s="1144"/>
      <c r="Q3" s="1144"/>
      <c r="R3" s="1144"/>
    </row>
    <row r="4" spans="1:19" ht="15.75" thickBot="1">
      <c r="A4" s="447"/>
      <c r="B4" s="447"/>
      <c r="C4" s="63"/>
      <c r="D4" s="63"/>
      <c r="E4" s="63"/>
      <c r="F4" s="63"/>
      <c r="G4" s="63"/>
      <c r="H4" s="63"/>
      <c r="I4" s="63"/>
      <c r="J4" s="63"/>
      <c r="K4" s="63"/>
      <c r="L4" s="63"/>
      <c r="M4" s="63"/>
      <c r="N4" s="63"/>
      <c r="O4" s="63"/>
      <c r="P4" s="63"/>
      <c r="Q4" s="63"/>
      <c r="R4" s="63"/>
    </row>
    <row r="5" spans="1:19" ht="16.5" thickBot="1">
      <c r="A5" s="1145" t="s">
        <v>221</v>
      </c>
      <c r="B5" s="799"/>
      <c r="C5" s="1148" t="s">
        <v>342</v>
      </c>
      <c r="D5" s="1149"/>
      <c r="E5" s="1149"/>
      <c r="F5" s="1149"/>
      <c r="G5" s="1149"/>
      <c r="H5" s="1149"/>
      <c r="I5" s="1149"/>
      <c r="J5" s="1149"/>
      <c r="K5" s="1149"/>
      <c r="L5" s="1149"/>
      <c r="M5" s="1149"/>
      <c r="N5" s="1149"/>
      <c r="O5" s="1149"/>
      <c r="P5" s="1149"/>
      <c r="Q5" s="1149"/>
      <c r="R5" s="1150"/>
    </row>
    <row r="6" spans="1:19" ht="16.5" thickTop="1">
      <c r="A6" s="1146"/>
      <c r="B6" s="800"/>
      <c r="C6" s="1151" t="s">
        <v>20</v>
      </c>
      <c r="D6" s="1153" t="s">
        <v>195</v>
      </c>
      <c r="E6" s="1155" t="s">
        <v>196</v>
      </c>
      <c r="F6" s="1156"/>
      <c r="G6" s="1156"/>
      <c r="H6" s="1156"/>
      <c r="I6" s="1156"/>
      <c r="J6" s="1156"/>
      <c r="K6" s="1156"/>
      <c r="L6" s="1157"/>
      <c r="M6" s="1155" t="s">
        <v>197</v>
      </c>
      <c r="N6" s="1156"/>
      <c r="O6" s="1156"/>
      <c r="P6" s="1156"/>
      <c r="Q6" s="1156"/>
      <c r="R6" s="1158" t="s">
        <v>115</v>
      </c>
    </row>
    <row r="7" spans="1:19" ht="45.75" thickBot="1">
      <c r="A7" s="1147"/>
      <c r="B7" s="801"/>
      <c r="C7" s="1152"/>
      <c r="D7" s="1154"/>
      <c r="E7" s="443" t="s">
        <v>198</v>
      </c>
      <c r="F7" s="443" t="s">
        <v>199</v>
      </c>
      <c r="G7" s="64" t="s">
        <v>200</v>
      </c>
      <c r="H7" s="443" t="s">
        <v>201</v>
      </c>
      <c r="I7" s="443" t="s">
        <v>119</v>
      </c>
      <c r="J7" s="443" t="s">
        <v>202</v>
      </c>
      <c r="K7" s="444" t="s">
        <v>203</v>
      </c>
      <c r="L7" s="444" t="s">
        <v>204</v>
      </c>
      <c r="M7" s="64" t="s">
        <v>205</v>
      </c>
      <c r="N7" s="65" t="s">
        <v>206</v>
      </c>
      <c r="O7" s="65" t="s">
        <v>207</v>
      </c>
      <c r="P7" s="65" t="s">
        <v>208</v>
      </c>
      <c r="Q7" s="66" t="s">
        <v>209</v>
      </c>
      <c r="R7" s="1159"/>
    </row>
    <row r="8" spans="1:19" ht="18.75" customHeight="1" thickTop="1">
      <c r="A8" s="807" t="s">
        <v>343</v>
      </c>
      <c r="B8" s="812"/>
      <c r="C8" s="1160"/>
      <c r="D8" s="1160"/>
      <c r="E8" s="1160"/>
      <c r="F8" s="1160"/>
      <c r="G8" s="1160"/>
      <c r="H8" s="1160"/>
      <c r="I8" s="1160"/>
      <c r="J8" s="1160"/>
      <c r="K8" s="1160"/>
      <c r="L8" s="1160"/>
      <c r="M8" s="1160"/>
      <c r="N8" s="1160"/>
      <c r="O8" s="1160"/>
      <c r="P8" s="1160"/>
      <c r="Q8" s="1160"/>
      <c r="R8" s="306"/>
    </row>
    <row r="9" spans="1:19" s="448" customFormat="1">
      <c r="A9" s="808" t="s">
        <v>222</v>
      </c>
      <c r="B9" s="813"/>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48" customFormat="1">
      <c r="A10" s="809" t="s">
        <v>223</v>
      </c>
      <c r="B10" s="814"/>
      <c r="C10" s="686">
        <f ca="1">tertiair!B16+'openbare verlichting'!B8</f>
        <v>11525.802611999999</v>
      </c>
      <c r="D10" s="686">
        <f ca="1">tertiair!C16</f>
        <v>0</v>
      </c>
      <c r="E10" s="686">
        <f ca="1">tertiair!D16</f>
        <v>10721.840434316002</v>
      </c>
      <c r="F10" s="686">
        <f>tertiair!E16</f>
        <v>188.04961231483438</v>
      </c>
      <c r="G10" s="686">
        <f ca="1">tertiair!F16</f>
        <v>1161.969307513496</v>
      </c>
      <c r="H10" s="686">
        <f>tertiair!G16</f>
        <v>0</v>
      </c>
      <c r="I10" s="686">
        <f>tertiair!H16</f>
        <v>0</v>
      </c>
      <c r="J10" s="686">
        <f>tertiair!I16</f>
        <v>0</v>
      </c>
      <c r="K10" s="686">
        <f>tertiair!J16</f>
        <v>1.3736166632138603E-2</v>
      </c>
      <c r="L10" s="686">
        <f>tertiair!K16</f>
        <v>0</v>
      </c>
      <c r="M10" s="686">
        <f ca="1">tertiair!L16</f>
        <v>0</v>
      </c>
      <c r="N10" s="686">
        <f>tertiair!M16</f>
        <v>0</v>
      </c>
      <c r="O10" s="686">
        <f ca="1">tertiair!N16</f>
        <v>542.44626123048943</v>
      </c>
      <c r="P10" s="686">
        <f>tertiair!O16</f>
        <v>9.7945215316823084</v>
      </c>
      <c r="Q10" s="687">
        <f>tertiair!P16</f>
        <v>52.539138306495019</v>
      </c>
      <c r="R10" s="689">
        <f ca="1">SUM(C10:Q10)</f>
        <v>24202.455623379628</v>
      </c>
      <c r="S10" s="67"/>
    </row>
    <row r="11" spans="1:19" s="448" customFormat="1">
      <c r="A11" s="808" t="s">
        <v>224</v>
      </c>
      <c r="B11" s="813"/>
      <c r="C11" s="686">
        <f>huishoudens!B8</f>
        <v>25234.044816431895</v>
      </c>
      <c r="D11" s="686">
        <f>huishoudens!C8</f>
        <v>0</v>
      </c>
      <c r="E11" s="686">
        <f>huishoudens!D8</f>
        <v>38962.25701478</v>
      </c>
      <c r="F11" s="686">
        <f>huishoudens!E8</f>
        <v>7302.5026729590418</v>
      </c>
      <c r="G11" s="686">
        <f>huishoudens!F8</f>
        <v>10366.56199915929</v>
      </c>
      <c r="H11" s="686">
        <f>huishoudens!G8</f>
        <v>0</v>
      </c>
      <c r="I11" s="686">
        <f>huishoudens!H8</f>
        <v>0</v>
      </c>
      <c r="J11" s="686">
        <f>huishoudens!I8</f>
        <v>0</v>
      </c>
      <c r="K11" s="686">
        <f>huishoudens!J8</f>
        <v>2377.0232139930981</v>
      </c>
      <c r="L11" s="686">
        <f>huishoudens!K8</f>
        <v>0</v>
      </c>
      <c r="M11" s="686">
        <f>huishoudens!L8</f>
        <v>0</v>
      </c>
      <c r="N11" s="686">
        <f>huishoudens!M8</f>
        <v>0</v>
      </c>
      <c r="O11" s="686">
        <f>huishoudens!N8</f>
        <v>10266.349771792236</v>
      </c>
      <c r="P11" s="686">
        <f>huishoudens!O8</f>
        <v>436.47080826514696</v>
      </c>
      <c r="Q11" s="687">
        <f>huishoudens!P8</f>
        <v>505.63004676888113</v>
      </c>
      <c r="R11" s="689">
        <f>SUM(C11:Q11)</f>
        <v>95450.840344149605</v>
      </c>
      <c r="S11" s="67"/>
    </row>
    <row r="12" spans="1:19" s="448" customFormat="1">
      <c r="A12" s="808" t="s">
        <v>491</v>
      </c>
      <c r="B12" s="813"/>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48" customFormat="1">
      <c r="A13" s="808" t="s">
        <v>628</v>
      </c>
      <c r="B13" s="817" t="s">
        <v>626</v>
      </c>
      <c r="C13" s="686">
        <f>industrie!B18</f>
        <v>2252.8359140000002</v>
      </c>
      <c r="D13" s="686">
        <f>industrie!C18</f>
        <v>0</v>
      </c>
      <c r="E13" s="686">
        <f>industrie!D18</f>
        <v>2101.0493721580001</v>
      </c>
      <c r="F13" s="686">
        <f>industrie!E18</f>
        <v>300.36111781098418</v>
      </c>
      <c r="G13" s="686">
        <f>industrie!F18</f>
        <v>974.69346816640416</v>
      </c>
      <c r="H13" s="686">
        <f>industrie!G18</f>
        <v>0</v>
      </c>
      <c r="I13" s="686">
        <f>industrie!H18</f>
        <v>0</v>
      </c>
      <c r="J13" s="686">
        <f>industrie!I18</f>
        <v>0</v>
      </c>
      <c r="K13" s="686">
        <f>industrie!J18</f>
        <v>2.9292964005521402</v>
      </c>
      <c r="L13" s="686">
        <f>industrie!K18</f>
        <v>0</v>
      </c>
      <c r="M13" s="686">
        <f>industrie!L18</f>
        <v>0</v>
      </c>
      <c r="N13" s="686">
        <f>industrie!M18</f>
        <v>0</v>
      </c>
      <c r="O13" s="686">
        <f>industrie!N18</f>
        <v>104.54892225340478</v>
      </c>
      <c r="P13" s="686">
        <f>industrie!O18</f>
        <v>0</v>
      </c>
      <c r="Q13" s="687">
        <f>industrie!P18</f>
        <v>0</v>
      </c>
      <c r="R13" s="689">
        <f>SUM(C13:Q13)</f>
        <v>5736.4180907893451</v>
      </c>
      <c r="S13" s="67"/>
    </row>
    <row r="14" spans="1:19" s="448" customFormat="1">
      <c r="A14" s="808"/>
      <c r="B14" s="817" t="s">
        <v>627</v>
      </c>
      <c r="C14" s="686"/>
      <c r="D14" s="686"/>
      <c r="E14" s="686"/>
      <c r="F14" s="686"/>
      <c r="G14" s="686"/>
      <c r="H14" s="686"/>
      <c r="I14" s="686"/>
      <c r="J14" s="686"/>
      <c r="K14" s="686"/>
      <c r="L14" s="686"/>
      <c r="M14" s="686"/>
      <c r="N14" s="686"/>
      <c r="O14" s="686"/>
      <c r="P14" s="686"/>
      <c r="Q14" s="686"/>
      <c r="R14" s="689"/>
      <c r="S14" s="67"/>
    </row>
    <row r="15" spans="1:19" s="448" customFormat="1" ht="15" thickBot="1">
      <c r="A15" s="948" t="s">
        <v>723</v>
      </c>
      <c r="B15" s="949"/>
      <c r="C15" s="950"/>
      <c r="D15" s="950"/>
      <c r="E15" s="950"/>
      <c r="F15" s="950"/>
      <c r="G15" s="950"/>
      <c r="H15" s="950"/>
      <c r="I15" s="950"/>
      <c r="J15" s="950"/>
      <c r="K15" s="950"/>
      <c r="L15" s="950"/>
      <c r="M15" s="950"/>
      <c r="N15" s="950"/>
      <c r="O15" s="950"/>
      <c r="P15" s="950"/>
      <c r="Q15" s="951"/>
      <c r="R15" s="688"/>
      <c r="S15" s="67"/>
    </row>
    <row r="16" spans="1:19" s="448" customFormat="1" ht="15.75" thickBot="1">
      <c r="A16" s="690" t="s">
        <v>225</v>
      </c>
      <c r="B16" s="815"/>
      <c r="C16" s="722">
        <f ca="1">SUM(C9:C15)</f>
        <v>39012.683342431897</v>
      </c>
      <c r="D16" s="722">
        <f t="shared" ref="D16:R16" ca="1" si="0">SUM(D9:D15)</f>
        <v>0</v>
      </c>
      <c r="E16" s="722">
        <f t="shared" ca="1" si="0"/>
        <v>51785.146821253998</v>
      </c>
      <c r="F16" s="722">
        <f t="shared" si="0"/>
        <v>7790.91340308486</v>
      </c>
      <c r="G16" s="722">
        <f t="shared" ca="1" si="0"/>
        <v>12503.224774839191</v>
      </c>
      <c r="H16" s="722">
        <f t="shared" si="0"/>
        <v>0</v>
      </c>
      <c r="I16" s="722">
        <f t="shared" si="0"/>
        <v>0</v>
      </c>
      <c r="J16" s="722">
        <f t="shared" si="0"/>
        <v>0</v>
      </c>
      <c r="K16" s="722">
        <f t="shared" si="0"/>
        <v>2379.9662465602823</v>
      </c>
      <c r="L16" s="722">
        <f t="shared" si="0"/>
        <v>0</v>
      </c>
      <c r="M16" s="722">
        <f t="shared" ca="1" si="0"/>
        <v>0</v>
      </c>
      <c r="N16" s="722">
        <f t="shared" si="0"/>
        <v>0</v>
      </c>
      <c r="O16" s="722">
        <f t="shared" ca="1" si="0"/>
        <v>10913.34495527613</v>
      </c>
      <c r="P16" s="722">
        <f t="shared" si="0"/>
        <v>446.26532979682929</v>
      </c>
      <c r="Q16" s="722">
        <f t="shared" si="0"/>
        <v>558.16918507537616</v>
      </c>
      <c r="R16" s="722">
        <f t="shared" ca="1" si="0"/>
        <v>125389.71405831858</v>
      </c>
      <c r="S16" s="67"/>
    </row>
    <row r="17" spans="1:19" s="448" customFormat="1" ht="15.75">
      <c r="A17" s="810" t="s">
        <v>226</v>
      </c>
      <c r="B17" s="726"/>
      <c r="C17" s="1100"/>
      <c r="D17" s="1100"/>
      <c r="E17" s="1100"/>
      <c r="F17" s="1100"/>
      <c r="G17" s="1100"/>
      <c r="H17" s="1100"/>
      <c r="I17" s="1100"/>
      <c r="J17" s="1100"/>
      <c r="K17" s="1100"/>
      <c r="L17" s="1100"/>
      <c r="M17" s="1100"/>
      <c r="N17" s="1100"/>
      <c r="O17" s="1100"/>
      <c r="P17" s="1100"/>
      <c r="Q17" s="1100"/>
      <c r="R17" s="691"/>
      <c r="S17" s="67"/>
    </row>
    <row r="18" spans="1:19" s="448" customFormat="1">
      <c r="A18" s="808" t="s">
        <v>227</v>
      </c>
      <c r="B18" s="813"/>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48" customFormat="1">
      <c r="A19" s="808" t="s">
        <v>228</v>
      </c>
      <c r="B19" s="813"/>
      <c r="C19" s="686">
        <f>transport!B54</f>
        <v>0</v>
      </c>
      <c r="D19" s="686">
        <f>transport!C54</f>
        <v>0</v>
      </c>
      <c r="E19" s="686">
        <f>transport!D54</f>
        <v>0</v>
      </c>
      <c r="F19" s="686">
        <f>transport!E54</f>
        <v>0</v>
      </c>
      <c r="G19" s="686">
        <f>transport!F54</f>
        <v>0</v>
      </c>
      <c r="H19" s="686">
        <f>transport!G54</f>
        <v>582.21414454080013</v>
      </c>
      <c r="I19" s="686">
        <f>transport!H54</f>
        <v>0</v>
      </c>
      <c r="J19" s="686">
        <f>transport!I54</f>
        <v>0</v>
      </c>
      <c r="K19" s="686">
        <f>transport!J54</f>
        <v>0</v>
      </c>
      <c r="L19" s="686">
        <f>transport!K54</f>
        <v>0</v>
      </c>
      <c r="M19" s="686">
        <f>transport!L54</f>
        <v>0</v>
      </c>
      <c r="N19" s="686">
        <f>transport!M54</f>
        <v>32.354435459498667</v>
      </c>
      <c r="O19" s="686">
        <f>transport!N54</f>
        <v>0</v>
      </c>
      <c r="P19" s="686">
        <f>transport!O54</f>
        <v>0</v>
      </c>
      <c r="Q19" s="687">
        <f>transport!P54</f>
        <v>0</v>
      </c>
      <c r="R19" s="689">
        <f>SUM(C19:Q19)</f>
        <v>614.56858000029877</v>
      </c>
      <c r="S19" s="67"/>
    </row>
    <row r="20" spans="1:19" s="448" customFormat="1">
      <c r="A20" s="808" t="s">
        <v>306</v>
      </c>
      <c r="B20" s="813"/>
      <c r="C20" s="686">
        <f>transport!B14</f>
        <v>68.449729504278736</v>
      </c>
      <c r="D20" s="686">
        <f>transport!C14</f>
        <v>0</v>
      </c>
      <c r="E20" s="686">
        <f>transport!D14</f>
        <v>250.87757729515667</v>
      </c>
      <c r="F20" s="686">
        <f>transport!E14</f>
        <v>237.34717070615261</v>
      </c>
      <c r="G20" s="686">
        <f>transport!F14</f>
        <v>0</v>
      </c>
      <c r="H20" s="686">
        <f>transport!G14</f>
        <v>138007.11949073357</v>
      </c>
      <c r="I20" s="686">
        <f>transport!H14</f>
        <v>23889.418513932596</v>
      </c>
      <c r="J20" s="686">
        <f>transport!I14</f>
        <v>0</v>
      </c>
      <c r="K20" s="686">
        <f>transport!J14</f>
        <v>0</v>
      </c>
      <c r="L20" s="686">
        <f>transport!K14</f>
        <v>0</v>
      </c>
      <c r="M20" s="686">
        <f>transport!L14</f>
        <v>0</v>
      </c>
      <c r="N20" s="686">
        <f>transport!M14</f>
        <v>9536.6919930883996</v>
      </c>
      <c r="O20" s="686">
        <f>transport!N14</f>
        <v>0</v>
      </c>
      <c r="P20" s="686">
        <f>transport!O14</f>
        <v>0</v>
      </c>
      <c r="Q20" s="687">
        <f>transport!P14</f>
        <v>0</v>
      </c>
      <c r="R20" s="689">
        <f>SUM(C20:Q20)</f>
        <v>171989.90447526015</v>
      </c>
      <c r="S20" s="67"/>
    </row>
    <row r="21" spans="1:19" s="448" customFormat="1" ht="15" thickBot="1">
      <c r="A21" s="830" t="s">
        <v>726</v>
      </c>
      <c r="B21" s="949"/>
      <c r="C21" s="950"/>
      <c r="D21" s="950"/>
      <c r="E21" s="950"/>
      <c r="F21" s="950"/>
      <c r="G21" s="950"/>
      <c r="H21" s="950"/>
      <c r="I21" s="950"/>
      <c r="J21" s="950"/>
      <c r="K21" s="950"/>
      <c r="L21" s="950"/>
      <c r="M21" s="950"/>
      <c r="N21" s="950"/>
      <c r="O21" s="950"/>
      <c r="P21" s="950"/>
      <c r="Q21" s="951"/>
      <c r="R21" s="688"/>
      <c r="S21" s="67"/>
    </row>
    <row r="22" spans="1:19" s="448" customFormat="1" ht="15.75" thickBot="1">
      <c r="A22" s="694" t="s">
        <v>229</v>
      </c>
      <c r="B22" s="816"/>
      <c r="C22" s="811">
        <f>SUM(C18:C21)</f>
        <v>68.449729504278736</v>
      </c>
      <c r="D22" s="811">
        <f t="shared" ref="D22:R22" si="1">SUM(D18:D21)</f>
        <v>0</v>
      </c>
      <c r="E22" s="811">
        <f t="shared" si="1"/>
        <v>250.87757729515667</v>
      </c>
      <c r="F22" s="811">
        <f t="shared" si="1"/>
        <v>237.34717070615261</v>
      </c>
      <c r="G22" s="811">
        <f t="shared" si="1"/>
        <v>0</v>
      </c>
      <c r="H22" s="811">
        <f t="shared" si="1"/>
        <v>138589.33363527438</v>
      </c>
      <c r="I22" s="811">
        <f t="shared" si="1"/>
        <v>23889.418513932596</v>
      </c>
      <c r="J22" s="811">
        <f t="shared" si="1"/>
        <v>0</v>
      </c>
      <c r="K22" s="811">
        <f t="shared" si="1"/>
        <v>0</v>
      </c>
      <c r="L22" s="811">
        <f t="shared" si="1"/>
        <v>0</v>
      </c>
      <c r="M22" s="811">
        <f t="shared" si="1"/>
        <v>0</v>
      </c>
      <c r="N22" s="811">
        <f t="shared" si="1"/>
        <v>9569.0464285478974</v>
      </c>
      <c r="O22" s="811">
        <f t="shared" si="1"/>
        <v>0</v>
      </c>
      <c r="P22" s="811">
        <f t="shared" si="1"/>
        <v>0</v>
      </c>
      <c r="Q22" s="811">
        <f t="shared" si="1"/>
        <v>0</v>
      </c>
      <c r="R22" s="811">
        <f t="shared" si="1"/>
        <v>172604.47305526046</v>
      </c>
      <c r="S22" s="67"/>
    </row>
    <row r="23" spans="1:19" s="448" customFormat="1" ht="15.75">
      <c r="A23" s="810" t="s">
        <v>236</v>
      </c>
      <c r="B23" s="726"/>
      <c r="C23" s="1100"/>
      <c r="D23" s="1100"/>
      <c r="E23" s="1100"/>
      <c r="F23" s="1100"/>
      <c r="G23" s="1100"/>
      <c r="H23" s="1100"/>
      <c r="I23" s="1100"/>
      <c r="J23" s="1100"/>
      <c r="K23" s="1100"/>
      <c r="L23" s="1100"/>
      <c r="M23" s="1100"/>
      <c r="N23" s="1100"/>
      <c r="O23" s="1100"/>
      <c r="P23" s="1100"/>
      <c r="Q23" s="1100"/>
      <c r="R23" s="691"/>
      <c r="S23" s="67"/>
    </row>
    <row r="24" spans="1:19" s="448" customFormat="1">
      <c r="A24" s="808" t="s">
        <v>623</v>
      </c>
      <c r="B24" s="813"/>
      <c r="C24" s="686">
        <f>+landbouw!B8</f>
        <v>1911.6360870000001</v>
      </c>
      <c r="D24" s="686">
        <f>+landbouw!C8</f>
        <v>5637.8571428571431</v>
      </c>
      <c r="E24" s="686">
        <f>+landbouw!D8</f>
        <v>106.61046480771256</v>
      </c>
      <c r="F24" s="686">
        <f>+landbouw!E8</f>
        <v>59.661531895457138</v>
      </c>
      <c r="G24" s="686">
        <f>+landbouw!F8</f>
        <v>6755.9336967911377</v>
      </c>
      <c r="H24" s="686">
        <f>+landbouw!G8</f>
        <v>0</v>
      </c>
      <c r="I24" s="686">
        <f>+landbouw!H8</f>
        <v>0</v>
      </c>
      <c r="J24" s="686">
        <f>+landbouw!I8</f>
        <v>0</v>
      </c>
      <c r="K24" s="686">
        <f>+landbouw!J8</f>
        <v>526.66899904857917</v>
      </c>
      <c r="L24" s="686">
        <f>+landbouw!K8</f>
        <v>0</v>
      </c>
      <c r="M24" s="686">
        <f>+landbouw!L8</f>
        <v>0</v>
      </c>
      <c r="N24" s="686">
        <f>+landbouw!M8</f>
        <v>0</v>
      </c>
      <c r="O24" s="686">
        <f>+landbouw!N8</f>
        <v>0</v>
      </c>
      <c r="P24" s="686">
        <f>+landbouw!O8</f>
        <v>0</v>
      </c>
      <c r="Q24" s="687">
        <f>+landbouw!P8</f>
        <v>0</v>
      </c>
      <c r="R24" s="689">
        <f>SUM(C24:Q24)</f>
        <v>14998.36792240003</v>
      </c>
      <c r="S24" s="67"/>
    </row>
    <row r="25" spans="1:19" s="448" customFormat="1" ht="15" thickBot="1">
      <c r="A25" s="830" t="s">
        <v>724</v>
      </c>
      <c r="B25" s="949"/>
      <c r="C25" s="950">
        <f>IF(Onbekend_ele_kWh="---",0,Onbekend_ele_kWh)/1000+IF(REST_rest_ele_kWh="---",0,REST_rest_ele_kWh)/1000</f>
        <v>561.39388699999995</v>
      </c>
      <c r="D25" s="950"/>
      <c r="E25" s="950">
        <f>IF(onbekend_gas_kWh="---",0,onbekend_gas_kWh)/1000+IF(REST_rest_gas_kWh="---",0,REST_rest_gas_kWh)/1000</f>
        <v>957.79709500000001</v>
      </c>
      <c r="F25" s="950"/>
      <c r="G25" s="950"/>
      <c r="H25" s="950"/>
      <c r="I25" s="950"/>
      <c r="J25" s="950"/>
      <c r="K25" s="950"/>
      <c r="L25" s="950"/>
      <c r="M25" s="950"/>
      <c r="N25" s="950"/>
      <c r="O25" s="950"/>
      <c r="P25" s="950"/>
      <c r="Q25" s="951"/>
      <c r="R25" s="689">
        <f>SUM(C25:Q25)</f>
        <v>1519.1909820000001</v>
      </c>
      <c r="S25" s="67"/>
    </row>
    <row r="26" spans="1:19" s="448" customFormat="1" ht="15.75" thickBot="1">
      <c r="A26" s="694" t="s">
        <v>725</v>
      </c>
      <c r="B26" s="816"/>
      <c r="C26" s="811">
        <f>SUM(C24:C25)</f>
        <v>2473.029974</v>
      </c>
      <c r="D26" s="811">
        <f t="shared" ref="D26:R26" si="2">SUM(D24:D25)</f>
        <v>5637.8571428571431</v>
      </c>
      <c r="E26" s="811">
        <f t="shared" si="2"/>
        <v>1064.4075598077125</v>
      </c>
      <c r="F26" s="811">
        <f t="shared" si="2"/>
        <v>59.661531895457138</v>
      </c>
      <c r="G26" s="811">
        <f t="shared" si="2"/>
        <v>6755.9336967911377</v>
      </c>
      <c r="H26" s="811">
        <f t="shared" si="2"/>
        <v>0</v>
      </c>
      <c r="I26" s="811">
        <f t="shared" si="2"/>
        <v>0</v>
      </c>
      <c r="J26" s="811">
        <f t="shared" si="2"/>
        <v>0</v>
      </c>
      <c r="K26" s="811">
        <f t="shared" si="2"/>
        <v>526.66899904857917</v>
      </c>
      <c r="L26" s="811">
        <f t="shared" si="2"/>
        <v>0</v>
      </c>
      <c r="M26" s="811">
        <f t="shared" si="2"/>
        <v>0</v>
      </c>
      <c r="N26" s="811">
        <f t="shared" si="2"/>
        <v>0</v>
      </c>
      <c r="O26" s="811">
        <f t="shared" si="2"/>
        <v>0</v>
      </c>
      <c r="P26" s="811">
        <f t="shared" si="2"/>
        <v>0</v>
      </c>
      <c r="Q26" s="811">
        <f t="shared" si="2"/>
        <v>0</v>
      </c>
      <c r="R26" s="811">
        <f t="shared" si="2"/>
        <v>16517.55890440003</v>
      </c>
      <c r="S26" s="67"/>
    </row>
    <row r="27" spans="1:19" s="448" customFormat="1" ht="17.25" thickTop="1" thickBot="1">
      <c r="A27" s="695" t="s">
        <v>115</v>
      </c>
      <c r="B27" s="803"/>
      <c r="C27" s="696">
        <f ca="1">C22+C16+C26</f>
        <v>41554.163045936177</v>
      </c>
      <c r="D27" s="696">
        <f t="shared" ref="D27:R27" ca="1" si="3">D22+D16+D26</f>
        <v>5637.8571428571431</v>
      </c>
      <c r="E27" s="696">
        <f t="shared" ca="1" si="3"/>
        <v>53100.431958356865</v>
      </c>
      <c r="F27" s="696">
        <f t="shared" si="3"/>
        <v>8087.9221056864699</v>
      </c>
      <c r="G27" s="696">
        <f t="shared" ca="1" si="3"/>
        <v>19259.15847163033</v>
      </c>
      <c r="H27" s="696">
        <f t="shared" si="3"/>
        <v>138589.33363527438</v>
      </c>
      <c r="I27" s="696">
        <f t="shared" si="3"/>
        <v>23889.418513932596</v>
      </c>
      <c r="J27" s="696">
        <f t="shared" si="3"/>
        <v>0</v>
      </c>
      <c r="K27" s="696">
        <f t="shared" si="3"/>
        <v>2906.6352456088616</v>
      </c>
      <c r="L27" s="696">
        <f t="shared" si="3"/>
        <v>0</v>
      </c>
      <c r="M27" s="696">
        <f t="shared" ca="1" si="3"/>
        <v>0</v>
      </c>
      <c r="N27" s="696">
        <f t="shared" si="3"/>
        <v>9569.0464285478974</v>
      </c>
      <c r="O27" s="696">
        <f t="shared" ca="1" si="3"/>
        <v>10913.34495527613</v>
      </c>
      <c r="P27" s="696">
        <f t="shared" si="3"/>
        <v>446.26532979682929</v>
      </c>
      <c r="Q27" s="696">
        <f t="shared" si="3"/>
        <v>558.16918507537616</v>
      </c>
      <c r="R27" s="696">
        <f t="shared" ca="1" si="3"/>
        <v>314511.74601797905</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61"/>
      <c r="B31" s="1161"/>
      <c r="C31" s="1161"/>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17"/>
      <c r="B33" s="1117"/>
      <c r="C33" s="1117"/>
      <c r="D33" s="1117"/>
      <c r="E33" s="1117"/>
      <c r="F33" s="1117"/>
      <c r="G33" s="1117"/>
      <c r="H33" s="1117"/>
      <c r="I33" s="1117"/>
      <c r="J33" s="1117"/>
      <c r="K33" s="1117"/>
      <c r="L33" s="1117"/>
      <c r="M33" s="1117"/>
      <c r="N33" s="1117"/>
      <c r="O33" s="1117"/>
      <c r="P33" s="1117"/>
      <c r="Q33" s="1117"/>
      <c r="R33" s="1117"/>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9"/>
      <c r="B35" s="818"/>
      <c r="C35" s="1131" t="s">
        <v>346</v>
      </c>
      <c r="D35" s="1132"/>
      <c r="E35" s="1132"/>
      <c r="F35" s="1132"/>
      <c r="G35" s="1132"/>
      <c r="H35" s="1132"/>
      <c r="I35" s="1132"/>
      <c r="J35" s="1132"/>
      <c r="K35" s="1132"/>
      <c r="L35" s="1132"/>
      <c r="M35" s="1132"/>
      <c r="N35" s="1132"/>
      <c r="O35" s="1132"/>
      <c r="P35" s="1132"/>
      <c r="Q35" s="1132"/>
      <c r="R35" s="1133"/>
    </row>
    <row r="36" spans="1:18" ht="16.5" thickTop="1">
      <c r="A36" s="1130"/>
      <c r="B36" s="819"/>
      <c r="C36" s="1134" t="s">
        <v>20</v>
      </c>
      <c r="D36" s="1108" t="s">
        <v>231</v>
      </c>
      <c r="E36" s="1136" t="s">
        <v>196</v>
      </c>
      <c r="F36" s="1137"/>
      <c r="G36" s="1137"/>
      <c r="H36" s="1137"/>
      <c r="I36" s="1137"/>
      <c r="J36" s="1137"/>
      <c r="K36" s="1137"/>
      <c r="L36" s="1138"/>
      <c r="M36" s="1136" t="s">
        <v>197</v>
      </c>
      <c r="N36" s="1137"/>
      <c r="O36" s="1137"/>
      <c r="P36" s="1137"/>
      <c r="Q36" s="1137"/>
      <c r="R36" s="1118" t="s">
        <v>115</v>
      </c>
    </row>
    <row r="37" spans="1:18" ht="45.75" thickBot="1">
      <c r="A37" s="1130"/>
      <c r="B37" s="819"/>
      <c r="C37" s="1135"/>
      <c r="D37" s="1079"/>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20"/>
    </row>
    <row r="38" spans="1:18" ht="17.25" thickTop="1" thickBot="1">
      <c r="A38" s="831" t="s">
        <v>343</v>
      </c>
      <c r="B38" s="832"/>
      <c r="C38" s="714" t="s">
        <v>235</v>
      </c>
      <c r="D38" s="715"/>
      <c r="E38" s="716"/>
      <c r="F38" s="716"/>
      <c r="G38" s="716"/>
      <c r="H38" s="716"/>
      <c r="I38" s="716"/>
      <c r="J38" s="716"/>
      <c r="K38" s="716"/>
      <c r="L38" s="716"/>
      <c r="M38" s="717"/>
      <c r="N38" s="717"/>
      <c r="O38" s="716"/>
      <c r="P38" s="717"/>
      <c r="Q38" s="718"/>
      <c r="R38" s="719"/>
    </row>
    <row r="39" spans="1:18" ht="15" thickTop="1">
      <c r="A39" s="804" t="s">
        <v>222</v>
      </c>
      <c r="B39" s="828"/>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9">
        <f>'Eigen gebouwen'!P19</f>
        <v>0</v>
      </c>
      <c r="R39" s="954">
        <f t="shared" ref="R39:R44" ca="1" si="4">SUM(C39:Q39)</f>
        <v>0</v>
      </c>
    </row>
    <row r="40" spans="1:18">
      <c r="A40" s="809" t="s">
        <v>223</v>
      </c>
      <c r="B40" s="829"/>
      <c r="C40" s="686">
        <f ca="1">tertiair!B20+'openbare verlichting'!B12</f>
        <v>2110.525740207117</v>
      </c>
      <c r="D40" s="686">
        <f ca="1">tertiair!C20</f>
        <v>0</v>
      </c>
      <c r="E40" s="686">
        <f ca="1">tertiair!D20</f>
        <v>2165.8117677318323</v>
      </c>
      <c r="F40" s="686">
        <f>tertiair!E20</f>
        <v>42.687261995467402</v>
      </c>
      <c r="G40" s="686">
        <f ca="1">tertiair!F20</f>
        <v>310.24580510610343</v>
      </c>
      <c r="H40" s="686">
        <f>tertiair!G20</f>
        <v>0</v>
      </c>
      <c r="I40" s="686">
        <f>tertiair!H20</f>
        <v>0</v>
      </c>
      <c r="J40" s="686">
        <f>tertiair!I20</f>
        <v>0</v>
      </c>
      <c r="K40" s="686">
        <f>tertiair!J20</f>
        <v>4.8626029877770656E-3</v>
      </c>
      <c r="L40" s="686">
        <f>tertiair!K20</f>
        <v>0</v>
      </c>
      <c r="M40" s="686">
        <f ca="1">tertiair!L20</f>
        <v>0</v>
      </c>
      <c r="N40" s="686">
        <f>tertiair!M20</f>
        <v>0</v>
      </c>
      <c r="O40" s="686">
        <f ca="1">tertiair!N20</f>
        <v>0</v>
      </c>
      <c r="P40" s="686">
        <f>tertiair!O20</f>
        <v>0</v>
      </c>
      <c r="Q40" s="769">
        <f>tertiair!P20</f>
        <v>0</v>
      </c>
      <c r="R40" s="849">
        <f t="shared" ca="1" si="4"/>
        <v>4629.2754376435078</v>
      </c>
    </row>
    <row r="41" spans="1:18">
      <c r="A41" s="821" t="s">
        <v>224</v>
      </c>
      <c r="B41" s="828"/>
      <c r="C41" s="686">
        <f ca="1">huishoudens!B12</f>
        <v>4620.6848154046356</v>
      </c>
      <c r="D41" s="686">
        <f ca="1">huishoudens!C12</f>
        <v>0</v>
      </c>
      <c r="E41" s="686">
        <f>huishoudens!D12</f>
        <v>7870.3759169855603</v>
      </c>
      <c r="F41" s="686">
        <f>huishoudens!E12</f>
        <v>1657.6681067617026</v>
      </c>
      <c r="G41" s="686">
        <f>huishoudens!F12</f>
        <v>2767.8720537755307</v>
      </c>
      <c r="H41" s="686">
        <f>huishoudens!G12</f>
        <v>0</v>
      </c>
      <c r="I41" s="686">
        <f>huishoudens!H12</f>
        <v>0</v>
      </c>
      <c r="J41" s="686">
        <f>huishoudens!I12</f>
        <v>0</v>
      </c>
      <c r="K41" s="686">
        <f>huishoudens!J12</f>
        <v>841.46621775355675</v>
      </c>
      <c r="L41" s="686">
        <f>huishoudens!K12</f>
        <v>0</v>
      </c>
      <c r="M41" s="686">
        <f>huishoudens!L12</f>
        <v>0</v>
      </c>
      <c r="N41" s="686">
        <f>huishoudens!M12</f>
        <v>0</v>
      </c>
      <c r="O41" s="686">
        <f>huishoudens!N12</f>
        <v>0</v>
      </c>
      <c r="P41" s="686">
        <f>huishoudens!O12</f>
        <v>0</v>
      </c>
      <c r="Q41" s="769">
        <f>huishoudens!P12</f>
        <v>0</v>
      </c>
      <c r="R41" s="849">
        <f t="shared" ca="1" si="4"/>
        <v>17758.06711068099</v>
      </c>
    </row>
    <row r="42" spans="1:18">
      <c r="A42" s="821" t="s">
        <v>491</v>
      </c>
      <c r="B42" s="828"/>
      <c r="C42" s="686">
        <f ca="1">'Eigen openbare verlichting'!B19</f>
        <v>0</v>
      </c>
      <c r="D42" s="686"/>
      <c r="E42" s="686"/>
      <c r="F42" s="686"/>
      <c r="G42" s="686"/>
      <c r="H42" s="686"/>
      <c r="I42" s="686"/>
      <c r="J42" s="686"/>
      <c r="K42" s="686"/>
      <c r="L42" s="686"/>
      <c r="M42" s="686"/>
      <c r="N42" s="686"/>
      <c r="O42" s="686"/>
      <c r="P42" s="686"/>
      <c r="Q42" s="769"/>
      <c r="R42" s="849">
        <f t="shared" ca="1" si="4"/>
        <v>0</v>
      </c>
    </row>
    <row r="43" spans="1:18">
      <c r="A43" s="821" t="s">
        <v>629</v>
      </c>
      <c r="B43" s="836" t="s">
        <v>626</v>
      </c>
      <c r="C43" s="686">
        <f ca="1">industrie!B22</f>
        <v>412.52382545660998</v>
      </c>
      <c r="D43" s="686">
        <f ca="1">industrie!C22</f>
        <v>0</v>
      </c>
      <c r="E43" s="686">
        <f>industrie!D22</f>
        <v>424.41197317591605</v>
      </c>
      <c r="F43" s="686">
        <f>industrie!E22</f>
        <v>68.181973743093408</v>
      </c>
      <c r="G43" s="686">
        <f>industrie!F22</f>
        <v>260.24315600042991</v>
      </c>
      <c r="H43" s="686">
        <f>industrie!G22</f>
        <v>0</v>
      </c>
      <c r="I43" s="686">
        <f>industrie!H22</f>
        <v>0</v>
      </c>
      <c r="J43" s="686">
        <f>industrie!I22</f>
        <v>0</v>
      </c>
      <c r="K43" s="686">
        <f>industrie!J22</f>
        <v>1.0369709257954576</v>
      </c>
      <c r="L43" s="686">
        <f>industrie!K22</f>
        <v>0</v>
      </c>
      <c r="M43" s="686">
        <f>industrie!L22</f>
        <v>0</v>
      </c>
      <c r="N43" s="686">
        <f>industrie!M22</f>
        <v>0</v>
      </c>
      <c r="O43" s="686">
        <f>industrie!N22</f>
        <v>0</v>
      </c>
      <c r="P43" s="686">
        <f>industrie!O22</f>
        <v>0</v>
      </c>
      <c r="Q43" s="769">
        <f>industrie!P22</f>
        <v>0</v>
      </c>
      <c r="R43" s="848">
        <f t="shared" ca="1" si="4"/>
        <v>1166.3978993018447</v>
      </c>
    </row>
    <row r="44" spans="1:18">
      <c r="A44" s="821"/>
      <c r="B44" s="828" t="s">
        <v>627</v>
      </c>
      <c r="C44" s="686"/>
      <c r="D44" s="686"/>
      <c r="E44" s="686"/>
      <c r="F44" s="686"/>
      <c r="G44" s="686"/>
      <c r="H44" s="686"/>
      <c r="I44" s="686"/>
      <c r="J44" s="686"/>
      <c r="K44" s="686"/>
      <c r="L44" s="686"/>
      <c r="M44" s="686"/>
      <c r="N44" s="686"/>
      <c r="O44" s="686"/>
      <c r="P44" s="686"/>
      <c r="Q44" s="769"/>
      <c r="R44" s="849">
        <f t="shared" si="4"/>
        <v>0</v>
      </c>
    </row>
    <row r="45" spans="1:18" ht="15" thickBot="1">
      <c r="A45" s="948" t="s">
        <v>723</v>
      </c>
      <c r="B45" s="952"/>
      <c r="C45" s="950"/>
      <c r="D45" s="950"/>
      <c r="E45" s="950"/>
      <c r="F45" s="950"/>
      <c r="G45" s="950"/>
      <c r="H45" s="950"/>
      <c r="I45" s="950"/>
      <c r="J45" s="950"/>
      <c r="K45" s="950"/>
      <c r="L45" s="950"/>
      <c r="M45" s="950"/>
      <c r="N45" s="950"/>
      <c r="O45" s="950"/>
      <c r="P45" s="950"/>
      <c r="Q45" s="951"/>
      <c r="R45" s="953"/>
    </row>
    <row r="46" spans="1:18" ht="15.75" thickBot="1">
      <c r="A46" s="822" t="s">
        <v>225</v>
      </c>
      <c r="B46" s="835"/>
      <c r="C46" s="722">
        <f ca="1">SUM(C39:C45)</f>
        <v>7143.7343810683633</v>
      </c>
      <c r="D46" s="722">
        <f t="shared" ref="D46:Q46" ca="1" si="5">SUM(D39:D45)</f>
        <v>0</v>
      </c>
      <c r="E46" s="722">
        <f t="shared" ca="1" si="5"/>
        <v>10460.599657893308</v>
      </c>
      <c r="F46" s="722">
        <f t="shared" si="5"/>
        <v>1768.5373425002635</v>
      </c>
      <c r="G46" s="722">
        <f t="shared" ca="1" si="5"/>
        <v>3338.361014882064</v>
      </c>
      <c r="H46" s="722">
        <f t="shared" si="5"/>
        <v>0</v>
      </c>
      <c r="I46" s="722">
        <f t="shared" si="5"/>
        <v>0</v>
      </c>
      <c r="J46" s="722">
        <f t="shared" si="5"/>
        <v>0</v>
      </c>
      <c r="K46" s="722">
        <f t="shared" si="5"/>
        <v>842.50805128234003</v>
      </c>
      <c r="L46" s="722">
        <f t="shared" si="5"/>
        <v>0</v>
      </c>
      <c r="M46" s="722">
        <f t="shared" ca="1" si="5"/>
        <v>0</v>
      </c>
      <c r="N46" s="722">
        <f t="shared" si="5"/>
        <v>0</v>
      </c>
      <c r="O46" s="722">
        <f t="shared" ca="1" si="5"/>
        <v>0</v>
      </c>
      <c r="P46" s="722">
        <f t="shared" si="5"/>
        <v>0</v>
      </c>
      <c r="Q46" s="722">
        <f t="shared" si="5"/>
        <v>0</v>
      </c>
      <c r="R46" s="722">
        <f ca="1">SUM(R39:R45)</f>
        <v>23553.740447626344</v>
      </c>
    </row>
    <row r="47" spans="1:18" ht="15.75">
      <c r="A47" s="823" t="s">
        <v>226</v>
      </c>
      <c r="B47" s="833"/>
      <c r="C47" s="714"/>
      <c r="D47" s="715"/>
      <c r="E47" s="715"/>
      <c r="F47" s="715"/>
      <c r="G47" s="715"/>
      <c r="H47" s="715"/>
      <c r="I47" s="715"/>
      <c r="J47" s="715"/>
      <c r="K47" s="715"/>
      <c r="L47" s="715"/>
      <c r="M47" s="725"/>
      <c r="N47" s="725"/>
      <c r="O47" s="715"/>
      <c r="P47" s="725"/>
      <c r="Q47" s="725"/>
      <c r="R47" s="719"/>
    </row>
    <row r="48" spans="1:18">
      <c r="A48" s="821" t="s">
        <v>227</v>
      </c>
      <c r="B48" s="828"/>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20">
        <f ca="1">SUM(C48:Q48)</f>
        <v>0</v>
      </c>
    </row>
    <row r="49" spans="1:18">
      <c r="A49" s="821" t="s">
        <v>228</v>
      </c>
      <c r="B49" s="828"/>
      <c r="C49" s="686">
        <f ca="1">transport!B58</f>
        <v>0</v>
      </c>
      <c r="D49" s="686">
        <f ca="1">transport!C58</f>
        <v>0</v>
      </c>
      <c r="E49" s="686">
        <f>transport!D58</f>
        <v>0</v>
      </c>
      <c r="F49" s="686">
        <f>transport!E58</f>
        <v>0</v>
      </c>
      <c r="G49" s="686">
        <f>transport!F58</f>
        <v>0</v>
      </c>
      <c r="H49" s="686">
        <f>transport!G58</f>
        <v>155.45117659239364</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20">
        <f ca="1">SUM(C49:Q49)</f>
        <v>155.45117659239364</v>
      </c>
    </row>
    <row r="50" spans="1:18">
      <c r="A50" s="824" t="s">
        <v>306</v>
      </c>
      <c r="B50" s="834"/>
      <c r="C50" s="692">
        <f ca="1">transport!B18</f>
        <v>12.534043909322747</v>
      </c>
      <c r="D50" s="692">
        <f>transport!C18</f>
        <v>0</v>
      </c>
      <c r="E50" s="692">
        <f>transport!D18</f>
        <v>50.677270613621651</v>
      </c>
      <c r="F50" s="692">
        <f>transport!E18</f>
        <v>53.877807750296647</v>
      </c>
      <c r="G50" s="692">
        <f>transport!F18</f>
        <v>0</v>
      </c>
      <c r="H50" s="692">
        <f>transport!G18</f>
        <v>36847.900904025868</v>
      </c>
      <c r="I50" s="692">
        <f>transport!H18</f>
        <v>5948.4652099692166</v>
      </c>
      <c r="J50" s="692">
        <f>transport!I18</f>
        <v>0</v>
      </c>
      <c r="K50" s="692">
        <f>transport!J18</f>
        <v>0</v>
      </c>
      <c r="L50" s="692">
        <f>transport!K18</f>
        <v>0</v>
      </c>
      <c r="M50" s="692">
        <f>transport!L18</f>
        <v>0</v>
      </c>
      <c r="N50" s="692">
        <f>transport!M18</f>
        <v>0</v>
      </c>
      <c r="O50" s="692">
        <f>transport!N18</f>
        <v>0</v>
      </c>
      <c r="P50" s="692">
        <f>transport!O18</f>
        <v>0</v>
      </c>
      <c r="Q50" s="693">
        <f>transport!P18</f>
        <v>0</v>
      </c>
      <c r="R50" s="721">
        <f ca="1">SUM(C50:Q50)</f>
        <v>42913.455236268324</v>
      </c>
    </row>
    <row r="51" spans="1:18" ht="15" thickBot="1">
      <c r="A51" s="821" t="s">
        <v>726</v>
      </c>
      <c r="B51" s="828"/>
      <c r="C51" s="686"/>
      <c r="D51" s="686"/>
      <c r="E51" s="686"/>
      <c r="F51" s="686"/>
      <c r="G51" s="686"/>
      <c r="H51" s="686"/>
      <c r="I51" s="686"/>
      <c r="J51" s="686"/>
      <c r="K51" s="686"/>
      <c r="L51" s="686"/>
      <c r="M51" s="686"/>
      <c r="N51" s="686"/>
      <c r="O51" s="686"/>
      <c r="P51" s="686"/>
      <c r="Q51" s="687"/>
      <c r="R51" s="720"/>
    </row>
    <row r="52" spans="1:18" ht="15.75" thickBot="1">
      <c r="A52" s="822" t="s">
        <v>229</v>
      </c>
      <c r="B52" s="835"/>
      <c r="C52" s="722">
        <f ca="1">SUM(C48:C51)</f>
        <v>12.534043909322747</v>
      </c>
      <c r="D52" s="722">
        <f t="shared" ref="D52:Q52" ca="1" si="6">SUM(D48:D51)</f>
        <v>0</v>
      </c>
      <c r="E52" s="722">
        <f t="shared" si="6"/>
        <v>50.677270613621651</v>
      </c>
      <c r="F52" s="722">
        <f t="shared" si="6"/>
        <v>53.877807750296647</v>
      </c>
      <c r="G52" s="722">
        <f t="shared" si="6"/>
        <v>0</v>
      </c>
      <c r="H52" s="722">
        <f t="shared" si="6"/>
        <v>37003.352080618264</v>
      </c>
      <c r="I52" s="722">
        <f t="shared" si="6"/>
        <v>5948.4652099692166</v>
      </c>
      <c r="J52" s="722">
        <f t="shared" si="6"/>
        <v>0</v>
      </c>
      <c r="K52" s="722">
        <f t="shared" si="6"/>
        <v>0</v>
      </c>
      <c r="L52" s="722">
        <f t="shared" si="6"/>
        <v>0</v>
      </c>
      <c r="M52" s="722">
        <f t="shared" si="6"/>
        <v>0</v>
      </c>
      <c r="N52" s="722">
        <f t="shared" si="6"/>
        <v>0</v>
      </c>
      <c r="O52" s="722">
        <f t="shared" si="6"/>
        <v>0</v>
      </c>
      <c r="P52" s="722">
        <f t="shared" si="6"/>
        <v>0</v>
      </c>
      <c r="Q52" s="722">
        <f t="shared" si="6"/>
        <v>0</v>
      </c>
      <c r="R52" s="722">
        <f ca="1">SUM(R48:R51)</f>
        <v>43068.906412860721</v>
      </c>
    </row>
    <row r="53" spans="1:18" ht="15.75">
      <c r="A53" s="823" t="s">
        <v>236</v>
      </c>
      <c r="B53" s="802"/>
      <c r="C53" s="714"/>
      <c r="D53" s="715"/>
      <c r="E53" s="715"/>
      <c r="F53" s="715"/>
      <c r="G53" s="715"/>
      <c r="H53" s="715"/>
      <c r="I53" s="715"/>
      <c r="J53" s="715"/>
      <c r="K53" s="715"/>
      <c r="L53" s="715"/>
      <c r="M53" s="725"/>
      <c r="N53" s="725"/>
      <c r="O53" s="715"/>
      <c r="P53" s="725"/>
      <c r="Q53" s="725"/>
      <c r="R53" s="719"/>
    </row>
    <row r="54" spans="1:18">
      <c r="A54" s="824" t="s">
        <v>623</v>
      </c>
      <c r="B54" s="834"/>
      <c r="C54" s="692">
        <f ca="1">+landbouw!B12</f>
        <v>350.04565871375968</v>
      </c>
      <c r="D54" s="692">
        <f ca="1">+landbouw!C12</f>
        <v>1339.8201680672271</v>
      </c>
      <c r="E54" s="692">
        <f>+landbouw!D12</f>
        <v>21.535313891157937</v>
      </c>
      <c r="F54" s="692">
        <f>+landbouw!E12</f>
        <v>13.543167740268771</v>
      </c>
      <c r="G54" s="692">
        <f>+landbouw!F12</f>
        <v>1803.8342970432338</v>
      </c>
      <c r="H54" s="692">
        <f>+landbouw!G12</f>
        <v>0</v>
      </c>
      <c r="I54" s="692">
        <f>+landbouw!H12</f>
        <v>0</v>
      </c>
      <c r="J54" s="692">
        <f>+landbouw!I12</f>
        <v>0</v>
      </c>
      <c r="K54" s="692">
        <f>+landbouw!J12</f>
        <v>186.44082566319702</v>
      </c>
      <c r="L54" s="692">
        <f>+landbouw!K12</f>
        <v>0</v>
      </c>
      <c r="M54" s="692">
        <f>+landbouw!L12</f>
        <v>0</v>
      </c>
      <c r="N54" s="692">
        <f>+landbouw!M12</f>
        <v>0</v>
      </c>
      <c r="O54" s="692">
        <f>+landbouw!N12</f>
        <v>0</v>
      </c>
      <c r="P54" s="692">
        <f>+landbouw!O12</f>
        <v>0</v>
      </c>
      <c r="Q54" s="693">
        <f>+landbouw!P12</f>
        <v>0</v>
      </c>
      <c r="R54" s="721">
        <f ca="1">SUM(C54:Q54)</f>
        <v>3715.2194311188441</v>
      </c>
    </row>
    <row r="55" spans="1:18" ht="15" thickBot="1">
      <c r="A55" s="824" t="s">
        <v>724</v>
      </c>
      <c r="B55" s="834"/>
      <c r="C55" s="692">
        <f ca="1">C25*'EF ele_warmte'!B12</f>
        <v>102.79858928651463</v>
      </c>
      <c r="D55" s="692"/>
      <c r="E55" s="692">
        <f>E25*EF_CO2_aardgas</f>
        <v>193.47501319000003</v>
      </c>
      <c r="F55" s="692"/>
      <c r="G55" s="692"/>
      <c r="H55" s="692"/>
      <c r="I55" s="692"/>
      <c r="J55" s="692"/>
      <c r="K55" s="692"/>
      <c r="L55" s="692"/>
      <c r="M55" s="692"/>
      <c r="N55" s="692"/>
      <c r="O55" s="692"/>
      <c r="P55" s="692"/>
      <c r="Q55" s="693"/>
      <c r="R55" s="721">
        <f ca="1">SUM(C55:Q55)</f>
        <v>296.27360247651467</v>
      </c>
    </row>
    <row r="56" spans="1:18" ht="15.75" thickBot="1">
      <c r="A56" s="822" t="s">
        <v>725</v>
      </c>
      <c r="B56" s="835"/>
      <c r="C56" s="722">
        <f ca="1">SUM(C54:C55)</f>
        <v>452.84424800027432</v>
      </c>
      <c r="D56" s="722">
        <f t="shared" ref="D56:Q56" ca="1" si="7">SUM(D54:D55)</f>
        <v>1339.8201680672271</v>
      </c>
      <c r="E56" s="722">
        <f t="shared" si="7"/>
        <v>215.01032708115795</v>
      </c>
      <c r="F56" s="722">
        <f t="shared" si="7"/>
        <v>13.543167740268771</v>
      </c>
      <c r="G56" s="722">
        <f t="shared" si="7"/>
        <v>1803.8342970432338</v>
      </c>
      <c r="H56" s="722">
        <f t="shared" si="7"/>
        <v>0</v>
      </c>
      <c r="I56" s="722">
        <f t="shared" si="7"/>
        <v>0</v>
      </c>
      <c r="J56" s="722">
        <f t="shared" si="7"/>
        <v>0</v>
      </c>
      <c r="K56" s="722">
        <f t="shared" si="7"/>
        <v>186.44082566319702</v>
      </c>
      <c r="L56" s="722">
        <f t="shared" si="7"/>
        <v>0</v>
      </c>
      <c r="M56" s="722">
        <f t="shared" si="7"/>
        <v>0</v>
      </c>
      <c r="N56" s="722">
        <f t="shared" si="7"/>
        <v>0</v>
      </c>
      <c r="O56" s="722">
        <f t="shared" si="7"/>
        <v>0</v>
      </c>
      <c r="P56" s="722">
        <f t="shared" si="7"/>
        <v>0</v>
      </c>
      <c r="Q56" s="723">
        <f t="shared" si="7"/>
        <v>0</v>
      </c>
      <c r="R56" s="724">
        <f ca="1">SUM(R54:R55)</f>
        <v>4011.4930335953586</v>
      </c>
    </row>
    <row r="57" spans="1:18" ht="15.75">
      <c r="A57" s="802" t="s">
        <v>624</v>
      </c>
      <c r="B57" s="802"/>
      <c r="C57" s="727"/>
      <c r="D57" s="715"/>
      <c r="E57" s="715"/>
      <c r="F57" s="715"/>
      <c r="G57" s="715"/>
      <c r="H57" s="715"/>
      <c r="I57" s="715"/>
      <c r="J57" s="715"/>
      <c r="K57" s="715"/>
      <c r="L57" s="715"/>
      <c r="M57" s="725"/>
      <c r="N57" s="725"/>
      <c r="O57" s="715"/>
      <c r="P57" s="725"/>
      <c r="Q57" s="725"/>
      <c r="R57" s="719"/>
    </row>
    <row r="58" spans="1:18" ht="15">
      <c r="A58" s="825" t="s">
        <v>237</v>
      </c>
      <c r="B58" s="839"/>
      <c r="C58" s="1139"/>
      <c r="D58" s="1140"/>
      <c r="E58" s="1140"/>
      <c r="F58" s="1140"/>
      <c r="G58" s="1140"/>
      <c r="H58" s="1140"/>
      <c r="I58" s="1140"/>
      <c r="J58" s="1140"/>
      <c r="K58" s="1140"/>
      <c r="L58" s="1140"/>
      <c r="M58" s="1140"/>
      <c r="N58" s="1140"/>
      <c r="O58" s="1140"/>
      <c r="P58" s="1140"/>
      <c r="Q58" s="1140"/>
      <c r="R58" s="728"/>
    </row>
    <row r="59" spans="1:18" ht="15">
      <c r="A59" s="826" t="s">
        <v>238</v>
      </c>
      <c r="B59" s="813"/>
      <c r="C59" s="1141"/>
      <c r="D59" s="1142"/>
      <c r="E59" s="1142"/>
      <c r="F59" s="1142"/>
      <c r="G59" s="1142"/>
      <c r="H59" s="1142"/>
      <c r="I59" s="1142"/>
      <c r="J59" s="1142"/>
      <c r="K59" s="1142"/>
      <c r="L59" s="1142"/>
      <c r="M59" s="1142"/>
      <c r="N59" s="1142"/>
      <c r="O59" s="1142"/>
      <c r="P59" s="1142"/>
      <c r="Q59" s="1142"/>
      <c r="R59" s="729"/>
    </row>
    <row r="60" spans="1:18" ht="15" thickBot="1">
      <c r="A60" s="837" t="s">
        <v>239</v>
      </c>
      <c r="B60" s="838"/>
      <c r="C60" s="1141"/>
      <c r="D60" s="1142"/>
      <c r="E60" s="1142"/>
      <c r="F60" s="1142"/>
      <c r="G60" s="1142"/>
      <c r="H60" s="1142"/>
      <c r="I60" s="1142"/>
      <c r="J60" s="1142"/>
      <c r="K60" s="1142"/>
      <c r="L60" s="1142"/>
      <c r="M60" s="1142"/>
      <c r="N60" s="1142"/>
      <c r="O60" s="1142"/>
      <c r="P60" s="1142"/>
      <c r="Q60" s="1142"/>
      <c r="R60" s="721"/>
    </row>
    <row r="61" spans="1:18" ht="16.5" thickBot="1">
      <c r="A61" s="840" t="s">
        <v>115</v>
      </c>
      <c r="B61" s="841"/>
      <c r="C61" s="730">
        <f ca="1">C46+C52+C56</f>
        <v>7609.1126729779598</v>
      </c>
      <c r="D61" s="730">
        <f t="shared" ref="D61:Q61" ca="1" si="8">D46+D52+D56</f>
        <v>1339.8201680672271</v>
      </c>
      <c r="E61" s="730">
        <f t="shared" ca="1" si="8"/>
        <v>10726.287255588088</v>
      </c>
      <c r="F61" s="730">
        <f t="shared" si="8"/>
        <v>1835.9583179908288</v>
      </c>
      <c r="G61" s="730">
        <f t="shared" ca="1" si="8"/>
        <v>5142.1953119252976</v>
      </c>
      <c r="H61" s="730">
        <f t="shared" si="8"/>
        <v>37003.352080618264</v>
      </c>
      <c r="I61" s="730">
        <f t="shared" si="8"/>
        <v>5948.4652099692166</v>
      </c>
      <c r="J61" s="730">
        <f t="shared" si="8"/>
        <v>0</v>
      </c>
      <c r="K61" s="730">
        <f t="shared" si="8"/>
        <v>1028.948876945537</v>
      </c>
      <c r="L61" s="730">
        <f t="shared" si="8"/>
        <v>0</v>
      </c>
      <c r="M61" s="730">
        <f t="shared" ca="1" si="8"/>
        <v>0</v>
      </c>
      <c r="N61" s="730">
        <f t="shared" si="8"/>
        <v>0</v>
      </c>
      <c r="O61" s="730">
        <f t="shared" ca="1" si="8"/>
        <v>0</v>
      </c>
      <c r="P61" s="730">
        <f t="shared" si="8"/>
        <v>0</v>
      </c>
      <c r="Q61" s="730">
        <f t="shared" si="8"/>
        <v>0</v>
      </c>
      <c r="R61" s="730">
        <f ca="1">R46+R52+R56</f>
        <v>70634.139894082415</v>
      </c>
    </row>
    <row r="62" spans="1:18" ht="15.75" thickTop="1" thickBot="1">
      <c r="A62" s="795"/>
      <c r="B62" s="795"/>
      <c r="C62" s="732"/>
      <c r="D62" s="732"/>
      <c r="E62" s="733"/>
      <c r="F62" s="733"/>
      <c r="G62" s="733"/>
      <c r="H62" s="733"/>
      <c r="I62" s="733"/>
      <c r="J62" s="733"/>
      <c r="K62" s="733"/>
      <c r="L62" s="733"/>
      <c r="M62" s="733"/>
      <c r="N62" s="733"/>
      <c r="O62" s="733"/>
      <c r="P62" s="733"/>
      <c r="Q62" s="733"/>
      <c r="R62" s="733"/>
    </row>
    <row r="63" spans="1:18" ht="20.25" thickTop="1" thickBot="1">
      <c r="A63" s="734" t="s">
        <v>347</v>
      </c>
      <c r="B63" s="820"/>
      <c r="C63" s="776">
        <f t="shared" ref="C63:Q63" ca="1" si="9">IF(ISERROR(C61/C27),0,C61/C27)</f>
        <v>0.18311312550240616</v>
      </c>
      <c r="D63" s="776">
        <f t="shared" ca="1" si="9"/>
        <v>0.23764705882352943</v>
      </c>
      <c r="E63" s="975">
        <f t="shared" ca="1" si="9"/>
        <v>0.20200000000000001</v>
      </c>
      <c r="F63" s="776">
        <f t="shared" si="9"/>
        <v>0.22700000000000004</v>
      </c>
      <c r="G63" s="776">
        <f t="shared" ca="1" si="9"/>
        <v>0.26699999999999996</v>
      </c>
      <c r="H63" s="776">
        <f t="shared" si="9"/>
        <v>0.26700000000000002</v>
      </c>
      <c r="I63" s="776">
        <f t="shared" si="9"/>
        <v>0.249</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3"/>
    </row>
    <row r="64" spans="1:18" ht="33" thickTop="1" thickBot="1">
      <c r="A64" s="827" t="s">
        <v>348</v>
      </c>
      <c r="B64" s="805"/>
      <c r="C64" s="777">
        <f>'EF ele_warmte'!B6</f>
        <v>0.221</v>
      </c>
      <c r="D64" s="778"/>
      <c r="E64" s="779"/>
      <c r="F64" s="780"/>
      <c r="G64" s="780"/>
      <c r="H64" s="780"/>
      <c r="I64" s="780"/>
      <c r="J64" s="780"/>
      <c r="K64" s="780"/>
      <c r="L64" s="780"/>
      <c r="M64" s="780"/>
      <c r="N64" s="780"/>
      <c r="O64" s="780"/>
      <c r="P64" s="780"/>
      <c r="Q64" s="780"/>
      <c r="R64" s="733"/>
    </row>
    <row r="65" spans="1:18" ht="15" thickTop="1">
      <c r="A65" s="735"/>
      <c r="B65" s="735"/>
      <c r="C65" s="733"/>
      <c r="D65" s="733"/>
      <c r="E65" s="733"/>
      <c r="F65" s="733"/>
      <c r="G65" s="733"/>
      <c r="H65" s="733"/>
      <c r="I65" s="733"/>
      <c r="J65" s="733"/>
      <c r="K65" s="733"/>
      <c r="L65" s="733"/>
      <c r="M65" s="733"/>
      <c r="N65" s="733"/>
      <c r="O65" s="733"/>
      <c r="P65" s="733"/>
      <c r="Q65" s="733"/>
      <c r="R65" s="733"/>
    </row>
    <row r="66" spans="1:18" ht="18.75">
      <c r="A66" s="736" t="s">
        <v>349</v>
      </c>
      <c r="B66" s="736"/>
      <c r="C66" s="707"/>
      <c r="D66" s="737"/>
      <c r="E66" s="707"/>
      <c r="F66" s="707"/>
      <c r="G66" s="707"/>
      <c r="H66" s="707"/>
      <c r="I66" s="707"/>
      <c r="J66" s="707"/>
      <c r="K66" s="707"/>
      <c r="L66" s="707"/>
      <c r="M66" s="707"/>
      <c r="N66" s="707"/>
      <c r="O66" s="707"/>
      <c r="P66" s="738"/>
      <c r="Q66" s="738"/>
      <c r="R66" s="738"/>
    </row>
    <row r="67" spans="1:18">
      <c r="A67" s="1117"/>
      <c r="B67" s="1117"/>
      <c r="C67" s="1117"/>
      <c r="D67" s="1117"/>
      <c r="E67" s="1117"/>
      <c r="F67" s="1117"/>
      <c r="G67" s="1117"/>
      <c r="H67" s="1117"/>
      <c r="I67" s="1117"/>
      <c r="J67" s="1117"/>
      <c r="K67" s="1117"/>
      <c r="L67" s="1117"/>
      <c r="M67" s="1117"/>
      <c r="N67" s="1117"/>
      <c r="O67" s="1117"/>
      <c r="P67" s="1117"/>
      <c r="Q67" s="1117"/>
      <c r="R67" s="739"/>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8" t="s">
        <v>240</v>
      </c>
      <c r="B69" s="1104" t="s">
        <v>350</v>
      </c>
      <c r="C69" s="1105"/>
      <c r="D69" s="1084" t="s">
        <v>351</v>
      </c>
      <c r="E69" s="1085"/>
      <c r="F69" s="1085"/>
      <c r="G69" s="1085"/>
      <c r="H69" s="1085"/>
      <c r="I69" s="1085"/>
      <c r="J69" s="1085"/>
      <c r="K69" s="1085"/>
      <c r="L69" s="1085"/>
      <c r="M69" s="1085"/>
      <c r="N69" s="1085"/>
      <c r="O69" s="1086"/>
      <c r="P69" s="963" t="s">
        <v>632</v>
      </c>
      <c r="Q69" s="1076" t="s">
        <v>631</v>
      </c>
      <c r="R69" s="1077"/>
    </row>
    <row r="70" spans="1:18" ht="61.5" thickTop="1" thickBot="1">
      <c r="A70" s="1119"/>
      <c r="B70" s="1106"/>
      <c r="C70" s="1107"/>
      <c r="D70" s="1101" t="s">
        <v>196</v>
      </c>
      <c r="E70" s="1102"/>
      <c r="F70" s="1102"/>
      <c r="G70" s="1102"/>
      <c r="H70" s="1103"/>
      <c r="I70" s="937" t="s">
        <v>245</v>
      </c>
      <c r="J70" s="937" t="s">
        <v>233</v>
      </c>
      <c r="K70" s="937" t="s">
        <v>208</v>
      </c>
      <c r="L70" s="937" t="s">
        <v>209</v>
      </c>
      <c r="M70" s="740" t="s">
        <v>244</v>
      </c>
      <c r="N70" s="937" t="s">
        <v>246</v>
      </c>
      <c r="O70" s="939" t="s">
        <v>126</v>
      </c>
      <c r="P70" s="964"/>
      <c r="Q70" s="855"/>
      <c r="R70" s="856"/>
    </row>
    <row r="71" spans="1:18" ht="95.25" customHeight="1" thickTop="1" thickBot="1">
      <c r="A71" s="1120"/>
      <c r="B71" s="942" t="s">
        <v>630</v>
      </c>
      <c r="C71" s="942" t="s">
        <v>728</v>
      </c>
      <c r="D71" s="955" t="s">
        <v>198</v>
      </c>
      <c r="E71" s="956" t="s">
        <v>199</v>
      </c>
      <c r="F71" s="937" t="s">
        <v>200</v>
      </c>
      <c r="G71" s="936" t="s">
        <v>202</v>
      </c>
      <c r="H71" s="957" t="s">
        <v>203</v>
      </c>
      <c r="I71" s="938"/>
      <c r="J71" s="938"/>
      <c r="K71" s="938"/>
      <c r="L71" s="938"/>
      <c r="M71" s="742"/>
      <c r="N71" s="938"/>
      <c r="O71" s="943"/>
      <c r="P71" s="965"/>
      <c r="Q71" s="944" t="s">
        <v>633</v>
      </c>
      <c r="R71" s="943" t="s">
        <v>634</v>
      </c>
    </row>
    <row r="72" spans="1:18" ht="15.75" thickTop="1">
      <c r="A72" s="743" t="s">
        <v>248</v>
      </c>
      <c r="B72" s="842">
        <f>'lokale energieproductie'!B4</f>
        <v>4156.8711036739996</v>
      </c>
      <c r="C72" s="1080"/>
      <c r="D72" s="1080"/>
      <c r="E72" s="1093"/>
      <c r="F72" s="1093"/>
      <c r="G72" s="1094"/>
      <c r="H72" s="1097"/>
      <c r="I72" s="1083"/>
      <c r="J72" s="940"/>
      <c r="K72" s="1087"/>
      <c r="L72" s="1087"/>
      <c r="M72" s="1087"/>
      <c r="N72" s="1087"/>
      <c r="O72" s="1090"/>
      <c r="P72" s="850">
        <v>0</v>
      </c>
      <c r="Q72" s="966"/>
      <c r="R72" s="850">
        <v>0</v>
      </c>
    </row>
    <row r="73" spans="1:18" ht="15">
      <c r="A73" s="744" t="s">
        <v>249</v>
      </c>
      <c r="B73" s="743">
        <f>'lokale energieproductie'!B5</f>
        <v>0</v>
      </c>
      <c r="C73" s="1081"/>
      <c r="D73" s="1081"/>
      <c r="E73" s="1088"/>
      <c r="F73" s="1088"/>
      <c r="G73" s="1095"/>
      <c r="H73" s="1098"/>
      <c r="I73" s="1081"/>
      <c r="J73" s="941"/>
      <c r="K73" s="1088"/>
      <c r="L73" s="1088"/>
      <c r="M73" s="1088"/>
      <c r="N73" s="1088"/>
      <c r="O73" s="1091"/>
      <c r="P73" s="851">
        <v>0</v>
      </c>
      <c r="Q73" s="857"/>
      <c r="R73" s="851">
        <v>0</v>
      </c>
    </row>
    <row r="74" spans="1:18" ht="15">
      <c r="A74" s="744" t="s">
        <v>250</v>
      </c>
      <c r="B74" s="743">
        <f>'lokale energieproductie'!B6</f>
        <v>3264.1921443847978</v>
      </c>
      <c r="C74" s="1081"/>
      <c r="D74" s="1081"/>
      <c r="E74" s="1088"/>
      <c r="F74" s="1088"/>
      <c r="G74" s="1095"/>
      <c r="H74" s="1098"/>
      <c r="I74" s="1081"/>
      <c r="J74" s="941"/>
      <c r="K74" s="1088"/>
      <c r="L74" s="1088"/>
      <c r="M74" s="1088"/>
      <c r="N74" s="1088"/>
      <c r="O74" s="1091"/>
      <c r="P74" s="851">
        <v>0</v>
      </c>
      <c r="Q74" s="857"/>
      <c r="R74" s="851">
        <v>0</v>
      </c>
    </row>
    <row r="75" spans="1:18" ht="15.75" thickBot="1">
      <c r="A75" s="744" t="s">
        <v>727</v>
      </c>
      <c r="B75" s="743">
        <f>'lokale energieproductie'!B7</f>
        <v>0</v>
      </c>
      <c r="C75" s="1082"/>
      <c r="D75" s="1082"/>
      <c r="E75" s="1089"/>
      <c r="F75" s="1089"/>
      <c r="G75" s="1096"/>
      <c r="H75" s="1099"/>
      <c r="I75" s="1082"/>
      <c r="J75" s="960"/>
      <c r="K75" s="1089"/>
      <c r="L75" s="1089"/>
      <c r="M75" s="1089"/>
      <c r="N75" s="1089"/>
      <c r="O75" s="1092"/>
      <c r="P75" s="851">
        <v>0</v>
      </c>
      <c r="Q75" s="967"/>
      <c r="R75" s="851">
        <v>0</v>
      </c>
    </row>
    <row r="76" spans="1:18" ht="15">
      <c r="A76" s="745" t="s">
        <v>251</v>
      </c>
      <c r="B76" s="743">
        <f>'lokale energieproductie'!B8*IFERROR(SUM(I76:O76)/SUM(D76:O76),0)</f>
        <v>0</v>
      </c>
      <c r="C76" s="743">
        <f>'lokale energieproductie'!B8*IFERROR(SUM(D76:H76)/SUM(D76:O76),0)</f>
        <v>3946.5</v>
      </c>
      <c r="D76" s="958">
        <f>'lokale energieproductie'!C8</f>
        <v>4642.9411764705883</v>
      </c>
      <c r="E76" s="959">
        <f>'lokale energieproductie'!D8</f>
        <v>0</v>
      </c>
      <c r="F76" s="959">
        <f>'lokale energieproductie'!E8</f>
        <v>0</v>
      </c>
      <c r="G76" s="959">
        <f>'lokale energieproductie'!F8</f>
        <v>0</v>
      </c>
      <c r="H76" s="959">
        <f>'lokale energieproductie'!G8</f>
        <v>0</v>
      </c>
      <c r="I76" s="959">
        <f>'lokale energieproductie'!I8</f>
        <v>0</v>
      </c>
      <c r="J76" s="959">
        <f>'lokale energieproductie'!J8</f>
        <v>0</v>
      </c>
      <c r="K76" s="959">
        <f>'lokale energieproductie'!M8</f>
        <v>0</v>
      </c>
      <c r="L76" s="959">
        <f>'lokale energieproductie'!N8</f>
        <v>0</v>
      </c>
      <c r="M76" s="959">
        <f>'lokale energieproductie'!H8</f>
        <v>0</v>
      </c>
      <c r="N76" s="959">
        <f>'lokale energieproductie'!K8</f>
        <v>0</v>
      </c>
      <c r="O76" s="969">
        <f>'lokale energieproductie'!L8</f>
        <v>0</v>
      </c>
      <c r="P76" s="968"/>
      <c r="Q76" s="852">
        <f>D76*EF_CO2_aardgas+E76*EF_VLgas_CO2+'SEAP template'!F76*EF_stookolie_CO2+EF_bruinkool_CO2*'SEAP template'!G76+'SEAP template'!H76*EF_steenkool_CO2+'EF brandstof'!M4*'SEAP template'!M76+'SEAP template'!O76*EF_anderfossiel_CO2</f>
        <v>937.87411764705894</v>
      </c>
      <c r="R76" s="851">
        <v>0</v>
      </c>
    </row>
    <row r="77" spans="1:18" ht="15.75" thickBot="1">
      <c r="A77" s="746" t="s">
        <v>784</v>
      </c>
      <c r="B77" s="743">
        <f>'lokale energieproductie'!B9*IFERROR(SUM(I77:O77)/SUM(D77:O77),0)</f>
        <v>0</v>
      </c>
      <c r="C77" s="743">
        <f>'lokale energieproductie'!B9*IFERROR(SUM(D77:H77)/SUM(D77:O77),0)</f>
        <v>0</v>
      </c>
      <c r="D77" s="770">
        <f>'lokale energieproductie'!C9</f>
        <v>0</v>
      </c>
      <c r="E77" s="771">
        <f>'lokale energieproductie'!D9</f>
        <v>0</v>
      </c>
      <c r="F77" s="771">
        <f>'lokale energieproductie'!E9</f>
        <v>0</v>
      </c>
      <c r="G77" s="771">
        <f>'lokale energieproductie'!F9</f>
        <v>0</v>
      </c>
      <c r="H77" s="771">
        <f>'lokale energieproductie'!G9</f>
        <v>0</v>
      </c>
      <c r="I77" s="959">
        <f>'lokale energieproductie'!I9</f>
        <v>0</v>
      </c>
      <c r="J77" s="959">
        <f>'lokale energieproductie'!J9</f>
        <v>0</v>
      </c>
      <c r="K77" s="959">
        <f>'lokale energieproductie'!M9</f>
        <v>0</v>
      </c>
      <c r="L77" s="959">
        <f>'lokale energieproductie'!N9</f>
        <v>0</v>
      </c>
      <c r="M77" s="959">
        <f>'lokale energieproductie'!H9</f>
        <v>0</v>
      </c>
      <c r="N77" s="959">
        <f>'lokale energieproductie'!K9</f>
        <v>0</v>
      </c>
      <c r="O77" s="969">
        <f>'lokale energieproductie'!L9</f>
        <v>0</v>
      </c>
      <c r="P77" s="844"/>
      <c r="Q77" s="852">
        <f>D77*EF_CO2_aardgas+E77*EF_VLgas_CO2+'SEAP template'!F77*EF_stookolie_CO2+EF_bruinkool_CO2*'SEAP template'!G77+'SEAP template'!H77*EF_steenkool_CO2+'EF brandstof'!M4*'SEAP template'!M77+'SEAP template'!O77*EF_anderfossiel_CO2</f>
        <v>0</v>
      </c>
      <c r="R77" s="854">
        <v>0</v>
      </c>
    </row>
    <row r="78" spans="1:18" ht="16.5" thickTop="1" thickBot="1">
      <c r="A78" s="747" t="s">
        <v>115</v>
      </c>
      <c r="B78" s="748">
        <f>SUM(B72:B77)</f>
        <v>7421.0632480587974</v>
      </c>
      <c r="C78" s="748">
        <f>SUM(C72:C77)</f>
        <v>3946.5</v>
      </c>
      <c r="D78" s="749">
        <f t="shared" ref="D78:H78" si="10">SUM(D76:D77)</f>
        <v>4642.9411764705883</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9">
        <f>SUM(O76:O77)</f>
        <v>0</v>
      </c>
      <c r="P78" s="750">
        <v>0</v>
      </c>
      <c r="Q78" s="750">
        <f>SUM(Q76:Q77)</f>
        <v>937.87411764705894</v>
      </c>
      <c r="R78" s="750">
        <f>SUM(R72:R77)</f>
        <v>0</v>
      </c>
    </row>
    <row r="79" spans="1:18" ht="15.75" thickTop="1">
      <c r="A79" s="751"/>
      <c r="B79" s="806"/>
      <c r="C79" s="752"/>
      <c r="D79" s="752"/>
      <c r="E79" s="708"/>
      <c r="F79" s="707"/>
      <c r="G79" s="707"/>
      <c r="H79" s="707"/>
      <c r="I79" s="753"/>
      <c r="J79" s="707"/>
      <c r="K79" s="707"/>
      <c r="L79" s="707"/>
      <c r="M79" s="707"/>
      <c r="N79" s="754"/>
      <c r="O79" s="707"/>
      <c r="P79" s="707"/>
      <c r="Q79" s="707"/>
      <c r="R79" s="707"/>
    </row>
    <row r="80" spans="1:18" ht="15">
      <c r="A80" s="731"/>
      <c r="B80" s="795"/>
      <c r="C80" s="752"/>
      <c r="D80" s="752"/>
      <c r="E80" s="707"/>
      <c r="F80" s="707"/>
      <c r="G80" s="707"/>
      <c r="H80" s="707"/>
      <c r="I80" s="707"/>
      <c r="J80" s="707"/>
      <c r="K80" s="707"/>
      <c r="L80" s="707"/>
      <c r="M80" s="707"/>
      <c r="N80" s="707"/>
      <c r="O80" s="707"/>
      <c r="P80" s="707"/>
      <c r="Q80" s="707"/>
      <c r="R80" s="707"/>
    </row>
    <row r="81" spans="1:19" ht="18.75">
      <c r="A81" s="755" t="s">
        <v>353</v>
      </c>
      <c r="B81" s="755"/>
      <c r="C81" s="756"/>
      <c r="D81" s="737"/>
      <c r="E81" s="707"/>
      <c r="F81" s="707"/>
      <c r="G81" s="707"/>
      <c r="H81" s="707"/>
      <c r="I81" s="707"/>
      <c r="J81" s="707"/>
      <c r="K81" s="707"/>
      <c r="L81" s="707"/>
      <c r="M81" s="707"/>
      <c r="N81" s="707"/>
      <c r="O81" s="707"/>
      <c r="P81" s="707"/>
      <c r="Q81" s="707"/>
      <c r="R81" s="707"/>
    </row>
    <row r="82" spans="1:19">
      <c r="A82" s="1117"/>
      <c r="B82" s="1117"/>
      <c r="C82" s="1117"/>
      <c r="D82" s="1117"/>
      <c r="E82" s="1117"/>
      <c r="F82" s="1117"/>
      <c r="G82" s="1117"/>
      <c r="H82" s="1117"/>
      <c r="I82" s="1117"/>
      <c r="J82" s="1117"/>
      <c r="K82" s="1117"/>
      <c r="L82" s="1117"/>
      <c r="M82" s="1117"/>
      <c r="N82" s="1117"/>
      <c r="O82" s="1117"/>
      <c r="P82" s="1117"/>
      <c r="Q82" s="739"/>
      <c r="R82" s="739"/>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8" t="s">
        <v>252</v>
      </c>
      <c r="B84" s="1104" t="s">
        <v>354</v>
      </c>
      <c r="C84" s="1126"/>
      <c r="D84" s="1114" t="s">
        <v>355</v>
      </c>
      <c r="E84" s="1115"/>
      <c r="F84" s="1115"/>
      <c r="G84" s="1115"/>
      <c r="H84" s="1115"/>
      <c r="I84" s="1115"/>
      <c r="J84" s="1115"/>
      <c r="K84" s="1115"/>
      <c r="L84" s="1115"/>
      <c r="M84" s="1115"/>
      <c r="N84" s="1115"/>
      <c r="O84" s="1116"/>
      <c r="P84" s="963" t="s">
        <v>632</v>
      </c>
      <c r="Q84" s="1104" t="s">
        <v>631</v>
      </c>
      <c r="R84" s="1105"/>
    </row>
    <row r="85" spans="1:19" ht="16.5" customHeight="1" thickTop="1" thickBot="1">
      <c r="A85" s="1119"/>
      <c r="B85" s="1127"/>
      <c r="C85" s="1128"/>
      <c r="D85" s="1121" t="s">
        <v>196</v>
      </c>
      <c r="E85" s="1122"/>
      <c r="F85" s="1122"/>
      <c r="G85" s="1122"/>
      <c r="H85" s="1123"/>
      <c r="I85" s="1112" t="s">
        <v>245</v>
      </c>
      <c r="J85" s="1108" t="s">
        <v>233</v>
      </c>
      <c r="K85" s="1078" t="s">
        <v>208</v>
      </c>
      <c r="L85" s="1078" t="s">
        <v>209</v>
      </c>
      <c r="M85" s="1124" t="s">
        <v>244</v>
      </c>
      <c r="N85" s="1078" t="s">
        <v>256</v>
      </c>
      <c r="O85" s="1110" t="s">
        <v>126</v>
      </c>
      <c r="P85" s="964"/>
      <c r="Q85" s="855"/>
      <c r="R85" s="856"/>
    </row>
    <row r="86" spans="1:19" ht="110.25" customHeight="1" thickTop="1" thickBot="1">
      <c r="A86" s="1120"/>
      <c r="B86" s="843" t="s">
        <v>630</v>
      </c>
      <c r="C86" s="843" t="s">
        <v>728</v>
      </c>
      <c r="D86" s="757" t="s">
        <v>198</v>
      </c>
      <c r="E86" s="741" t="s">
        <v>199</v>
      </c>
      <c r="F86" s="758" t="s">
        <v>200</v>
      </c>
      <c r="G86" s="741" t="s">
        <v>202</v>
      </c>
      <c r="H86" s="759" t="s">
        <v>203</v>
      </c>
      <c r="I86" s="1113"/>
      <c r="J86" s="1109"/>
      <c r="K86" s="1079"/>
      <c r="L86" s="1079"/>
      <c r="M86" s="1125"/>
      <c r="N86" s="1079"/>
      <c r="O86" s="1111"/>
      <c r="P86" s="965"/>
      <c r="Q86" s="796" t="s">
        <v>633</v>
      </c>
      <c r="R86" s="794" t="s">
        <v>634</v>
      </c>
    </row>
    <row r="87" spans="1:19" ht="15.75" thickTop="1">
      <c r="A87" s="760" t="s">
        <v>251</v>
      </c>
      <c r="B87" s="761">
        <f>'lokale energieproductie'!B17*IFERROR(SUM(I87:O87)/SUM(D87:O87),0)</f>
        <v>0</v>
      </c>
      <c r="C87" s="761">
        <f>'lokale energieproductie'!B17*IFERROR(SUM(D87:H87)/SUM(D87:O87),0)</f>
        <v>5637.8571428571431</v>
      </c>
      <c r="D87" s="772">
        <f>'lokale energieproductie'!C17</f>
        <v>6632.7731092436979</v>
      </c>
      <c r="E87" s="772">
        <f>'lokale energieproductie'!D17</f>
        <v>0</v>
      </c>
      <c r="F87" s="772">
        <f>'lokale energieproductie'!E17</f>
        <v>0</v>
      </c>
      <c r="G87" s="772">
        <f>'lokale energieproductie'!F17</f>
        <v>0</v>
      </c>
      <c r="H87" s="772">
        <f>'lokale energieproductie'!G17</f>
        <v>0</v>
      </c>
      <c r="I87" s="772">
        <f>'lokale energieproductie'!I17</f>
        <v>0</v>
      </c>
      <c r="J87" s="772">
        <f>'lokale energieproductie'!J17</f>
        <v>0</v>
      </c>
      <c r="K87" s="772">
        <f>'lokale energieproductie'!M17</f>
        <v>0</v>
      </c>
      <c r="L87" s="772">
        <f>'lokale energieproductie'!N17</f>
        <v>0</v>
      </c>
      <c r="M87" s="772">
        <f>'lokale energieproductie'!H17</f>
        <v>0</v>
      </c>
      <c r="N87" s="772">
        <f>'lokale energieproductie'!K17</f>
        <v>0</v>
      </c>
      <c r="O87" s="772">
        <f>'lokale energieproductie'!L17</f>
        <v>0</v>
      </c>
      <c r="P87" s="1073"/>
      <c r="Q87" s="858">
        <f>D87*EF_CO2_aardgas+E87*EF_VLgas_CO2+'SEAP template'!F87*EF_stookolie_CO2+EF_bruinkool_CO2*'SEAP template'!G87+'SEAP template'!H87*EF_steenkool_CO2+'EF brandstof'!M4*'SEAP template'!M87+'SEAP template'!O87*EF_anderfossiel_CO2</f>
        <v>1339.8201680672271</v>
      </c>
      <c r="R87" s="845">
        <v>0</v>
      </c>
    </row>
    <row r="88" spans="1:19" ht="15">
      <c r="A88" s="762" t="s">
        <v>257</v>
      </c>
      <c r="B88" s="761">
        <f>'lokale energieproductie'!B18*IFERROR(SUM(I88:O88)/SUM(D88:O88),0)</f>
        <v>0</v>
      </c>
      <c r="C88" s="761">
        <f>'lokale energieproductie'!B18*IFERROR(SUM(D88:H88)/SUM(D88:O88),0)</f>
        <v>0</v>
      </c>
      <c r="D88" s="772">
        <f>'lokale energieproductie'!C18</f>
        <v>0</v>
      </c>
      <c r="E88" s="772">
        <f>'lokale energieproductie'!D18</f>
        <v>0</v>
      </c>
      <c r="F88" s="772">
        <f>'lokale energieproductie'!E18</f>
        <v>0</v>
      </c>
      <c r="G88" s="772">
        <f>'lokale energieproductie'!F18</f>
        <v>0</v>
      </c>
      <c r="H88" s="772">
        <f>'lokale energieproductie'!G18</f>
        <v>0</v>
      </c>
      <c r="I88" s="772">
        <f>'lokale energieproductie'!I18</f>
        <v>0</v>
      </c>
      <c r="J88" s="772">
        <f>'lokale energieproductie'!J18</f>
        <v>0</v>
      </c>
      <c r="K88" s="772">
        <f>'lokale energieproductie'!M18</f>
        <v>0</v>
      </c>
      <c r="L88" s="772">
        <f>'lokale energieproductie'!N18</f>
        <v>0</v>
      </c>
      <c r="M88" s="772">
        <f>'lokale energieproductie'!H18</f>
        <v>0</v>
      </c>
      <c r="N88" s="772">
        <f>'lokale energieproductie'!K18</f>
        <v>0</v>
      </c>
      <c r="O88" s="772">
        <f>'lokale energieproductie'!L18</f>
        <v>0</v>
      </c>
      <c r="P88" s="1074"/>
      <c r="Q88" s="852">
        <f>D88*EF_CO2_aardgas+E88*EF_VLgas_CO2+'SEAP template'!F88*EF_stookolie_CO2+EF_bruinkool_CO2*'SEAP template'!G88+'SEAP template'!H88*EF_steenkool_CO2+'EF brandstof'!M4*'SEAP template'!M88+'SEAP template'!O88*EF_anderfossiel_CO2</f>
        <v>0</v>
      </c>
      <c r="R88" s="846">
        <v>0</v>
      </c>
    </row>
    <row r="89" spans="1:19" ht="30" thickBot="1">
      <c r="A89" s="746" t="s">
        <v>352</v>
      </c>
      <c r="B89" s="761">
        <f>'lokale energieproductie'!B19*IFERROR(SUM(I89:O89)/SUM(D89:O89),0)</f>
        <v>0</v>
      </c>
      <c r="C89" s="761">
        <f>'lokale energieproductie'!B19*IFERROR(SUM(D89:H89)/SUM(D89:O89),0)</f>
        <v>0</v>
      </c>
      <c r="D89" s="772">
        <f>'lokale energieproductie'!C19</f>
        <v>0</v>
      </c>
      <c r="E89" s="772">
        <f>'lokale energieproductie'!D19</f>
        <v>0</v>
      </c>
      <c r="F89" s="772">
        <f>'lokale energieproductie'!E19</f>
        <v>0</v>
      </c>
      <c r="G89" s="772">
        <f>'lokale energieproductie'!F19</f>
        <v>0</v>
      </c>
      <c r="H89" s="772">
        <f>'lokale energieproductie'!G19</f>
        <v>0</v>
      </c>
      <c r="I89" s="772">
        <f>'lokale energieproductie'!I19</f>
        <v>0</v>
      </c>
      <c r="J89" s="772">
        <f>'lokale energieproductie'!J19</f>
        <v>0</v>
      </c>
      <c r="K89" s="772">
        <f>'lokale energieproductie'!M19</f>
        <v>0</v>
      </c>
      <c r="L89" s="772">
        <f>'lokale energieproductie'!N19</f>
        <v>0</v>
      </c>
      <c r="M89" s="772">
        <f>'lokale energieproductie'!H19</f>
        <v>0</v>
      </c>
      <c r="N89" s="772">
        <f>'lokale energieproductie'!K19</f>
        <v>0</v>
      </c>
      <c r="O89" s="772">
        <f>'lokale energieproductie'!L19</f>
        <v>0</v>
      </c>
      <c r="P89" s="1075"/>
      <c r="Q89" s="853">
        <f>D89*EF_CO2_aardgas+E89*EF_VLgas_CO2+'SEAP template'!F89*EF_stookolie_CO2+EF_bruinkool_CO2*'SEAP template'!G89+'SEAP template'!H89*EF_steenkool_CO2+'EF brandstof'!M4*'SEAP template'!M89+'SEAP template'!O89*EF_anderfossiel_CO2</f>
        <v>0</v>
      </c>
      <c r="R89" s="847">
        <v>0</v>
      </c>
    </row>
    <row r="90" spans="1:19" ht="16.5" thickTop="1" thickBot="1">
      <c r="A90" s="763" t="s">
        <v>115</v>
      </c>
      <c r="B90" s="748">
        <f>SUM(B87:B89)</f>
        <v>0</v>
      </c>
      <c r="C90" s="748">
        <f>SUM(C87:C89)</f>
        <v>5637.8571428571431</v>
      </c>
      <c r="D90" s="748">
        <f t="shared" ref="D90:H90" si="12">SUM(D87:D89)</f>
        <v>6632.7731092436979</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1339.8201680672271</v>
      </c>
      <c r="R90" s="859">
        <f>SUM(R87:R89)</f>
        <v>0</v>
      </c>
    </row>
    <row r="91" spans="1:19" ht="15.75" thickTop="1">
      <c r="A91" s="764"/>
      <c r="B91" s="764"/>
      <c r="C91" s="765"/>
      <c r="D91" s="766"/>
      <c r="E91" s="767"/>
      <c r="F91" s="753"/>
      <c r="G91" s="753"/>
      <c r="H91" s="753"/>
      <c r="I91" s="753"/>
      <c r="J91" s="753"/>
      <c r="K91" s="753"/>
      <c r="L91" s="753"/>
      <c r="M91" s="707"/>
      <c r="Q91" s="753"/>
      <c r="R91" s="707"/>
      <c r="S91" s="738"/>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9" zoomScale="65" zoomScaleNormal="65" workbookViewId="0">
      <selection activeCell="M28" sqref="M28"/>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34" customFormat="1" ht="17.45" customHeight="1" thickTop="1" thickBot="1">
      <c r="A1" s="1248" t="s">
        <v>240</v>
      </c>
      <c r="B1" s="1236" t="s">
        <v>241</v>
      </c>
      <c r="C1" s="1270" t="s">
        <v>242</v>
      </c>
      <c r="D1" s="1271"/>
      <c r="E1" s="1271"/>
      <c r="F1" s="1271"/>
      <c r="G1" s="1271"/>
      <c r="H1" s="1271"/>
      <c r="I1" s="1271"/>
      <c r="J1" s="1271"/>
      <c r="K1" s="1271"/>
      <c r="L1" s="1271"/>
      <c r="M1" s="1271"/>
      <c r="N1" s="1272"/>
      <c r="O1" s="1237" t="s">
        <v>243</v>
      </c>
      <c r="P1" s="1236" t="s">
        <v>537</v>
      </c>
      <c r="Q1" s="1237"/>
      <c r="S1" s="1235"/>
      <c r="T1" s="1235"/>
      <c r="U1" s="1235"/>
    </row>
    <row r="2" spans="1:21" s="534" customFormat="1" ht="15.75" thickBot="1">
      <c r="A2" s="1249"/>
      <c r="B2" s="1249"/>
      <c r="C2" s="1266" t="s">
        <v>196</v>
      </c>
      <c r="D2" s="1267"/>
      <c r="E2" s="1267"/>
      <c r="F2" s="1267"/>
      <c r="G2" s="1268"/>
      <c r="H2" s="1269" t="s">
        <v>244</v>
      </c>
      <c r="I2" s="1264" t="s">
        <v>245</v>
      </c>
      <c r="J2" s="1264" t="s">
        <v>233</v>
      </c>
      <c r="K2" s="1264" t="s">
        <v>246</v>
      </c>
      <c r="L2" s="1264" t="s">
        <v>126</v>
      </c>
      <c r="M2" s="1264" t="s">
        <v>729</v>
      </c>
      <c r="N2" s="1259" t="s">
        <v>730</v>
      </c>
      <c r="O2" s="1239"/>
      <c r="P2" s="1238"/>
      <c r="Q2" s="1239"/>
      <c r="S2" s="1235"/>
      <c r="T2" s="1235"/>
      <c r="U2" s="1235"/>
    </row>
    <row r="3" spans="1:21" s="534" customFormat="1" ht="53.45" customHeight="1" thickBot="1">
      <c r="A3" s="1250"/>
      <c r="B3" s="1240"/>
      <c r="C3" s="535" t="s">
        <v>198</v>
      </c>
      <c r="D3" s="536" t="s">
        <v>199</v>
      </c>
      <c r="E3" s="537" t="s">
        <v>200</v>
      </c>
      <c r="F3" s="538" t="s">
        <v>202</v>
      </c>
      <c r="G3" s="539" t="s">
        <v>203</v>
      </c>
      <c r="H3" s="1255"/>
      <c r="I3" s="1265"/>
      <c r="J3" s="1265"/>
      <c r="K3" s="1265"/>
      <c r="L3" s="1265"/>
      <c r="M3" s="1265"/>
      <c r="N3" s="1260"/>
      <c r="O3" s="1241"/>
      <c r="P3" s="1240"/>
      <c r="Q3" s="1241"/>
      <c r="S3" s="1235"/>
      <c r="T3" s="1235"/>
      <c r="U3" s="1235"/>
    </row>
    <row r="4" spans="1:21" s="534" customFormat="1" ht="15.75" thickTop="1">
      <c r="A4" s="540" t="s">
        <v>248</v>
      </c>
      <c r="B4" s="541">
        <f>IF(ISERROR(kWh_wind_land),0,kWh_wind_land)</f>
        <v>4156.8711036739996</v>
      </c>
      <c r="C4" s="1276"/>
      <c r="D4" s="1261"/>
      <c r="E4" s="1261"/>
      <c r="F4" s="1279"/>
      <c r="G4" s="1282"/>
      <c r="H4" s="1273"/>
      <c r="I4" s="1261"/>
      <c r="J4" s="1261"/>
      <c r="K4" s="1261"/>
      <c r="L4" s="1261"/>
      <c r="M4" s="1261"/>
      <c r="N4" s="961"/>
      <c r="O4" s="542"/>
      <c r="P4" s="1242"/>
      <c r="Q4" s="1243"/>
      <c r="S4" s="543"/>
      <c r="T4" s="1232"/>
      <c r="U4" s="1232"/>
    </row>
    <row r="5" spans="1:21" s="534" customFormat="1">
      <c r="A5" s="544" t="s">
        <v>249</v>
      </c>
      <c r="B5" s="541">
        <f>IF(ISERROR(kWh_waterkracht),0,kWh_waterkracht)</f>
        <v>0</v>
      </c>
      <c r="C5" s="1277"/>
      <c r="D5" s="1262"/>
      <c r="E5" s="1262"/>
      <c r="F5" s="1280"/>
      <c r="G5" s="1283"/>
      <c r="H5" s="1274"/>
      <c r="I5" s="1262"/>
      <c r="J5" s="1262"/>
      <c r="K5" s="1262"/>
      <c r="L5" s="1262"/>
      <c r="M5" s="1262"/>
      <c r="N5" s="961"/>
      <c r="O5" s="545"/>
      <c r="P5" s="1244"/>
      <c r="Q5" s="1245"/>
      <c r="S5" s="543"/>
      <c r="T5" s="1232"/>
      <c r="U5" s="1232"/>
    </row>
    <row r="6" spans="1:21" s="534" customFormat="1">
      <c r="A6" s="544" t="s">
        <v>250</v>
      </c>
      <c r="B6" s="541">
        <f>IF(ISERROR((kWh_PV_kleiner_dan_10kW+kWh_PV_groter_dan_10kW)),0,(kWh_PV_kleiner_dan_10kW+kWh_PV_groter_dan_10kW))</f>
        <v>3264.1921443847978</v>
      </c>
      <c r="C6" s="1277"/>
      <c r="D6" s="1262"/>
      <c r="E6" s="1262"/>
      <c r="F6" s="1280"/>
      <c r="G6" s="1283"/>
      <c r="H6" s="1274"/>
      <c r="I6" s="1262"/>
      <c r="J6" s="1262"/>
      <c r="K6" s="1262"/>
      <c r="L6" s="1262"/>
      <c r="M6" s="1262"/>
      <c r="N6" s="961"/>
      <c r="O6" s="545"/>
      <c r="P6" s="1244"/>
      <c r="Q6" s="1245"/>
      <c r="S6" s="543"/>
      <c r="T6" s="1232"/>
      <c r="U6" s="1232"/>
    </row>
    <row r="7" spans="1:21" s="534" customFormat="1">
      <c r="A7" s="544" t="s">
        <v>727</v>
      </c>
      <c r="B7" s="541"/>
      <c r="C7" s="1278"/>
      <c r="D7" s="1263"/>
      <c r="E7" s="1263"/>
      <c r="F7" s="1281"/>
      <c r="G7" s="1284"/>
      <c r="H7" s="1275"/>
      <c r="I7" s="1263"/>
      <c r="J7" s="1263"/>
      <c r="K7" s="1263"/>
      <c r="L7" s="1263"/>
      <c r="M7" s="1263"/>
      <c r="N7" s="962"/>
      <c r="O7" s="545"/>
      <c r="P7" s="946"/>
      <c r="Q7" s="947"/>
      <c r="S7" s="945"/>
      <c r="T7" s="945"/>
      <c r="U7" s="945"/>
    </row>
    <row r="8" spans="1:21" s="534" customFormat="1">
      <c r="A8" s="546" t="s">
        <v>251</v>
      </c>
      <c r="B8" s="547">
        <f>N29</f>
        <v>3946.5</v>
      </c>
      <c r="C8" s="548">
        <f>B48</f>
        <v>4642.9411764705883</v>
      </c>
      <c r="D8" s="549"/>
      <c r="E8" s="549">
        <f>E48</f>
        <v>0</v>
      </c>
      <c r="F8" s="550"/>
      <c r="G8" s="551"/>
      <c r="H8" s="549">
        <f>I48</f>
        <v>0</v>
      </c>
      <c r="I8" s="549">
        <f>G48+F48</f>
        <v>0</v>
      </c>
      <c r="J8" s="549">
        <f>H48+D48+C48</f>
        <v>0</v>
      </c>
      <c r="K8" s="549"/>
      <c r="L8" s="549"/>
      <c r="M8" s="549"/>
      <c r="N8" s="552"/>
      <c r="O8" s="553">
        <f>C8*$C$12+D8*$D$12+E8*$E$12+F8*$F$12+G8*$G$12+H8*$H$12+I8*$I$12+J8*$J$12</f>
        <v>937.87411764705894</v>
      </c>
      <c r="P8" s="1244"/>
      <c r="Q8" s="1245"/>
      <c r="S8" s="543"/>
      <c r="T8" s="1232"/>
      <c r="U8" s="1232"/>
    </row>
    <row r="9" spans="1:21" s="534" customFormat="1" ht="17.45" customHeight="1" thickBot="1">
      <c r="A9" s="554" t="s">
        <v>247</v>
      </c>
      <c r="B9" s="555">
        <f>N36+'Eigen informatie GS &amp; warmtenet'!B12</f>
        <v>0</v>
      </c>
      <c r="C9" s="556">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7">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7">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7">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7">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9"/>
      <c r="N9" s="970"/>
      <c r="O9" s="553">
        <f>C9*$C$12+D9*$D$12+E9*$E$12+F9*$F$12+G9*$G$12+H9*$H$12+I9*$I$12+J9*$J$12</f>
        <v>0</v>
      </c>
      <c r="P9" s="1246"/>
      <c r="Q9" s="1247"/>
      <c r="R9" s="560"/>
      <c r="S9" s="543"/>
      <c r="T9" s="1232"/>
      <c r="U9" s="1232"/>
    </row>
    <row r="10" spans="1:21" s="534" customFormat="1" ht="16.5" thickTop="1" thickBot="1">
      <c r="A10" s="561" t="s">
        <v>115</v>
      </c>
      <c r="B10" s="562">
        <f>SUM(B4:B9)</f>
        <v>11367.563248058797</v>
      </c>
      <c r="C10" s="563">
        <f t="shared" ref="C10:L10" si="0">SUM(C8:C9)</f>
        <v>4642.9411764705883</v>
      </c>
      <c r="D10" s="563">
        <f t="shared" si="0"/>
        <v>0</v>
      </c>
      <c r="E10" s="563">
        <f t="shared" si="0"/>
        <v>0</v>
      </c>
      <c r="F10" s="563">
        <f t="shared" si="0"/>
        <v>0</v>
      </c>
      <c r="G10" s="563">
        <f t="shared" si="0"/>
        <v>0</v>
      </c>
      <c r="H10" s="563">
        <f t="shared" si="0"/>
        <v>0</v>
      </c>
      <c r="I10" s="563">
        <f t="shared" si="0"/>
        <v>0</v>
      </c>
      <c r="J10" s="563">
        <f t="shared" si="0"/>
        <v>0</v>
      </c>
      <c r="K10" s="563">
        <f t="shared" si="0"/>
        <v>0</v>
      </c>
      <c r="L10" s="563">
        <f t="shared" si="0"/>
        <v>0</v>
      </c>
      <c r="M10" s="971"/>
      <c r="N10" s="971"/>
      <c r="O10" s="564">
        <f>SUM(O4:O9)</f>
        <v>937.87411764705894</v>
      </c>
      <c r="P10" s="565"/>
      <c r="R10" s="566"/>
      <c r="S10" s="543"/>
      <c r="T10" s="566"/>
      <c r="U10" s="566"/>
    </row>
    <row r="11" spans="1:21" s="569" customFormat="1" ht="15.75" thickTop="1">
      <c r="A11" s="567"/>
      <c r="B11" s="568"/>
      <c r="C11" s="568"/>
      <c r="D11" s="568"/>
      <c r="E11" s="568"/>
      <c r="F11" s="568"/>
      <c r="G11" s="568"/>
      <c r="H11" s="568"/>
      <c r="I11" s="568"/>
      <c r="J11" s="568"/>
      <c r="K11" s="568"/>
      <c r="L11" s="568"/>
      <c r="M11" s="568"/>
      <c r="N11" s="568"/>
      <c r="P11" s="568"/>
      <c r="R11" s="568"/>
    </row>
    <row r="12" spans="1:21" s="569" customFormat="1">
      <c r="A12" s="570" t="s">
        <v>289</v>
      </c>
      <c r="B12" s="571"/>
      <c r="C12" s="571">
        <f>EF_CO2_aardgas</f>
        <v>0.20200000000000001</v>
      </c>
      <c r="D12" s="571">
        <f>EF_VLgas_CO2</f>
        <v>0.22700000000000001</v>
      </c>
      <c r="E12" s="571">
        <f>EF_stookolie_CO2</f>
        <v>0.26700000000000002</v>
      </c>
      <c r="F12" s="571">
        <f>EF_bruinkool_CO2</f>
        <v>0.35099999999999998</v>
      </c>
      <c r="G12" s="571">
        <f>EF_steenkool_CO2</f>
        <v>0.35399999999999998</v>
      </c>
      <c r="H12" s="571">
        <f>'EF brandstof'!M4</f>
        <v>0.33</v>
      </c>
      <c r="I12" s="571">
        <f>'EF brandstof'!J4</f>
        <v>0</v>
      </c>
      <c r="J12" s="571">
        <f>'EF brandstof'!L4</f>
        <v>0</v>
      </c>
      <c r="K12" s="571">
        <f>'EF brandstof'!L4</f>
        <v>0</v>
      </c>
      <c r="L12" s="571"/>
      <c r="M12" s="571"/>
      <c r="N12" s="571"/>
      <c r="P12" s="572"/>
      <c r="Q12" s="572"/>
      <c r="R12" s="572"/>
    </row>
    <row r="13" spans="1:21" s="534" customFormat="1" ht="15.75" thickBot="1">
      <c r="A13" s="573"/>
      <c r="B13" s="572"/>
      <c r="C13" s="572"/>
      <c r="D13" s="572"/>
      <c r="E13" s="572"/>
      <c r="F13" s="572"/>
      <c r="G13" s="572"/>
      <c r="H13" s="572"/>
      <c r="I13" s="572"/>
      <c r="J13" s="572"/>
      <c r="K13" s="572"/>
      <c r="L13" s="572"/>
      <c r="M13" s="572"/>
      <c r="N13" s="572"/>
      <c r="O13" s="572"/>
      <c r="P13" s="572"/>
      <c r="Q13" s="572"/>
      <c r="R13" s="572"/>
    </row>
    <row r="14" spans="1:21" s="534" customFormat="1" ht="17.25" thickTop="1" thickBot="1">
      <c r="A14" s="1248" t="s">
        <v>252</v>
      </c>
      <c r="B14" s="1248" t="s">
        <v>253</v>
      </c>
      <c r="C14" s="1256" t="s">
        <v>254</v>
      </c>
      <c r="D14" s="1257"/>
      <c r="E14" s="1257"/>
      <c r="F14" s="1257"/>
      <c r="G14" s="1257"/>
      <c r="H14" s="1257"/>
      <c r="I14" s="1257"/>
      <c r="J14" s="1257"/>
      <c r="K14" s="1257"/>
      <c r="L14" s="1257"/>
      <c r="M14" s="1257"/>
      <c r="N14" s="1258"/>
      <c r="O14" s="1237" t="s">
        <v>243</v>
      </c>
      <c r="P14" s="1236" t="s">
        <v>255</v>
      </c>
      <c r="Q14" s="1237"/>
      <c r="R14" s="1235"/>
      <c r="S14" s="1235"/>
      <c r="T14" s="1235"/>
    </row>
    <row r="15" spans="1:21" s="534" customFormat="1" ht="15.75" customHeight="1" thickBot="1">
      <c r="A15" s="1249"/>
      <c r="B15" s="1249"/>
      <c r="C15" s="1251" t="s">
        <v>196</v>
      </c>
      <c r="D15" s="1252"/>
      <c r="E15" s="1252"/>
      <c r="F15" s="1252"/>
      <c r="G15" s="1253"/>
      <c r="H15" s="1254" t="s">
        <v>244</v>
      </c>
      <c r="I15" s="1254" t="s">
        <v>245</v>
      </c>
      <c r="J15" s="1254" t="s">
        <v>233</v>
      </c>
      <c r="K15" s="1254" t="s">
        <v>256</v>
      </c>
      <c r="L15" s="1254" t="s">
        <v>126</v>
      </c>
      <c r="M15" s="1254" t="s">
        <v>729</v>
      </c>
      <c r="N15" s="1259" t="s">
        <v>730</v>
      </c>
      <c r="O15" s="1239"/>
      <c r="P15" s="1238"/>
      <c r="Q15" s="1239"/>
      <c r="R15" s="1235"/>
      <c r="S15" s="1235"/>
      <c r="T15" s="1235"/>
    </row>
    <row r="16" spans="1:21" s="534" customFormat="1" ht="40.700000000000003" customHeight="1" thickBot="1">
      <c r="A16" s="1250"/>
      <c r="B16" s="1250"/>
      <c r="C16" s="574" t="s">
        <v>198</v>
      </c>
      <c r="D16" s="536" t="s">
        <v>199</v>
      </c>
      <c r="E16" s="575" t="s">
        <v>200</v>
      </c>
      <c r="F16" s="536" t="s">
        <v>202</v>
      </c>
      <c r="G16" s="576" t="s">
        <v>203</v>
      </c>
      <c r="H16" s="1255"/>
      <c r="I16" s="1255"/>
      <c r="J16" s="1255"/>
      <c r="K16" s="1255"/>
      <c r="L16" s="1255"/>
      <c r="M16" s="1255"/>
      <c r="N16" s="1260"/>
      <c r="O16" s="1241"/>
      <c r="P16" s="1240"/>
      <c r="Q16" s="1241"/>
      <c r="R16" s="1235"/>
      <c r="S16" s="1235"/>
      <c r="T16" s="1235"/>
    </row>
    <row r="17" spans="1:26" s="534" customFormat="1" ht="15.75" thickTop="1">
      <c r="A17" s="577" t="s">
        <v>251</v>
      </c>
      <c r="B17" s="578">
        <f>O29</f>
        <v>5637.8571428571431</v>
      </c>
      <c r="C17" s="579">
        <f>B49</f>
        <v>6632.7731092436979</v>
      </c>
      <c r="D17" s="580"/>
      <c r="E17" s="580">
        <f>E49</f>
        <v>0</v>
      </c>
      <c r="F17" s="581"/>
      <c r="G17" s="582"/>
      <c r="H17" s="579">
        <f>I49</f>
        <v>0</v>
      </c>
      <c r="I17" s="580">
        <f>G49+F49</f>
        <v>0</v>
      </c>
      <c r="J17" s="580">
        <f>H49+D49+C49</f>
        <v>0</v>
      </c>
      <c r="K17" s="580"/>
      <c r="L17" s="580"/>
      <c r="M17" s="580"/>
      <c r="N17" s="972"/>
      <c r="O17" s="583">
        <f>C17*$C$22+E17*$E$22+H17*$H$22+I17*$I$22+J17*$J$22+D17*$D$22+F17*$F$22+G17*$G$22+K17*$K$22+L17*$L$22</f>
        <v>1339.8201680672271</v>
      </c>
      <c r="P17" s="1227"/>
      <c r="Q17" s="1228"/>
      <c r="R17" s="584"/>
      <c r="S17" s="1229"/>
      <c r="T17" s="1229"/>
    </row>
    <row r="18" spans="1:26" s="534" customFormat="1">
      <c r="A18" s="585" t="s">
        <v>257</v>
      </c>
      <c r="B18" s="586">
        <f>'Eigen informatie GS &amp; warmtenet'!B32</f>
        <v>0</v>
      </c>
      <c r="C18" s="549">
        <f>'Eigen informatie GS &amp; warmtenet'!B35</f>
        <v>0</v>
      </c>
      <c r="D18" s="549">
        <f>'Eigen informatie GS &amp; warmtenet'!B36</f>
        <v>0</v>
      </c>
      <c r="E18" s="549">
        <f>'Eigen informatie GS &amp; warmtenet'!B37</f>
        <v>0</v>
      </c>
      <c r="F18" s="549">
        <f>'Eigen informatie GS &amp; warmtenet'!B38</f>
        <v>0</v>
      </c>
      <c r="G18" s="549">
        <f>'Eigen informatie GS &amp; warmtenet'!B39</f>
        <v>0</v>
      </c>
      <c r="H18" s="549">
        <f>'Eigen informatie GS &amp; warmtenet'!B40</f>
        <v>0</v>
      </c>
      <c r="I18" s="549">
        <f>'Eigen informatie GS &amp; warmtenet'!B41</f>
        <v>0</v>
      </c>
      <c r="J18" s="549">
        <f>'Eigen informatie GS &amp; warmtenet'!B42</f>
        <v>0</v>
      </c>
      <c r="K18" s="549">
        <f>'Eigen informatie GS &amp; warmtenet'!B43</f>
        <v>0</v>
      </c>
      <c r="L18" s="549">
        <f>'Eigen informatie GS &amp; warmtenet'!B44</f>
        <v>0</v>
      </c>
      <c r="M18" s="549">
        <f>'Eigen informatie GS &amp; warmtenet'!B45</f>
        <v>0</v>
      </c>
      <c r="N18" s="549">
        <f>'Eigen informatie GS &amp; warmtenet'!B46</f>
        <v>0</v>
      </c>
      <c r="O18" s="583">
        <f>C18*$C$22+E18*$E$22+H18*$H$22+I18*$I$22+J18*$J$22+D18*$D$22+F18*$F$22+G18*$G$22+K18*$K$22+L18*$L$22</f>
        <v>0</v>
      </c>
      <c r="P18" s="1230"/>
      <c r="Q18" s="1231"/>
      <c r="R18" s="543"/>
      <c r="S18" s="1232"/>
      <c r="T18" s="1232"/>
    </row>
    <row r="19" spans="1:26" s="534" customFormat="1" ht="15.75" thickBot="1">
      <c r="A19" s="554"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4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49"/>
      <c r="N19" s="973"/>
      <c r="O19" s="583">
        <f>C19*$C$22+E19*$E$22+H19*$H$22+I19*$I$22+J19*$J$22+D19*$D$22+F19*$F$22+G19*$G$22+K19*$K$22+L19*$L$22</f>
        <v>0</v>
      </c>
      <c r="P19" s="1233"/>
      <c r="Q19" s="1234"/>
      <c r="R19" s="543"/>
      <c r="S19" s="1232"/>
      <c r="T19" s="1232"/>
    </row>
    <row r="20" spans="1:26" s="534" customFormat="1" ht="16.5" thickTop="1" thickBot="1">
      <c r="A20" s="561" t="s">
        <v>115</v>
      </c>
      <c r="B20" s="562">
        <f>SUM(B17:B19)</f>
        <v>5637.8571428571431</v>
      </c>
      <c r="C20" s="562">
        <f>SUM(C17:C19)</f>
        <v>6632.7731092436979</v>
      </c>
      <c r="D20" s="562">
        <f t="shared" ref="D20:L20" si="1">SUM(D17:D19)</f>
        <v>0</v>
      </c>
      <c r="E20" s="562">
        <f t="shared" si="1"/>
        <v>0</v>
      </c>
      <c r="F20" s="562">
        <f t="shared" si="1"/>
        <v>0</v>
      </c>
      <c r="G20" s="562">
        <f t="shared" si="1"/>
        <v>0</v>
      </c>
      <c r="H20" s="562">
        <f t="shared" si="1"/>
        <v>0</v>
      </c>
      <c r="I20" s="562">
        <f t="shared" si="1"/>
        <v>0</v>
      </c>
      <c r="J20" s="562">
        <f t="shared" si="1"/>
        <v>0</v>
      </c>
      <c r="K20" s="562">
        <f t="shared" si="1"/>
        <v>0</v>
      </c>
      <c r="L20" s="562">
        <f t="shared" si="1"/>
        <v>0</v>
      </c>
      <c r="M20" s="562"/>
      <c r="N20" s="562"/>
      <c r="O20" s="588">
        <f>SUM(O17:O19)</f>
        <v>1339.8201680672271</v>
      </c>
      <c r="P20" s="1224"/>
      <c r="Q20" s="1225"/>
      <c r="R20" s="543"/>
      <c r="S20" s="1226"/>
      <c r="T20" s="1226"/>
    </row>
    <row r="21" spans="1:26" s="534" customFormat="1" ht="15.75" thickTop="1">
      <c r="A21" s="584"/>
      <c r="B21" s="543"/>
      <c r="C21" s="543"/>
      <c r="D21" s="543"/>
      <c r="E21" s="543"/>
      <c r="F21" s="543"/>
      <c r="G21" s="543"/>
      <c r="H21" s="543"/>
      <c r="I21" s="543"/>
      <c r="J21" s="543"/>
      <c r="K21" s="543"/>
      <c r="L21" s="543"/>
      <c r="M21" s="945"/>
      <c r="N21" s="945"/>
      <c r="O21" s="543"/>
      <c r="P21" s="566"/>
      <c r="Q21" s="566"/>
      <c r="R21" s="543"/>
      <c r="S21" s="566"/>
      <c r="T21" s="566"/>
    </row>
    <row r="22" spans="1:26" s="569" customFormat="1">
      <c r="A22" s="570" t="s">
        <v>289</v>
      </c>
      <c r="B22" s="571"/>
      <c r="C22" s="571">
        <f>EF_CO2_aardgas</f>
        <v>0.20200000000000001</v>
      </c>
      <c r="D22" s="571">
        <f>EF_VLgas_CO2</f>
        <v>0.22700000000000001</v>
      </c>
      <c r="E22" s="571">
        <f>EF_stookolie_CO2</f>
        <v>0.26700000000000002</v>
      </c>
      <c r="F22" s="571">
        <f>EF_bruinkool_CO2</f>
        <v>0.35099999999999998</v>
      </c>
      <c r="G22" s="571">
        <f>EF_steenkool_CO2</f>
        <v>0.35399999999999998</v>
      </c>
      <c r="H22" s="571">
        <f>'EF brandstof'!M4</f>
        <v>0.33</v>
      </c>
      <c r="I22" s="571">
        <f>'EF brandstof'!J4</f>
        <v>0</v>
      </c>
      <c r="J22" s="571">
        <f>'EF brandstof'!L4</f>
        <v>0</v>
      </c>
      <c r="K22" s="571">
        <f>'EF brandstof'!L4</f>
        <v>0</v>
      </c>
      <c r="L22" s="571"/>
      <c r="M22" s="571"/>
      <c r="N22" s="571"/>
      <c r="O22" s="572"/>
      <c r="P22" s="572"/>
      <c r="Q22" s="572"/>
      <c r="R22" s="572"/>
      <c r="S22" s="534"/>
    </row>
    <row r="23" spans="1:26" s="569" customFormat="1">
      <c r="A23" s="573"/>
      <c r="B23" s="572"/>
      <c r="C23" s="572"/>
      <c r="D23" s="572"/>
      <c r="E23" s="572"/>
      <c r="F23" s="572"/>
      <c r="G23" s="572"/>
      <c r="H23" s="572"/>
      <c r="I23" s="572"/>
      <c r="J23" s="572"/>
      <c r="K23" s="572"/>
      <c r="L23" s="572"/>
      <c r="M23" s="572"/>
      <c r="N23" s="572"/>
      <c r="O23" s="572"/>
      <c r="P23" s="572"/>
      <c r="Q23" s="572"/>
      <c r="R23" s="572"/>
      <c r="S23" s="534"/>
    </row>
    <row r="24" spans="1:26" s="569" customFormat="1">
      <c r="A24" s="573"/>
      <c r="B24" s="572"/>
      <c r="C24" s="572"/>
      <c r="D24" s="589"/>
      <c r="E24" s="589"/>
      <c r="F24" s="589"/>
      <c r="G24" s="572"/>
      <c r="H24" s="572"/>
      <c r="I24" s="572"/>
      <c r="J24" s="572"/>
      <c r="K24" s="572"/>
      <c r="L24" s="572"/>
      <c r="M24" s="572"/>
      <c r="N24" s="572"/>
      <c r="O24" s="572"/>
      <c r="P24" s="572"/>
      <c r="Q24" s="572"/>
      <c r="R24" s="572"/>
    </row>
    <row r="25" spans="1:26" s="569" customFormat="1">
      <c r="A25" s="573"/>
      <c r="B25" s="572"/>
      <c r="C25" s="572"/>
      <c r="D25" s="589"/>
      <c r="E25" s="589"/>
      <c r="F25" s="589"/>
      <c r="G25" s="572"/>
      <c r="H25" s="572"/>
      <c r="I25" s="572"/>
      <c r="J25" s="572"/>
      <c r="K25" s="572"/>
      <c r="L25" s="572"/>
      <c r="M25" s="572"/>
      <c r="N25" s="572"/>
      <c r="O25" s="572"/>
      <c r="P25" s="572"/>
      <c r="Q25" s="572"/>
      <c r="R25" s="572"/>
    </row>
    <row r="26" spans="1:26" s="534" customFormat="1" ht="15.75" thickBot="1">
      <c r="B26" s="589"/>
      <c r="C26" s="589"/>
      <c r="D26" s="589"/>
      <c r="E26" s="589"/>
      <c r="F26" s="589"/>
      <c r="G26" s="589"/>
      <c r="H26" s="589"/>
      <c r="I26" s="589"/>
      <c r="J26" s="589"/>
      <c r="K26" s="589"/>
      <c r="L26" s="589"/>
      <c r="M26" s="589"/>
      <c r="N26" s="589"/>
      <c r="O26" s="589"/>
      <c r="P26" s="589"/>
      <c r="Q26" s="590"/>
      <c r="R26" s="590"/>
    </row>
    <row r="27" spans="1:26" s="53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524</v>
      </c>
      <c r="Q27" s="637" t="s">
        <v>102</v>
      </c>
      <c r="R27" s="637" t="s">
        <v>103</v>
      </c>
      <c r="S27" s="637" t="s">
        <v>104</v>
      </c>
      <c r="T27" s="637" t="s">
        <v>105</v>
      </c>
      <c r="U27" s="637" t="s">
        <v>106</v>
      </c>
      <c r="V27" s="637" t="s">
        <v>107</v>
      </c>
      <c r="W27" s="636" t="s">
        <v>108</v>
      </c>
      <c r="X27" s="636" t="s">
        <v>298</v>
      </c>
      <c r="Y27" s="636" t="s">
        <v>109</v>
      </c>
      <c r="Z27" s="638" t="s">
        <v>299</v>
      </c>
    </row>
    <row r="28" spans="1:26" s="593" customFormat="1" ht="25.5">
      <c r="A28" s="592"/>
      <c r="B28" s="791">
        <v>42010</v>
      </c>
      <c r="C28" s="791">
        <v>9270</v>
      </c>
      <c r="D28" s="640" t="s">
        <v>888</v>
      </c>
      <c r="E28" s="639" t="s">
        <v>889</v>
      </c>
      <c r="F28" s="639" t="s">
        <v>890</v>
      </c>
      <c r="G28" s="639" t="s">
        <v>891</v>
      </c>
      <c r="H28" s="639" t="s">
        <v>892</v>
      </c>
      <c r="I28" s="639" t="s">
        <v>889</v>
      </c>
      <c r="J28" s="790">
        <v>40081</v>
      </c>
      <c r="K28" s="790">
        <v>40084</v>
      </c>
      <c r="L28" s="639" t="s">
        <v>893</v>
      </c>
      <c r="M28" s="639">
        <v>877</v>
      </c>
      <c r="N28" s="639">
        <v>3946.5</v>
      </c>
      <c r="O28" s="639">
        <v>5637.8571428571431</v>
      </c>
      <c r="P28" s="639">
        <v>11275.714285714286</v>
      </c>
      <c r="Q28" s="639">
        <v>0</v>
      </c>
      <c r="R28" s="639">
        <v>0</v>
      </c>
      <c r="S28" s="639">
        <v>0</v>
      </c>
      <c r="T28" s="639">
        <v>0</v>
      </c>
      <c r="U28" s="639">
        <v>0</v>
      </c>
      <c r="V28" s="639">
        <v>0</v>
      </c>
      <c r="W28" s="639">
        <v>0</v>
      </c>
      <c r="X28" s="639">
        <v>10</v>
      </c>
      <c r="Y28" s="639" t="s">
        <v>111</v>
      </c>
      <c r="Z28" s="641" t="s">
        <v>111</v>
      </c>
    </row>
    <row r="29" spans="1:26" s="573" customFormat="1">
      <c r="A29" s="595" t="s">
        <v>279</v>
      </c>
      <c r="B29" s="596"/>
      <c r="C29" s="596"/>
      <c r="D29" s="596"/>
      <c r="E29" s="596"/>
      <c r="F29" s="596"/>
      <c r="G29" s="596"/>
      <c r="H29" s="596"/>
      <c r="I29" s="596"/>
      <c r="J29" s="596"/>
      <c r="K29" s="596"/>
      <c r="L29" s="597"/>
      <c r="M29" s="597">
        <f>SUM(M28:M28)</f>
        <v>877</v>
      </c>
      <c r="N29" s="597">
        <f>SUM(N28:N28)</f>
        <v>3946.5</v>
      </c>
      <c r="O29" s="597">
        <f>SUM(O28:O28)</f>
        <v>5637.8571428571431</v>
      </c>
      <c r="P29" s="597">
        <f>SUM(P28:P28)</f>
        <v>11275.714285714286</v>
      </c>
      <c r="Q29" s="597">
        <f>SUM(Q28:Q28)</f>
        <v>0</v>
      </c>
      <c r="R29" s="597">
        <f>SUM(R28:R28)</f>
        <v>0</v>
      </c>
      <c r="S29" s="597">
        <f>SUM(S28:S28)</f>
        <v>0</v>
      </c>
      <c r="T29" s="597">
        <f>SUM(T28:T28)</f>
        <v>0</v>
      </c>
      <c r="U29" s="597">
        <f>SUM(U28:U28)</f>
        <v>0</v>
      </c>
      <c r="V29" s="597">
        <f>SUM(V28:V28)</f>
        <v>0</v>
      </c>
      <c r="W29" s="597">
        <f>SUM(W28:W28)</f>
        <v>0</v>
      </c>
      <c r="X29" s="598"/>
      <c r="Y29" s="598"/>
      <c r="Z29" s="599"/>
    </row>
    <row r="30" spans="1:26" s="573" customFormat="1">
      <c r="A30" s="595" t="s">
        <v>286</v>
      </c>
      <c r="B30" s="596"/>
      <c r="C30" s="596"/>
      <c r="D30" s="596"/>
      <c r="E30" s="596"/>
      <c r="F30" s="596"/>
      <c r="G30" s="596"/>
      <c r="H30" s="596"/>
      <c r="I30" s="596"/>
      <c r="J30" s="596"/>
      <c r="K30" s="596"/>
      <c r="L30" s="597"/>
      <c r="M30" s="597">
        <f>SUMIF($Z$28:$Z$28,"industrie",M28:M28)</f>
        <v>0</v>
      </c>
      <c r="N30" s="597">
        <f>SUMIF($Z$28:$Z$28,"industrie",N28:N28)</f>
        <v>0</v>
      </c>
      <c r="O30" s="597">
        <f>SUMIF($Z$28:$Z$28,"industrie",O28:O28)</f>
        <v>0</v>
      </c>
      <c r="P30" s="597">
        <f>SUMIF($Z$28:$Z$28,"industrie",P28:P28)</f>
        <v>0</v>
      </c>
      <c r="Q30" s="597">
        <f>SUMIF($Z$28:$Z$28,"industrie",Q28:Q28)</f>
        <v>0</v>
      </c>
      <c r="R30" s="597">
        <f>SUMIF($Z$28:$Z$28,"industrie",R28:R28)</f>
        <v>0</v>
      </c>
      <c r="S30" s="597">
        <f>SUMIF($Z$28:$Z$28,"industrie",S28:S28)</f>
        <v>0</v>
      </c>
      <c r="T30" s="597">
        <f>SUMIF($Z$28:$Z$28,"industrie",T28:T28)</f>
        <v>0</v>
      </c>
      <c r="U30" s="597">
        <f>SUMIF($Z$28:$Z$28,"industrie",U28:U28)</f>
        <v>0</v>
      </c>
      <c r="V30" s="597">
        <f>SUMIF($Z$28:$Z$28,"industrie",V28:V28)</f>
        <v>0</v>
      </c>
      <c r="W30" s="597">
        <f>SUMIF($Z$28:$Z$28,"industrie",W28:W28)</f>
        <v>0</v>
      </c>
      <c r="X30" s="598"/>
      <c r="Y30" s="598"/>
      <c r="Z30" s="599"/>
    </row>
    <row r="31" spans="1:26" s="573" customFormat="1">
      <c r="A31" s="595" t="s">
        <v>287</v>
      </c>
      <c r="B31" s="596"/>
      <c r="C31" s="596"/>
      <c r="D31" s="596"/>
      <c r="E31" s="596"/>
      <c r="F31" s="596"/>
      <c r="G31" s="596"/>
      <c r="H31" s="596"/>
      <c r="I31" s="596"/>
      <c r="J31" s="596"/>
      <c r="K31" s="596"/>
      <c r="L31" s="597"/>
      <c r="M31" s="597">
        <f ca="1">SUMIF($Z$28:AC28,"tertiair",M28:M28)</f>
        <v>0</v>
      </c>
      <c r="N31" s="597">
        <f ca="1">SUMIF($Z$28:AD28,"tertiair",N28:N28)</f>
        <v>0</v>
      </c>
      <c r="O31" s="597">
        <f ca="1">SUMIF($Z$28:AE28,"tertiair",O28:O28)</f>
        <v>0</v>
      </c>
      <c r="P31" s="597">
        <f ca="1">SUMIF($Z$28:AF28,"tertiair",P28:P28)</f>
        <v>0</v>
      </c>
      <c r="Q31" s="597">
        <f ca="1">SUMIF($Z$28:AG28,"tertiair",Q28:Q28)</f>
        <v>0</v>
      </c>
      <c r="R31" s="597">
        <f ca="1">SUMIF($Z$28:AH28,"tertiair",R28:R28)</f>
        <v>0</v>
      </c>
      <c r="S31" s="597">
        <f ca="1">SUMIF($Z$28:AI28,"tertiair",S28:S28)</f>
        <v>0</v>
      </c>
      <c r="T31" s="597">
        <f ca="1">SUMIF($Z$28:AJ28,"tertiair",T28:T28)</f>
        <v>0</v>
      </c>
      <c r="U31" s="597">
        <f ca="1">SUMIF($Z$28:AK28,"tertiair",U28:U28)</f>
        <v>0</v>
      </c>
      <c r="V31" s="597">
        <f ca="1">SUMIF($Z$28:AL28,"tertiair",V28:V28)</f>
        <v>0</v>
      </c>
      <c r="W31" s="597">
        <f ca="1">SUMIF($Z$28:AM28,"tertiair",W28:W28)</f>
        <v>0</v>
      </c>
      <c r="X31" s="598"/>
      <c r="Y31" s="598"/>
      <c r="Z31" s="599"/>
    </row>
    <row r="32" spans="1:26" s="573" customFormat="1" ht="15.75" thickBot="1">
      <c r="A32" s="600" t="s">
        <v>288</v>
      </c>
      <c r="B32" s="601"/>
      <c r="C32" s="601"/>
      <c r="D32" s="601"/>
      <c r="E32" s="601"/>
      <c r="F32" s="601"/>
      <c r="G32" s="601"/>
      <c r="H32" s="601"/>
      <c r="I32" s="601"/>
      <c r="J32" s="601"/>
      <c r="K32" s="601"/>
      <c r="L32" s="602"/>
      <c r="M32" s="602">
        <f>SUMIF($Z$28:$Z$28,"landbouw",M28:M28)</f>
        <v>877</v>
      </c>
      <c r="N32" s="602">
        <f>SUMIF($Z$28:$Z$28,"landbouw",N28:N28)</f>
        <v>3946.5</v>
      </c>
      <c r="O32" s="602">
        <f>SUMIF($Z$28:$Z$28,"landbouw",O28:O28)</f>
        <v>5637.8571428571431</v>
      </c>
      <c r="P32" s="602">
        <f>SUMIF($Z$28:$Z$28,"landbouw",P28:P28)</f>
        <v>11275.714285714286</v>
      </c>
      <c r="Q32" s="602">
        <f>SUMIF($Z$28:$Z$28,"landbouw",Q28:Q28)</f>
        <v>0</v>
      </c>
      <c r="R32" s="602">
        <f>SUMIF($Z$28:$Z$28,"landbouw",R28:R28)</f>
        <v>0</v>
      </c>
      <c r="S32" s="602">
        <f>SUMIF($Z$28:$Z$28,"landbouw",S28:S28)</f>
        <v>0</v>
      </c>
      <c r="T32" s="602">
        <f>SUMIF($Z$28:$Z$28,"landbouw",T28:T28)</f>
        <v>0</v>
      </c>
      <c r="U32" s="602">
        <f>SUMIF($Z$28:$Z$28,"landbouw",U28:U28)</f>
        <v>0</v>
      </c>
      <c r="V32" s="602">
        <f>SUMIF($Z$28:$Z$28,"landbouw",V28:V28)</f>
        <v>0</v>
      </c>
      <c r="W32" s="602">
        <f>SUMIF($Z$28:$Z$28,"landbouw",W28:W28)</f>
        <v>0</v>
      </c>
      <c r="X32" s="603"/>
      <c r="Y32" s="603"/>
      <c r="Z32" s="604"/>
    </row>
    <row r="33" spans="1:27" s="534" customFormat="1" ht="15.75" thickBot="1">
      <c r="A33" s="605"/>
      <c r="B33" s="606"/>
      <c r="C33" s="606"/>
      <c r="D33" s="606"/>
      <c r="E33" s="606"/>
      <c r="F33" s="606"/>
      <c r="G33" s="606"/>
      <c r="H33" s="606"/>
      <c r="I33" s="606"/>
      <c r="J33" s="606"/>
      <c r="K33" s="606"/>
      <c r="L33" s="589"/>
      <c r="M33" s="589"/>
      <c r="N33" s="589"/>
      <c r="O33" s="590"/>
      <c r="P33" s="590"/>
    </row>
    <row r="34" spans="1:27" s="534" customFormat="1" ht="45">
      <c r="A34" s="607" t="s">
        <v>280</v>
      </c>
      <c r="B34" s="636" t="s">
        <v>89</v>
      </c>
      <c r="C34" s="636" t="s">
        <v>90</v>
      </c>
      <c r="D34" s="636" t="s">
        <v>91</v>
      </c>
      <c r="E34" s="636" t="s">
        <v>92</v>
      </c>
      <c r="F34" s="636" t="s">
        <v>93</v>
      </c>
      <c r="G34" s="636" t="s">
        <v>94</v>
      </c>
      <c r="H34" s="636" t="s">
        <v>95</v>
      </c>
      <c r="I34" s="636" t="s">
        <v>96</v>
      </c>
      <c r="J34" s="636" t="s">
        <v>97</v>
      </c>
      <c r="K34" s="636" t="s">
        <v>98</v>
      </c>
      <c r="L34" s="636" t="s">
        <v>99</v>
      </c>
      <c r="M34" s="637" t="s">
        <v>297</v>
      </c>
      <c r="N34" s="637" t="s">
        <v>100</v>
      </c>
      <c r="O34" s="637" t="s">
        <v>101</v>
      </c>
      <c r="P34" s="637" t="s">
        <v>524</v>
      </c>
      <c r="Q34" s="637" t="s">
        <v>102</v>
      </c>
      <c r="R34" s="637" t="s">
        <v>103</v>
      </c>
      <c r="S34" s="637" t="s">
        <v>104</v>
      </c>
      <c r="T34" s="637" t="s">
        <v>105</v>
      </c>
      <c r="U34" s="637" t="s">
        <v>106</v>
      </c>
      <c r="V34" s="637" t="s">
        <v>107</v>
      </c>
      <c r="W34" s="636" t="s">
        <v>108</v>
      </c>
      <c r="X34" s="636" t="s">
        <v>298</v>
      </c>
      <c r="Y34" s="636" t="s">
        <v>109</v>
      </c>
      <c r="Z34" s="638" t="s">
        <v>299</v>
      </c>
    </row>
    <row r="35" spans="1:27" s="608" customFormat="1" ht="12.75">
      <c r="A35" s="594"/>
      <c r="B35" s="791"/>
      <c r="C35" s="791"/>
      <c r="D35" s="642"/>
      <c r="E35" s="642"/>
      <c r="F35" s="642"/>
      <c r="G35" s="642"/>
      <c r="H35" s="642"/>
      <c r="I35" s="642"/>
      <c r="J35" s="790"/>
      <c r="K35" s="790"/>
      <c r="L35" s="642"/>
      <c r="M35" s="642"/>
      <c r="N35" s="642"/>
      <c r="O35" s="642"/>
      <c r="P35" s="642"/>
      <c r="Q35" s="642"/>
      <c r="R35" s="642"/>
      <c r="S35" s="642"/>
      <c r="T35" s="642"/>
      <c r="U35" s="642"/>
      <c r="V35" s="642"/>
      <c r="W35" s="642"/>
      <c r="X35" s="642"/>
      <c r="Y35" s="642"/>
      <c r="Z35" s="643"/>
    </row>
    <row r="36" spans="1:27" s="573" customFormat="1">
      <c r="A36" s="595" t="s">
        <v>279</v>
      </c>
      <c r="B36" s="596"/>
      <c r="C36" s="596"/>
      <c r="D36" s="596"/>
      <c r="E36" s="596"/>
      <c r="F36" s="596"/>
      <c r="G36" s="596"/>
      <c r="H36" s="596"/>
      <c r="I36" s="596"/>
      <c r="J36" s="596"/>
      <c r="K36" s="596"/>
      <c r="L36" s="597"/>
      <c r="M36" s="597">
        <f>SUM(M35:M35)</f>
        <v>0</v>
      </c>
      <c r="N36" s="597">
        <f>SUM(N35:N35)</f>
        <v>0</v>
      </c>
      <c r="O36" s="597">
        <f>SUM(O35:O35)</f>
        <v>0</v>
      </c>
      <c r="P36" s="597">
        <f>SUM(P35:P35)</f>
        <v>0</v>
      </c>
      <c r="Q36" s="597">
        <f>SUM(Q35:Q35)</f>
        <v>0</v>
      </c>
      <c r="R36" s="597">
        <f>SUM(R35:R35)</f>
        <v>0</v>
      </c>
      <c r="S36" s="597">
        <f>SUM(S35:S35)</f>
        <v>0</v>
      </c>
      <c r="T36" s="597">
        <f>SUM(T35:T35)</f>
        <v>0</v>
      </c>
      <c r="U36" s="597">
        <f>SUM(U35:U35)</f>
        <v>0</v>
      </c>
      <c r="V36" s="597">
        <f>SUM(V35:V35)</f>
        <v>0</v>
      </c>
      <c r="W36" s="597">
        <f>SUM(W35:W35)</f>
        <v>0</v>
      </c>
      <c r="X36" s="598"/>
      <c r="Y36" s="598"/>
      <c r="Z36" s="599"/>
    </row>
    <row r="37" spans="1:27" s="573" customFormat="1">
      <c r="A37" s="595" t="s">
        <v>286</v>
      </c>
      <c r="B37" s="596"/>
      <c r="C37" s="596"/>
      <c r="D37" s="596"/>
      <c r="E37" s="596"/>
      <c r="F37" s="596"/>
      <c r="G37" s="596"/>
      <c r="H37" s="596"/>
      <c r="I37" s="596"/>
      <c r="J37" s="596"/>
      <c r="K37" s="596"/>
      <c r="L37" s="597"/>
      <c r="M37" s="597">
        <f>SUMIF($Z$35:$Z$35,"industrie",M35:M35)</f>
        <v>0</v>
      </c>
      <c r="N37" s="597">
        <f>SUMIF($Z$35:$Z$35,"industrie",N35:N35)</f>
        <v>0</v>
      </c>
      <c r="O37" s="597">
        <f>SUMIF($Z$35:$Z$35,"industrie",O35:O35)</f>
        <v>0</v>
      </c>
      <c r="P37" s="597">
        <f>SUMIF($Z$35:$Z$35,"industrie",P35:P35)</f>
        <v>0</v>
      </c>
      <c r="Q37" s="597">
        <f>SUMIF($Z$35:$Z$35,"industrie",Q35:Q35)</f>
        <v>0</v>
      </c>
      <c r="R37" s="597">
        <f>SUMIF($Z$35:$Z$35,"industrie",R35:R35)</f>
        <v>0</v>
      </c>
      <c r="S37" s="597">
        <f>SUMIF($Z$35:$Z$35,"industrie",S35:S35)</f>
        <v>0</v>
      </c>
      <c r="T37" s="597">
        <f>SUMIF($Z$35:$Z$35,"industrie",T35:T35)</f>
        <v>0</v>
      </c>
      <c r="U37" s="597">
        <f>SUMIF($Z$35:$Z$35,"industrie",U35:U35)</f>
        <v>0</v>
      </c>
      <c r="V37" s="597">
        <f>SUMIF($Z$35:$Z$35,"industrie",V35:V35)</f>
        <v>0</v>
      </c>
      <c r="W37" s="597">
        <f>SUMIF($Z$35:$Z$35,"industrie",W35:W35)</f>
        <v>0</v>
      </c>
      <c r="X37" s="598"/>
      <c r="Y37" s="598"/>
      <c r="Z37" s="599"/>
    </row>
    <row r="38" spans="1:27" s="573" customFormat="1">
      <c r="A38" s="595" t="s">
        <v>287</v>
      </c>
      <c r="B38" s="596"/>
      <c r="C38" s="596"/>
      <c r="D38" s="596"/>
      <c r="E38" s="596"/>
      <c r="F38" s="596"/>
      <c r="G38" s="596"/>
      <c r="H38" s="596"/>
      <c r="I38" s="596"/>
      <c r="J38" s="596"/>
      <c r="K38" s="596"/>
      <c r="L38" s="597"/>
      <c r="M38" s="597">
        <f>SUMIF($Z$35:$Z$36,"tertiair",M35:M36)</f>
        <v>0</v>
      </c>
      <c r="N38" s="597">
        <f>SUMIF($Z$35:$Z$36,"tertiair",N35:N36)</f>
        <v>0</v>
      </c>
      <c r="O38" s="597">
        <f>SUMIF($Z$35:$Z$36,"tertiair",O35:O36)</f>
        <v>0</v>
      </c>
      <c r="P38" s="597">
        <f>SUMIF($Z$35:$Z$36,"tertiair",P35:P36)</f>
        <v>0</v>
      </c>
      <c r="Q38" s="597">
        <f>SUMIF($Z$35:$Z$36,"tertiair",Q35:Q36)</f>
        <v>0</v>
      </c>
      <c r="R38" s="597">
        <f>SUMIF($Z$35:$Z$36,"tertiair",R35:R36)</f>
        <v>0</v>
      </c>
      <c r="S38" s="597">
        <f>SUMIF($Z$35:$Z$36,"tertiair",S35:S36)</f>
        <v>0</v>
      </c>
      <c r="T38" s="597">
        <f>SUMIF($Z$35:$Z$36,"tertiair",T35:T36)</f>
        <v>0</v>
      </c>
      <c r="U38" s="597">
        <f>SUMIF($Z$35:$Z$36,"tertiair",U35:U36)</f>
        <v>0</v>
      </c>
      <c r="V38" s="597">
        <f>SUMIF($Z$35:$Z$36,"tertiair",V35:V36)</f>
        <v>0</v>
      </c>
      <c r="W38" s="597">
        <f>SUMIF($Z$35:$Z$36,"tertiair",W35:W36)</f>
        <v>0</v>
      </c>
      <c r="X38" s="598"/>
      <c r="Y38" s="598"/>
      <c r="Z38" s="599"/>
    </row>
    <row r="39" spans="1:27" s="573" customFormat="1" ht="15.75" thickBot="1">
      <c r="A39" s="600" t="s">
        <v>288</v>
      </c>
      <c r="B39" s="601"/>
      <c r="C39" s="601"/>
      <c r="D39" s="601"/>
      <c r="E39" s="601"/>
      <c r="F39" s="601"/>
      <c r="G39" s="601"/>
      <c r="H39" s="601"/>
      <c r="I39" s="601"/>
      <c r="J39" s="601"/>
      <c r="K39" s="601"/>
      <c r="L39" s="602"/>
      <c r="M39" s="602">
        <f>SUMIF($Z$35:$Z$37,"landbouw",M35:M37)</f>
        <v>0</v>
      </c>
      <c r="N39" s="602">
        <f>SUMIF($Z$35:$Z$37,"landbouw",N35:N37)</f>
        <v>0</v>
      </c>
      <c r="O39" s="602">
        <f>SUMIF($Z$35:$Z$37,"landbouw",O35:O37)</f>
        <v>0</v>
      </c>
      <c r="P39" s="602">
        <f>SUMIF($Z$35:$Z$37,"landbouw",P35:P37)</f>
        <v>0</v>
      </c>
      <c r="Q39" s="602">
        <f>SUMIF($Z$35:$Z$37,"landbouw",Q35:Q37)</f>
        <v>0</v>
      </c>
      <c r="R39" s="602">
        <f>SUMIF($Z$35:$Z$37,"landbouw",R35:R37)</f>
        <v>0</v>
      </c>
      <c r="S39" s="602">
        <f>SUMIF($Z$35:$Z$37,"landbouw",S35:S37)</f>
        <v>0</v>
      </c>
      <c r="T39" s="602">
        <f>SUMIF($Z$35:$Z$37,"landbouw",T35:T37)</f>
        <v>0</v>
      </c>
      <c r="U39" s="602">
        <f>SUMIF($Z$35:$Z$37,"landbouw",U35:U37)</f>
        <v>0</v>
      </c>
      <c r="V39" s="602">
        <f>SUMIF($Z$35:$Z$37,"landbouw",V35:V37)</f>
        <v>0</v>
      </c>
      <c r="W39" s="602">
        <f>SUMIF($Z$35:$Z$37,"landbouw",W35:W37)</f>
        <v>0</v>
      </c>
      <c r="X39" s="603"/>
      <c r="Y39" s="603"/>
      <c r="Z39" s="604"/>
    </row>
    <row r="40" spans="1:27" s="609" customFormat="1">
      <c r="A40" s="605"/>
      <c r="B40" s="589"/>
      <c r="C40" s="589"/>
      <c r="D40" s="589"/>
      <c r="E40" s="589"/>
      <c r="F40" s="589"/>
      <c r="G40" s="589"/>
      <c r="H40" s="589"/>
      <c r="I40" s="589"/>
      <c r="J40" s="589"/>
      <c r="K40" s="589"/>
      <c r="L40" s="589"/>
      <c r="M40" s="589"/>
      <c r="N40" s="589"/>
      <c r="O40" s="589"/>
      <c r="P40" s="589"/>
      <c r="Q40" s="589"/>
      <c r="R40" s="589"/>
      <c r="S40" s="589"/>
      <c r="T40" s="589"/>
      <c r="U40" s="589"/>
      <c r="V40" s="589"/>
      <c r="W40" s="589"/>
      <c r="X40" s="589"/>
      <c r="Y40" s="589"/>
    </row>
    <row r="41" spans="1:27" s="609" customFormat="1" ht="15.75" thickBot="1">
      <c r="A41" s="605"/>
      <c r="B41" s="589"/>
      <c r="C41" s="589"/>
      <c r="D41" s="589"/>
      <c r="E41" s="589"/>
      <c r="F41" s="589"/>
      <c r="G41" s="589"/>
      <c r="H41" s="589"/>
      <c r="I41" s="589"/>
      <c r="J41" s="589"/>
      <c r="K41" s="589"/>
      <c r="L41" s="589"/>
      <c r="M41" s="589"/>
      <c r="N41" s="589"/>
      <c r="O41" s="589"/>
      <c r="P41" s="589"/>
      <c r="Q41" s="589"/>
      <c r="R41" s="589"/>
      <c r="S41" s="589"/>
      <c r="T41" s="589"/>
      <c r="U41" s="589"/>
      <c r="V41" s="589"/>
      <c r="W41" s="589"/>
      <c r="X41" s="589"/>
      <c r="Y41" s="589"/>
      <c r="Z41" s="589"/>
      <c r="AA41" s="589"/>
    </row>
    <row r="42" spans="1:27">
      <c r="A42" s="610" t="s">
        <v>281</v>
      </c>
      <c r="B42" s="611"/>
      <c r="C42" s="611"/>
      <c r="D42" s="611"/>
      <c r="E42" s="611"/>
      <c r="F42" s="611"/>
      <c r="G42" s="611"/>
      <c r="H42" s="611"/>
      <c r="I42" s="612"/>
      <c r="J42" s="613"/>
      <c r="K42" s="613"/>
      <c r="L42" s="614"/>
      <c r="M42" s="614"/>
      <c r="N42" s="614"/>
      <c r="O42" s="614"/>
      <c r="P42" s="614"/>
    </row>
    <row r="43" spans="1:27">
      <c r="A43" s="616"/>
      <c r="B43" s="606"/>
      <c r="C43" s="606"/>
      <c r="D43" s="606"/>
      <c r="E43" s="606"/>
      <c r="F43" s="606"/>
      <c r="G43" s="606"/>
      <c r="H43" s="606"/>
      <c r="I43" s="617"/>
      <c r="J43" s="606"/>
      <c r="K43" s="606"/>
      <c r="L43" s="614"/>
      <c r="M43" s="614"/>
      <c r="N43" s="614"/>
      <c r="O43" s="614"/>
      <c r="P43" s="614"/>
    </row>
    <row r="44" spans="1:27">
      <c r="A44" s="618"/>
      <c r="B44" s="619" t="s">
        <v>282</v>
      </c>
      <c r="C44" s="619" t="s">
        <v>283</v>
      </c>
      <c r="D44" s="619"/>
      <c r="E44" s="619"/>
      <c r="F44" s="619"/>
      <c r="G44" s="619"/>
      <c r="H44" s="619"/>
      <c r="I44" s="620"/>
      <c r="J44" s="619"/>
      <c r="K44" s="619"/>
      <c r="L44" s="619"/>
      <c r="M44" s="619"/>
      <c r="N44" s="619"/>
      <c r="O44" s="619"/>
      <c r="P44" s="614"/>
    </row>
    <row r="45" spans="1:27">
      <c r="A45" s="616" t="s">
        <v>279</v>
      </c>
      <c r="B45" s="621">
        <f>IF(ISERROR(O29/(O29+N29)),0,O29/(O29+N29))</f>
        <v>0.58823529411764708</v>
      </c>
      <c r="C45" s="622">
        <f>IF(ISERROR(N29/(O29+N29)),0,N29/(N29+O29))</f>
        <v>0.41176470588235292</v>
      </c>
      <c r="D45" s="589"/>
      <c r="E45" s="589"/>
      <c r="F45" s="589"/>
      <c r="G45" s="589"/>
      <c r="H45" s="589"/>
      <c r="I45" s="623"/>
      <c r="J45" s="589"/>
      <c r="K45" s="589"/>
      <c r="L45" s="624"/>
      <c r="M45" s="624"/>
      <c r="N45" s="624"/>
      <c r="O45" s="624"/>
      <c r="P45" s="614"/>
    </row>
    <row r="46" spans="1:27">
      <c r="A46" s="616"/>
      <c r="B46" s="625"/>
      <c r="C46" s="625"/>
      <c r="D46" s="625"/>
      <c r="E46" s="625"/>
      <c r="F46" s="625"/>
      <c r="G46" s="625"/>
      <c r="H46" s="625"/>
      <c r="I46" s="626"/>
      <c r="J46" s="625"/>
      <c r="K46" s="625"/>
      <c r="L46" s="627"/>
      <c r="M46" s="627"/>
      <c r="N46" s="627"/>
      <c r="O46" s="627"/>
      <c r="P46" s="614"/>
    </row>
    <row r="47" spans="1:27" ht="30">
      <c r="A47" s="628"/>
      <c r="B47" s="629" t="s">
        <v>524</v>
      </c>
      <c r="C47" s="629" t="s">
        <v>102</v>
      </c>
      <c r="D47" s="629" t="s">
        <v>103</v>
      </c>
      <c r="E47" s="629" t="s">
        <v>104</v>
      </c>
      <c r="F47" s="629" t="s">
        <v>105</v>
      </c>
      <c r="G47" s="629" t="s">
        <v>106</v>
      </c>
      <c r="H47" s="629" t="s">
        <v>107</v>
      </c>
      <c r="I47" s="630" t="s">
        <v>108</v>
      </c>
      <c r="J47" s="619"/>
      <c r="K47" s="619"/>
      <c r="L47" s="627"/>
      <c r="M47" s="627"/>
      <c r="N47" s="627"/>
      <c r="O47" s="614"/>
      <c r="P47" s="614"/>
    </row>
    <row r="48" spans="1:27">
      <c r="A48" s="618" t="s">
        <v>284</v>
      </c>
      <c r="B48" s="631">
        <f t="shared" ref="B48:I48" si="2">$C$45*P29</f>
        <v>4642.9411764705883</v>
      </c>
      <c r="C48" s="631">
        <f t="shared" si="2"/>
        <v>0</v>
      </c>
      <c r="D48" s="631">
        <f t="shared" si="2"/>
        <v>0</v>
      </c>
      <c r="E48" s="631">
        <f t="shared" si="2"/>
        <v>0</v>
      </c>
      <c r="F48" s="631">
        <f t="shared" si="2"/>
        <v>0</v>
      </c>
      <c r="G48" s="631">
        <f t="shared" si="2"/>
        <v>0</v>
      </c>
      <c r="H48" s="631">
        <f t="shared" si="2"/>
        <v>0</v>
      </c>
      <c r="I48" s="632">
        <f t="shared" si="2"/>
        <v>0</v>
      </c>
      <c r="J48" s="589"/>
      <c r="K48" s="589"/>
      <c r="L48" s="627"/>
      <c r="M48" s="627"/>
      <c r="N48" s="627"/>
      <c r="O48" s="614"/>
      <c r="P48" s="614"/>
    </row>
    <row r="49" spans="1:16" ht="15.75" thickBot="1">
      <c r="A49" s="633" t="s">
        <v>285</v>
      </c>
      <c r="B49" s="634">
        <f t="shared" ref="B49:I49" si="3">$B$45*P29</f>
        <v>6632.7731092436979</v>
      </c>
      <c r="C49" s="634">
        <f t="shared" si="3"/>
        <v>0</v>
      </c>
      <c r="D49" s="634">
        <f t="shared" si="3"/>
        <v>0</v>
      </c>
      <c r="E49" s="634">
        <f t="shared" si="3"/>
        <v>0</v>
      </c>
      <c r="F49" s="634">
        <f t="shared" si="3"/>
        <v>0</v>
      </c>
      <c r="G49" s="634">
        <f t="shared" si="3"/>
        <v>0</v>
      </c>
      <c r="H49" s="634">
        <f t="shared" si="3"/>
        <v>0</v>
      </c>
      <c r="I49" s="635">
        <f t="shared" si="3"/>
        <v>0</v>
      </c>
      <c r="J49" s="589"/>
      <c r="K49" s="589"/>
      <c r="L49" s="627"/>
      <c r="M49" s="627"/>
      <c r="N49" s="627"/>
      <c r="O49" s="614"/>
      <c r="P49" s="614"/>
    </row>
    <row r="50" spans="1:16">
      <c r="J50" s="569"/>
      <c r="K50" s="569"/>
      <c r="L50" s="569"/>
      <c r="M50" s="569"/>
      <c r="N50" s="569"/>
    </row>
    <row r="51" spans="1:16">
      <c r="J51" s="569"/>
      <c r="K51" s="569"/>
      <c r="L51" s="569"/>
      <c r="M51" s="569"/>
      <c r="N51" s="569"/>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7"/>
  <sheetViews>
    <sheetView showGridLines="0" workbookViewId="0">
      <selection activeCell="A15" sqref="A15:XFD1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402</v>
      </c>
      <c r="B1" s="353" t="s">
        <v>409</v>
      </c>
      <c r="C1" s="353" t="s">
        <v>408</v>
      </c>
      <c r="D1" s="353" t="s">
        <v>407</v>
      </c>
      <c r="E1" s="354" t="s">
        <v>403</v>
      </c>
      <c r="F1" s="355" t="s">
        <v>404</v>
      </c>
      <c r="G1" s="355" t="s">
        <v>405</v>
      </c>
      <c r="H1" s="355" t="s">
        <v>406</v>
      </c>
    </row>
    <row r="2" spans="1:8" s="11" customFormat="1">
      <c r="A2" s="1057" t="s">
        <v>866</v>
      </c>
      <c r="B2" s="1059" t="s">
        <v>867</v>
      </c>
      <c r="C2" s="1057" t="s">
        <v>641</v>
      </c>
      <c r="D2" s="1057" t="s">
        <v>687</v>
      </c>
      <c r="E2" s="349"/>
      <c r="F2" s="346" t="s">
        <v>690</v>
      </c>
      <c r="G2" s="346" t="s">
        <v>695</v>
      </c>
      <c r="H2" s="347" t="s">
        <v>696</v>
      </c>
    </row>
    <row r="3" spans="1:8" s="11" customFormat="1">
      <c r="A3" s="1057" t="s">
        <v>864</v>
      </c>
      <c r="B3" s="1059" t="s">
        <v>863</v>
      </c>
      <c r="C3" s="1057" t="s">
        <v>192</v>
      </c>
      <c r="D3" s="1060" t="s">
        <v>865</v>
      </c>
      <c r="E3" s="349"/>
      <c r="F3" s="895" t="s">
        <v>685</v>
      </c>
      <c r="G3" s="895" t="s">
        <v>684</v>
      </c>
      <c r="H3" s="895" t="s">
        <v>686</v>
      </c>
    </row>
    <row r="4" spans="1:8" s="11" customFormat="1">
      <c r="A4" s="348" t="s">
        <v>395</v>
      </c>
      <c r="B4" s="798" t="s">
        <v>709</v>
      </c>
      <c r="C4" s="348" t="s">
        <v>395</v>
      </c>
      <c r="D4" s="348" t="s">
        <v>693</v>
      </c>
      <c r="E4" s="349"/>
      <c r="F4" s="895" t="s">
        <v>681</v>
      </c>
      <c r="G4" s="895" t="s">
        <v>682</v>
      </c>
      <c r="H4" s="895" t="s">
        <v>683</v>
      </c>
    </row>
    <row r="5" spans="1:8">
      <c r="A5" s="343" t="s">
        <v>829</v>
      </c>
      <c r="B5" s="893" t="s">
        <v>813</v>
      </c>
      <c r="C5" s="343" t="s">
        <v>829</v>
      </c>
      <c r="D5" s="343" t="s">
        <v>694</v>
      </c>
      <c r="E5" s="345"/>
      <c r="F5" s="346" t="s">
        <v>832</v>
      </c>
      <c r="G5" s="346" t="s">
        <v>835</v>
      </c>
      <c r="H5" s="347" t="s">
        <v>831</v>
      </c>
    </row>
    <row r="6" spans="1:8">
      <c r="A6" s="348" t="s">
        <v>419</v>
      </c>
      <c r="B6" s="351" t="s">
        <v>420</v>
      </c>
      <c r="C6" s="348" t="s">
        <v>422</v>
      </c>
      <c r="D6" s="348" t="s">
        <v>418</v>
      </c>
      <c r="E6" s="345" t="s">
        <v>421</v>
      </c>
      <c r="F6" s="346"/>
      <c r="G6" s="346"/>
      <c r="H6" s="347"/>
    </row>
    <row r="7" spans="1:8" s="887" customFormat="1">
      <c r="A7" s="348" t="s">
        <v>688</v>
      </c>
      <c r="B7" s="798">
        <v>2018</v>
      </c>
      <c r="C7" s="348" t="s">
        <v>395</v>
      </c>
      <c r="D7" s="348" t="s">
        <v>772</v>
      </c>
      <c r="E7" s="345" t="s">
        <v>689</v>
      </c>
      <c r="F7" s="346"/>
      <c r="G7" s="346"/>
      <c r="H7" s="347"/>
    </row>
    <row r="8" spans="1:8" s="887" customFormat="1">
      <c r="A8" s="348" t="s">
        <v>699</v>
      </c>
      <c r="B8" s="798">
        <v>2017</v>
      </c>
      <c r="C8" s="348" t="s">
        <v>701</v>
      </c>
      <c r="D8" s="348" t="s">
        <v>700</v>
      </c>
      <c r="E8" s="350" t="s">
        <v>698</v>
      </c>
      <c r="F8" s="346"/>
      <c r="G8" s="346"/>
      <c r="H8" s="347"/>
    </row>
    <row r="9" spans="1:8" s="11" customFormat="1">
      <c r="A9" s="348" t="s">
        <v>617</v>
      </c>
      <c r="B9" s="798" t="s">
        <v>812</v>
      </c>
      <c r="C9" s="348" t="s">
        <v>618</v>
      </c>
      <c r="D9" s="348" t="s">
        <v>619</v>
      </c>
      <c r="E9" s="349"/>
      <c r="F9" s="895" t="s">
        <v>671</v>
      </c>
      <c r="G9" s="895" t="s">
        <v>672</v>
      </c>
      <c r="H9" s="347" t="s">
        <v>673</v>
      </c>
    </row>
    <row r="10" spans="1:8">
      <c r="A10" s="343" t="s">
        <v>676</v>
      </c>
      <c r="B10" s="893" t="s">
        <v>711</v>
      </c>
      <c r="C10" s="343" t="s">
        <v>677</v>
      </c>
      <c r="D10" s="343" t="s">
        <v>774</v>
      </c>
      <c r="E10" s="685"/>
      <c r="F10" s="346" t="s">
        <v>680</v>
      </c>
      <c r="G10" s="346" t="s">
        <v>678</v>
      </c>
      <c r="H10" s="347" t="s">
        <v>679</v>
      </c>
    </row>
    <row r="11" spans="1:8" s="887" customFormat="1">
      <c r="A11" s="348" t="s">
        <v>692</v>
      </c>
      <c r="B11" s="798">
        <v>2017</v>
      </c>
      <c r="C11" s="348" t="s">
        <v>413</v>
      </c>
      <c r="D11" s="348" t="s">
        <v>691</v>
      </c>
      <c r="E11" s="345"/>
      <c r="F11" s="346" t="s">
        <v>690</v>
      </c>
      <c r="G11" s="346" t="s">
        <v>695</v>
      </c>
      <c r="H11" s="347" t="s">
        <v>696</v>
      </c>
    </row>
    <row r="12" spans="1:8" s="10" customFormat="1">
      <c r="A12" s="348" t="s">
        <v>397</v>
      </c>
      <c r="B12" s="344" t="s">
        <v>412</v>
      </c>
      <c r="C12" s="343"/>
      <c r="D12" s="352" t="s">
        <v>411</v>
      </c>
      <c r="E12" s="345"/>
      <c r="F12" s="346"/>
      <c r="G12" s="346"/>
      <c r="H12" s="347"/>
    </row>
    <row r="13" spans="1:8">
      <c r="A13" s="343" t="s">
        <v>390</v>
      </c>
      <c r="B13" s="344" t="s">
        <v>703</v>
      </c>
      <c r="C13" s="343" t="s">
        <v>667</v>
      </c>
      <c r="D13" s="343" t="s">
        <v>704</v>
      </c>
      <c r="E13" s="350" t="s">
        <v>391</v>
      </c>
      <c r="F13" s="346" t="s">
        <v>392</v>
      </c>
      <c r="G13" s="346" t="s">
        <v>836</v>
      </c>
      <c r="H13" s="346" t="s">
        <v>393</v>
      </c>
    </row>
    <row r="14" spans="1:8">
      <c r="A14" s="343" t="s">
        <v>396</v>
      </c>
      <c r="B14" s="893" t="s">
        <v>709</v>
      </c>
      <c r="C14" s="343" t="s">
        <v>396</v>
      </c>
      <c r="D14" s="343" t="s">
        <v>410</v>
      </c>
      <c r="E14" s="345"/>
      <c r="F14" s="346" t="s">
        <v>717</v>
      </c>
      <c r="G14" s="901" t="s">
        <v>837</v>
      </c>
      <c r="H14" s="901" t="s">
        <v>721</v>
      </c>
    </row>
    <row r="15" spans="1:8" s="894" customFormat="1">
      <c r="A15" s="897" t="s">
        <v>496</v>
      </c>
      <c r="B15" s="898" t="s">
        <v>884</v>
      </c>
      <c r="C15" s="897" t="s">
        <v>713</v>
      </c>
      <c r="D15" s="899" t="s">
        <v>883</v>
      </c>
      <c r="E15" s="900"/>
      <c r="F15" s="346" t="s">
        <v>669</v>
      </c>
      <c r="G15" s="901" t="s">
        <v>674</v>
      </c>
      <c r="H15" s="347" t="s">
        <v>675</v>
      </c>
    </row>
    <row r="16" spans="1:8" s="894" customFormat="1">
      <c r="A16" s="897" t="s">
        <v>496</v>
      </c>
      <c r="B16" s="898" t="s">
        <v>712</v>
      </c>
      <c r="C16" s="897" t="s">
        <v>713</v>
      </c>
      <c r="D16" s="899" t="s">
        <v>883</v>
      </c>
      <c r="E16" s="900"/>
      <c r="F16" s="346" t="s">
        <v>669</v>
      </c>
      <c r="G16" s="901" t="s">
        <v>674</v>
      </c>
      <c r="H16" s="347" t="s">
        <v>675</v>
      </c>
    </row>
    <row r="17" spans="1:8" s="11" customFormat="1">
      <c r="A17" s="348" t="s">
        <v>495</v>
      </c>
      <c r="B17" s="898" t="s">
        <v>773</v>
      </c>
      <c r="C17" s="348" t="s">
        <v>413</v>
      </c>
      <c r="D17" s="348" t="s">
        <v>821</v>
      </c>
      <c r="E17" s="350" t="s">
        <v>670</v>
      </c>
      <c r="F17" s="346" t="s">
        <v>669</v>
      </c>
      <c r="G17" s="901" t="s">
        <v>674</v>
      </c>
      <c r="H17" s="347" t="s">
        <v>675</v>
      </c>
    </row>
    <row r="18" spans="1:8">
      <c r="A18" s="348" t="s">
        <v>192</v>
      </c>
      <c r="B18" s="798" t="s">
        <v>813</v>
      </c>
      <c r="C18" s="348" t="s">
        <v>414</v>
      </c>
      <c r="D18" s="348" t="s">
        <v>668</v>
      </c>
      <c r="E18" s="345"/>
      <c r="F18" s="346" t="s">
        <v>415</v>
      </c>
      <c r="G18" s="346" t="s">
        <v>416</v>
      </c>
      <c r="H18" s="347" t="s">
        <v>417</v>
      </c>
    </row>
    <row r="19" spans="1:8" s="11" customFormat="1">
      <c r="A19" s="1057" t="s">
        <v>868</v>
      </c>
      <c r="B19" s="1058" t="s">
        <v>863</v>
      </c>
      <c r="C19" s="1057" t="s">
        <v>192</v>
      </c>
      <c r="D19" s="1057" t="s">
        <v>869</v>
      </c>
      <c r="E19" s="349"/>
      <c r="F19" s="895" t="s">
        <v>685</v>
      </c>
      <c r="G19" s="895" t="s">
        <v>684</v>
      </c>
      <c r="H19" s="895" t="s">
        <v>686</v>
      </c>
    </row>
    <row r="20" spans="1:8" s="887" customFormat="1">
      <c r="A20" s="348" t="s">
        <v>396</v>
      </c>
      <c r="B20" s="798" t="s">
        <v>812</v>
      </c>
      <c r="C20" s="348" t="s">
        <v>396</v>
      </c>
      <c r="D20" s="348" t="s">
        <v>714</v>
      </c>
      <c r="E20" s="345"/>
      <c r="F20" s="346" t="s">
        <v>716</v>
      </c>
      <c r="G20" s="895" t="s">
        <v>838</v>
      </c>
      <c r="H20" s="896" t="s">
        <v>720</v>
      </c>
    </row>
    <row r="21" spans="1:8" s="887" customFormat="1">
      <c r="A21" s="348" t="s">
        <v>396</v>
      </c>
      <c r="B21" s="798" t="s">
        <v>830</v>
      </c>
      <c r="C21" s="348" t="s">
        <v>396</v>
      </c>
      <c r="D21" s="348" t="s">
        <v>715</v>
      </c>
      <c r="E21" s="345"/>
      <c r="F21" s="346" t="s">
        <v>833</v>
      </c>
      <c r="G21" s="895" t="s">
        <v>839</v>
      </c>
      <c r="H21" s="347" t="s">
        <v>834</v>
      </c>
    </row>
    <row r="22" spans="1:8" s="11" customFormat="1">
      <c r="A22" s="348" t="s">
        <v>396</v>
      </c>
      <c r="B22" s="926" t="s">
        <v>813</v>
      </c>
      <c r="C22" s="348" t="s">
        <v>396</v>
      </c>
      <c r="D22" s="348" t="s">
        <v>643</v>
      </c>
      <c r="E22" s="349"/>
      <c r="F22" s="895" t="s">
        <v>719</v>
      </c>
      <c r="G22" s="895" t="s">
        <v>840</v>
      </c>
      <c r="H22" s="895" t="s">
        <v>718</v>
      </c>
    </row>
    <row r="23" spans="1:8" s="11" customFormat="1">
      <c r="A23" s="348" t="s">
        <v>396</v>
      </c>
      <c r="B23" s="926" t="s">
        <v>813</v>
      </c>
      <c r="C23" s="348" t="s">
        <v>396</v>
      </c>
      <c r="D23" s="927" t="s">
        <v>622</v>
      </c>
      <c r="E23" s="349"/>
      <c r="F23" s="895" t="s">
        <v>719</v>
      </c>
      <c r="G23" s="895" t="s">
        <v>840</v>
      </c>
      <c r="H23" s="896" t="s">
        <v>718</v>
      </c>
    </row>
    <row r="26" spans="1:8">
      <c r="F26" s="887"/>
    </row>
    <row r="27" spans="1:8">
      <c r="G27" s="887"/>
    </row>
  </sheetData>
  <hyperlinks>
    <hyperlink ref="H5" r:id="rId1"/>
    <hyperlink ref="E13" r:id="rId2"/>
    <hyperlink ref="H9" r:id="rId3"/>
    <hyperlink ref="H15" r:id="rId4"/>
    <hyperlink ref="H17" r:id="rId5"/>
    <hyperlink ref="H11" r:id="rId6"/>
    <hyperlink ref="H2" r:id="rId7"/>
    <hyperlink ref="E8" r:id="rId8"/>
    <hyperlink ref="H14" r:id="rId9" display="mailto:ellen.moons@vea.be"/>
    <hyperlink ref="E17" r:id="rId10"/>
    <hyperlink ref="H21" r:id="rId11"/>
  </hyperlinks>
  <pageMargins left="0.7" right="0.7" top="0.75" bottom="0.75" header="0.3" footer="0.3"/>
  <pageSetup paperSize="9" orientation="portrait" r:id="rId12"/>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4"/>
  <sheetViews>
    <sheetView topLeftCell="A4" workbookViewId="0">
      <selection activeCell="D23" sqref="D23"/>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2" t="s">
        <v>607</v>
      </c>
      <c r="B1" s="902" t="s">
        <v>608</v>
      </c>
      <c r="C1" s="902" t="s">
        <v>610</v>
      </c>
      <c r="D1" s="902" t="s">
        <v>609</v>
      </c>
    </row>
    <row r="2" spans="1:4" s="888" customFormat="1">
      <c r="A2" s="1024" t="s">
        <v>857</v>
      </c>
      <c r="B2" s="912">
        <v>43599</v>
      </c>
      <c r="C2" s="888" t="s">
        <v>780</v>
      </c>
      <c r="D2" s="924" t="s">
        <v>781</v>
      </c>
    </row>
    <row r="3" spans="1:4" s="888" customFormat="1">
      <c r="A3" s="1024" t="s">
        <v>857</v>
      </c>
      <c r="B3" s="912">
        <v>43599</v>
      </c>
      <c r="C3" s="888" t="s">
        <v>777</v>
      </c>
      <c r="D3" s="913" t="s">
        <v>775</v>
      </c>
    </row>
    <row r="4" spans="1:4" s="888" customFormat="1">
      <c r="A4" s="1024" t="s">
        <v>857</v>
      </c>
      <c r="B4" s="912">
        <v>43599</v>
      </c>
      <c r="C4" s="888" t="s">
        <v>778</v>
      </c>
      <c r="D4" s="1025" t="s">
        <v>776</v>
      </c>
    </row>
    <row r="5" spans="1:4" s="888" customFormat="1">
      <c r="A5" s="1024" t="s">
        <v>857</v>
      </c>
      <c r="B5" s="912">
        <v>43599</v>
      </c>
      <c r="C5" s="888" t="s">
        <v>779</v>
      </c>
      <c r="D5" s="913" t="s">
        <v>771</v>
      </c>
    </row>
    <row r="6" spans="1:4" s="888" customFormat="1">
      <c r="A6" s="1024" t="s">
        <v>857</v>
      </c>
      <c r="B6" s="928">
        <v>43608</v>
      </c>
      <c r="C6" s="888" t="s">
        <v>808</v>
      </c>
      <c r="D6" s="913" t="s">
        <v>810</v>
      </c>
    </row>
    <row r="7" spans="1:4" s="888" customFormat="1">
      <c r="A7" s="1024" t="s">
        <v>857</v>
      </c>
      <c r="B7" s="928">
        <v>43608</v>
      </c>
      <c r="C7" s="888" t="s">
        <v>809</v>
      </c>
      <c r="D7" s="913" t="s">
        <v>811</v>
      </c>
    </row>
    <row r="8" spans="1:4" s="888" customFormat="1">
      <c r="A8" s="1024" t="s">
        <v>857</v>
      </c>
      <c r="B8" s="928">
        <v>43608</v>
      </c>
      <c r="C8" s="888" t="s">
        <v>822</v>
      </c>
      <c r="D8" s="929" t="s">
        <v>823</v>
      </c>
    </row>
    <row r="9" spans="1:4" s="7" customFormat="1">
      <c r="A9" s="1024" t="s">
        <v>857</v>
      </c>
      <c r="B9" s="928">
        <v>43608</v>
      </c>
      <c r="C9" s="888" t="s">
        <v>824</v>
      </c>
      <c r="D9" s="932" t="s">
        <v>825</v>
      </c>
    </row>
    <row r="10" spans="1:4" s="7" customFormat="1">
      <c r="A10" s="1024" t="s">
        <v>857</v>
      </c>
      <c r="B10" s="912">
        <v>43614</v>
      </c>
      <c r="C10" s="912" t="s">
        <v>843</v>
      </c>
      <c r="D10" s="929" t="s">
        <v>849</v>
      </c>
    </row>
    <row r="11" spans="1:4" s="7" customFormat="1">
      <c r="A11" s="1024" t="s">
        <v>857</v>
      </c>
      <c r="B11" s="912">
        <v>43614</v>
      </c>
      <c r="C11" s="912" t="s">
        <v>844</v>
      </c>
      <c r="D11" s="929" t="s">
        <v>850</v>
      </c>
    </row>
    <row r="12" spans="1:4" s="7" customFormat="1">
      <c r="A12" s="1024" t="s">
        <v>857</v>
      </c>
      <c r="B12" s="912">
        <v>43614</v>
      </c>
      <c r="C12" s="912" t="s">
        <v>845</v>
      </c>
      <c r="D12" s="929" t="s">
        <v>851</v>
      </c>
    </row>
    <row r="13" spans="1:4" s="7" customFormat="1">
      <c r="A13" s="1024" t="s">
        <v>857</v>
      </c>
      <c r="B13" s="912">
        <v>43614</v>
      </c>
      <c r="C13" s="912" t="s">
        <v>846</v>
      </c>
      <c r="D13" s="929" t="s">
        <v>852</v>
      </c>
    </row>
    <row r="14" spans="1:4" s="7" customFormat="1">
      <c r="A14" s="1024" t="s">
        <v>857</v>
      </c>
      <c r="B14" s="912">
        <v>43614</v>
      </c>
      <c r="C14" s="912" t="s">
        <v>847</v>
      </c>
      <c r="D14" s="929" t="s">
        <v>853</v>
      </c>
    </row>
    <row r="15" spans="1:4" s="7" customFormat="1">
      <c r="A15" s="1024" t="s">
        <v>857</v>
      </c>
      <c r="B15" s="912">
        <v>43614</v>
      </c>
      <c r="C15" s="912" t="s">
        <v>848</v>
      </c>
      <c r="D15" s="929" t="s">
        <v>854</v>
      </c>
    </row>
    <row r="16" spans="1:4" s="7" customFormat="1">
      <c r="A16" s="1024" t="s">
        <v>856</v>
      </c>
      <c r="B16" s="912">
        <v>43678</v>
      </c>
      <c r="C16" s="912" t="s">
        <v>858</v>
      </c>
      <c r="D16" s="932" t="s">
        <v>855</v>
      </c>
    </row>
    <row r="17" spans="1:4" s="7" customFormat="1">
      <c r="A17" s="1024" t="s">
        <v>862</v>
      </c>
      <c r="B17" s="1066">
        <v>43930</v>
      </c>
      <c r="C17" s="1063" t="s">
        <v>859</v>
      </c>
      <c r="D17" s="1065" t="s">
        <v>860</v>
      </c>
    </row>
    <row r="18" spans="1:4" s="7" customFormat="1">
      <c r="A18" s="1024" t="s">
        <v>862</v>
      </c>
      <c r="B18" s="1066">
        <v>43930</v>
      </c>
      <c r="C18" s="1063" t="s">
        <v>861</v>
      </c>
      <c r="D18" s="1065" t="s">
        <v>860</v>
      </c>
    </row>
    <row r="19" spans="1:4" s="7" customFormat="1">
      <c r="A19" s="1024" t="s">
        <v>862</v>
      </c>
      <c r="B19" s="1066">
        <v>43943</v>
      </c>
      <c r="C19" s="1063" t="s">
        <v>871</v>
      </c>
      <c r="D19" s="1064" t="s">
        <v>781</v>
      </c>
    </row>
    <row r="20" spans="1:4" s="7" customFormat="1">
      <c r="A20" s="1024" t="s">
        <v>862</v>
      </c>
      <c r="B20" s="1066">
        <v>43943</v>
      </c>
      <c r="C20" s="1063" t="s">
        <v>872</v>
      </c>
      <c r="D20" s="1065" t="s">
        <v>873</v>
      </c>
    </row>
    <row r="21" spans="1:4">
      <c r="A21" s="1024" t="s">
        <v>862</v>
      </c>
      <c r="B21" s="1066">
        <v>43943</v>
      </c>
      <c r="C21" s="1063" t="s">
        <v>874</v>
      </c>
      <c r="D21" s="1065" t="s">
        <v>875</v>
      </c>
    </row>
    <row r="22" spans="1:4">
      <c r="A22" s="1024" t="s">
        <v>862</v>
      </c>
      <c r="B22" s="1066">
        <v>43943</v>
      </c>
      <c r="C22" s="1063" t="s">
        <v>876</v>
      </c>
      <c r="D22" s="1065" t="s">
        <v>877</v>
      </c>
    </row>
    <row r="23" spans="1:4">
      <c r="A23" s="1024" t="s">
        <v>862</v>
      </c>
      <c r="B23" s="1066">
        <v>43951</v>
      </c>
      <c r="C23" t="s">
        <v>822</v>
      </c>
      <c r="D23" s="1065" t="s">
        <v>879</v>
      </c>
    </row>
    <row r="24" spans="1:4">
      <c r="A24" s="1024"/>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 ref="D17" location="data!A1" display="data!A1"/>
    <hyperlink ref="D18" location="data!A1" display="data!A1"/>
    <hyperlink ref="D19" location="'ECF transport '!A1" display="'ECF transport '!A1"/>
    <hyperlink ref="D20" location="transport!A21" display="transport!A21"/>
    <hyperlink ref="D21" location="transport!A28" display="transport!A28"/>
    <hyperlink ref="D22" location="Conversiefactoren!A1" display="Conversiefactoren!A24"/>
    <hyperlink ref="D23" location="huishoudens!B54" display="huishoudens!B54"/>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7" workbookViewId="0">
      <selection activeCell="B17" sqref="B17"/>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2" t="s">
        <v>540</v>
      </c>
      <c r="B1" s="1163" t="s">
        <v>536</v>
      </c>
      <c r="C1" s="1163"/>
      <c r="D1" s="1163"/>
      <c r="E1" s="1163"/>
      <c r="F1" s="1163"/>
      <c r="G1" s="1163"/>
      <c r="H1" s="1163"/>
      <c r="I1" s="1163"/>
      <c r="J1" s="1163"/>
      <c r="K1" s="1163"/>
      <c r="L1" s="1163"/>
      <c r="M1" s="1163"/>
      <c r="N1" s="1163"/>
      <c r="O1" s="1163"/>
      <c r="P1" s="1164"/>
      <c r="Q1" s="449"/>
    </row>
    <row r="2" spans="1:17">
      <c r="A2" s="1162"/>
      <c r="B2" s="1165" t="s">
        <v>20</v>
      </c>
      <c r="C2" s="1167" t="s">
        <v>195</v>
      </c>
      <c r="D2" s="1169" t="s">
        <v>196</v>
      </c>
      <c r="E2" s="1170"/>
      <c r="F2" s="1170"/>
      <c r="G2" s="1170"/>
      <c r="H2" s="1170"/>
      <c r="I2" s="1170"/>
      <c r="J2" s="1170"/>
      <c r="K2" s="1166"/>
      <c r="L2" s="1169" t="s">
        <v>197</v>
      </c>
      <c r="M2" s="1170"/>
      <c r="N2" s="1170"/>
      <c r="O2" s="1170"/>
      <c r="P2" s="1166"/>
      <c r="Q2" s="449"/>
    </row>
    <row r="3" spans="1:17" ht="45">
      <c r="A3" s="1162"/>
      <c r="B3" s="1166"/>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c r="Q3" s="449" t="s">
        <v>115</v>
      </c>
    </row>
    <row r="4" spans="1:17">
      <c r="A4" s="451" t="s">
        <v>154</v>
      </c>
      <c r="B4" s="452">
        <f>huishoudens!B8</f>
        <v>25234.044816431895</v>
      </c>
      <c r="C4" s="452">
        <f>huishoudens!C8</f>
        <v>0</v>
      </c>
      <c r="D4" s="452">
        <f>huishoudens!D8</f>
        <v>38962.25701478</v>
      </c>
      <c r="E4" s="452">
        <f>huishoudens!E8</f>
        <v>7302.5026729590418</v>
      </c>
      <c r="F4" s="452">
        <f>huishoudens!F8</f>
        <v>10366.56199915929</v>
      </c>
      <c r="G4" s="452">
        <f>huishoudens!G8</f>
        <v>0</v>
      </c>
      <c r="H4" s="452">
        <f>huishoudens!H8</f>
        <v>0</v>
      </c>
      <c r="I4" s="452">
        <f>huishoudens!I8</f>
        <v>0</v>
      </c>
      <c r="J4" s="452">
        <f>huishoudens!J8</f>
        <v>2377.0232139930981</v>
      </c>
      <c r="K4" s="452">
        <f>huishoudens!K8</f>
        <v>0</v>
      </c>
      <c r="L4" s="452">
        <f>huishoudens!L8</f>
        <v>0</v>
      </c>
      <c r="M4" s="452">
        <f>huishoudens!M8</f>
        <v>0</v>
      </c>
      <c r="N4" s="452">
        <f>huishoudens!N8</f>
        <v>10266.349771792236</v>
      </c>
      <c r="O4" s="452">
        <f>huishoudens!O8</f>
        <v>436.47080826514696</v>
      </c>
      <c r="P4" s="453">
        <f>huishoudens!P8</f>
        <v>505.63004676888113</v>
      </c>
      <c r="Q4" s="454">
        <f>SUM(B4:P4)</f>
        <v>95450.840344149605</v>
      </c>
    </row>
    <row r="5" spans="1:17">
      <c r="A5" s="451" t="s">
        <v>155</v>
      </c>
      <c r="B5" s="452">
        <f ca="1">tertiair!B16</f>
        <v>10518.076611999999</v>
      </c>
      <c r="C5" s="452">
        <f ca="1">tertiair!C16</f>
        <v>0</v>
      </c>
      <c r="D5" s="452">
        <f ca="1">tertiair!D16</f>
        <v>10721.840434316002</v>
      </c>
      <c r="E5" s="452">
        <f>tertiair!E16</f>
        <v>188.04961231483438</v>
      </c>
      <c r="F5" s="452">
        <f ca="1">tertiair!F16</f>
        <v>1161.969307513496</v>
      </c>
      <c r="G5" s="452">
        <f>tertiair!G16</f>
        <v>0</v>
      </c>
      <c r="H5" s="452">
        <f>tertiair!H16</f>
        <v>0</v>
      </c>
      <c r="I5" s="452">
        <f>tertiair!I16</f>
        <v>0</v>
      </c>
      <c r="J5" s="452">
        <f>tertiair!J16</f>
        <v>1.3736166632138603E-2</v>
      </c>
      <c r="K5" s="452">
        <f>tertiair!K16</f>
        <v>0</v>
      </c>
      <c r="L5" s="452">
        <f ca="1">tertiair!L16</f>
        <v>0</v>
      </c>
      <c r="M5" s="452">
        <f>tertiair!M16</f>
        <v>0</v>
      </c>
      <c r="N5" s="452">
        <f ca="1">tertiair!N16</f>
        <v>542.44626123048943</v>
      </c>
      <c r="O5" s="452">
        <f>tertiair!O16</f>
        <v>9.7945215316823084</v>
      </c>
      <c r="P5" s="453">
        <f>tertiair!P16</f>
        <v>52.539138306495019</v>
      </c>
      <c r="Q5" s="451">
        <f t="shared" ref="Q5:Q14" ca="1" si="0">SUM(B5:P5)</f>
        <v>23194.72962337963</v>
      </c>
    </row>
    <row r="6" spans="1:17">
      <c r="A6" s="451" t="s">
        <v>193</v>
      </c>
      <c r="B6" s="452">
        <f>'openbare verlichting'!B8</f>
        <v>1007.726</v>
      </c>
      <c r="C6" s="452"/>
      <c r="D6" s="452"/>
      <c r="E6" s="452"/>
      <c r="F6" s="452"/>
      <c r="G6" s="452"/>
      <c r="H6" s="452"/>
      <c r="I6" s="452"/>
      <c r="J6" s="452"/>
      <c r="K6" s="452"/>
      <c r="L6" s="452"/>
      <c r="M6" s="452"/>
      <c r="N6" s="452"/>
      <c r="O6" s="452"/>
      <c r="P6" s="453"/>
      <c r="Q6" s="451">
        <f t="shared" si="0"/>
        <v>1007.726</v>
      </c>
    </row>
    <row r="7" spans="1:17">
      <c r="A7" s="451" t="s">
        <v>111</v>
      </c>
      <c r="B7" s="452">
        <f>landbouw!B8</f>
        <v>1911.6360870000001</v>
      </c>
      <c r="C7" s="452">
        <f>landbouw!C8</f>
        <v>5637.8571428571431</v>
      </c>
      <c r="D7" s="452">
        <f>landbouw!D8</f>
        <v>106.61046480771256</v>
      </c>
      <c r="E7" s="452">
        <f>landbouw!E8</f>
        <v>59.661531895457138</v>
      </c>
      <c r="F7" s="452">
        <f>landbouw!F8</f>
        <v>6755.9336967911377</v>
      </c>
      <c r="G7" s="452">
        <f>landbouw!G8</f>
        <v>0</v>
      </c>
      <c r="H7" s="452">
        <f>landbouw!H8</f>
        <v>0</v>
      </c>
      <c r="I7" s="452">
        <f>landbouw!I8</f>
        <v>0</v>
      </c>
      <c r="J7" s="452">
        <f>landbouw!J8</f>
        <v>526.66899904857917</v>
      </c>
      <c r="K7" s="452">
        <f>landbouw!K8</f>
        <v>0</v>
      </c>
      <c r="L7" s="452">
        <f>landbouw!L8</f>
        <v>0</v>
      </c>
      <c r="M7" s="452">
        <f>landbouw!M8</f>
        <v>0</v>
      </c>
      <c r="N7" s="452">
        <f>landbouw!N8</f>
        <v>0</v>
      </c>
      <c r="O7" s="452">
        <f>landbouw!O8</f>
        <v>0</v>
      </c>
      <c r="P7" s="453">
        <f>landbouw!P8</f>
        <v>0</v>
      </c>
      <c r="Q7" s="451">
        <f t="shared" si="0"/>
        <v>14998.36792240003</v>
      </c>
    </row>
    <row r="8" spans="1:17">
      <c r="A8" s="451" t="s">
        <v>625</v>
      </c>
      <c r="B8" s="452">
        <f>industrie!B18</f>
        <v>2252.8359140000002</v>
      </c>
      <c r="C8" s="452">
        <f>industrie!C18</f>
        <v>0</v>
      </c>
      <c r="D8" s="452">
        <f>industrie!D18</f>
        <v>2101.0493721580001</v>
      </c>
      <c r="E8" s="452">
        <f>industrie!E18</f>
        <v>300.36111781098418</v>
      </c>
      <c r="F8" s="452">
        <f>industrie!F18</f>
        <v>974.69346816640416</v>
      </c>
      <c r="G8" s="452">
        <f>industrie!G18</f>
        <v>0</v>
      </c>
      <c r="H8" s="452">
        <f>industrie!H18</f>
        <v>0</v>
      </c>
      <c r="I8" s="452">
        <f>industrie!I18</f>
        <v>0</v>
      </c>
      <c r="J8" s="452">
        <f>industrie!J18</f>
        <v>2.9292964005521402</v>
      </c>
      <c r="K8" s="452">
        <f>industrie!K18</f>
        <v>0</v>
      </c>
      <c r="L8" s="452">
        <f>industrie!L18</f>
        <v>0</v>
      </c>
      <c r="M8" s="452">
        <f>industrie!M18</f>
        <v>0</v>
      </c>
      <c r="N8" s="452">
        <f>industrie!N18</f>
        <v>104.54892225340478</v>
      </c>
      <c r="O8" s="452">
        <f>industrie!O18</f>
        <v>0</v>
      </c>
      <c r="P8" s="453">
        <f>industrie!P18</f>
        <v>0</v>
      </c>
      <c r="Q8" s="451">
        <f t="shared" si="0"/>
        <v>5736.4180907893451</v>
      </c>
    </row>
    <row r="9" spans="1:17" s="457" customFormat="1">
      <c r="A9" s="455" t="s">
        <v>551</v>
      </c>
      <c r="B9" s="456">
        <f>transport!B14</f>
        <v>68.449729504278736</v>
      </c>
      <c r="C9" s="456">
        <f>transport!C14</f>
        <v>0</v>
      </c>
      <c r="D9" s="456">
        <f>transport!D14</f>
        <v>250.87757729515667</v>
      </c>
      <c r="E9" s="456">
        <f>transport!E14</f>
        <v>237.34717070615261</v>
      </c>
      <c r="F9" s="456">
        <f>transport!F14</f>
        <v>0</v>
      </c>
      <c r="G9" s="456">
        <f>transport!G14</f>
        <v>138007.11949073357</v>
      </c>
      <c r="H9" s="456">
        <f>transport!H14</f>
        <v>23889.418513932596</v>
      </c>
      <c r="I9" s="456">
        <f>transport!I14</f>
        <v>0</v>
      </c>
      <c r="J9" s="456">
        <f>transport!J14</f>
        <v>0</v>
      </c>
      <c r="K9" s="456">
        <f>transport!K14</f>
        <v>0</v>
      </c>
      <c r="L9" s="456">
        <f>transport!L14</f>
        <v>0</v>
      </c>
      <c r="M9" s="456">
        <f>transport!M14</f>
        <v>9536.6919930883996</v>
      </c>
      <c r="N9" s="456">
        <f>transport!N14</f>
        <v>0</v>
      </c>
      <c r="O9" s="456">
        <f>transport!O14</f>
        <v>0</v>
      </c>
      <c r="P9" s="456">
        <f>transport!P14</f>
        <v>0</v>
      </c>
      <c r="Q9" s="455">
        <f>SUM(B9:P9)</f>
        <v>171989.90447526015</v>
      </c>
    </row>
    <row r="10" spans="1:17">
      <c r="A10" s="451" t="s">
        <v>541</v>
      </c>
      <c r="B10" s="452">
        <f>transport!B54</f>
        <v>0</v>
      </c>
      <c r="C10" s="452">
        <f>transport!C54</f>
        <v>0</v>
      </c>
      <c r="D10" s="452">
        <f>transport!D54</f>
        <v>0</v>
      </c>
      <c r="E10" s="452">
        <f>transport!E54</f>
        <v>0</v>
      </c>
      <c r="F10" s="452">
        <f>transport!F54</f>
        <v>0</v>
      </c>
      <c r="G10" s="452">
        <f>transport!G54</f>
        <v>582.21414454080013</v>
      </c>
      <c r="H10" s="452">
        <f>transport!H54</f>
        <v>0</v>
      </c>
      <c r="I10" s="452">
        <f>transport!I54</f>
        <v>0</v>
      </c>
      <c r="J10" s="452">
        <f>transport!J54</f>
        <v>0</v>
      </c>
      <c r="K10" s="452">
        <f>transport!K54</f>
        <v>0</v>
      </c>
      <c r="L10" s="452">
        <f>transport!L54</f>
        <v>0</v>
      </c>
      <c r="M10" s="452">
        <f>transport!M54</f>
        <v>32.354435459498667</v>
      </c>
      <c r="N10" s="452">
        <f>transport!N54</f>
        <v>0</v>
      </c>
      <c r="O10" s="452">
        <f>transport!O54</f>
        <v>0</v>
      </c>
      <c r="P10" s="453">
        <f>transport!P54</f>
        <v>0</v>
      </c>
      <c r="Q10" s="451">
        <f t="shared" si="0"/>
        <v>614.56858000029877</v>
      </c>
    </row>
    <row r="11" spans="1:17">
      <c r="A11" s="451" t="s">
        <v>542</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543</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544</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763</v>
      </c>
      <c r="B14" s="459">
        <f>'SEAP template'!C25</f>
        <v>561.39388699999995</v>
      </c>
      <c r="C14" s="459"/>
      <c r="D14" s="459">
        <f>'SEAP template'!E25</f>
        <v>957.79709500000001</v>
      </c>
      <c r="E14" s="459"/>
      <c r="F14" s="459"/>
      <c r="G14" s="459"/>
      <c r="H14" s="459"/>
      <c r="I14" s="459"/>
      <c r="J14" s="459"/>
      <c r="K14" s="459"/>
      <c r="L14" s="459"/>
      <c r="M14" s="459"/>
      <c r="N14" s="459"/>
      <c r="O14" s="459"/>
      <c r="P14" s="460"/>
      <c r="Q14" s="451">
        <f t="shared" si="0"/>
        <v>1519.1909820000001</v>
      </c>
    </row>
    <row r="15" spans="1:17" s="463" customFormat="1">
      <c r="A15" s="461" t="s">
        <v>545</v>
      </c>
      <c r="B15" s="462">
        <f ca="1">SUM(B4:B14)</f>
        <v>41554.163045936177</v>
      </c>
      <c r="C15" s="462">
        <f t="shared" ref="C15:Q15" ca="1" si="1">SUM(C4:C14)</f>
        <v>5637.8571428571431</v>
      </c>
      <c r="D15" s="462">
        <f t="shared" ca="1" si="1"/>
        <v>53100.431958356865</v>
      </c>
      <c r="E15" s="462">
        <f t="shared" si="1"/>
        <v>8087.9221056864699</v>
      </c>
      <c r="F15" s="462">
        <f t="shared" ca="1" si="1"/>
        <v>19259.158471630326</v>
      </c>
      <c r="G15" s="462">
        <f t="shared" si="1"/>
        <v>138589.33363527438</v>
      </c>
      <c r="H15" s="462">
        <f t="shared" si="1"/>
        <v>23889.418513932596</v>
      </c>
      <c r="I15" s="462">
        <f t="shared" si="1"/>
        <v>0</v>
      </c>
      <c r="J15" s="462">
        <f t="shared" si="1"/>
        <v>2906.6352456088616</v>
      </c>
      <c r="K15" s="462">
        <f t="shared" si="1"/>
        <v>0</v>
      </c>
      <c r="L15" s="462">
        <f t="shared" ca="1" si="1"/>
        <v>0</v>
      </c>
      <c r="M15" s="462">
        <f t="shared" si="1"/>
        <v>9569.0464285478974</v>
      </c>
      <c r="N15" s="462">
        <f t="shared" ca="1" si="1"/>
        <v>10913.34495527613</v>
      </c>
      <c r="O15" s="462">
        <f t="shared" si="1"/>
        <v>446.26532979682929</v>
      </c>
      <c r="P15" s="462">
        <f t="shared" si="1"/>
        <v>558.16918507537616</v>
      </c>
      <c r="Q15" s="462">
        <f t="shared" ca="1" si="1"/>
        <v>314511.74601797911</v>
      </c>
    </row>
    <row r="17" spans="1:17">
      <c r="A17" s="464" t="s">
        <v>546</v>
      </c>
      <c r="B17" s="781">
        <f ca="1">huishoudens!B10</f>
        <v>0.18311312550240619</v>
      </c>
      <c r="C17" s="781">
        <f ca="1">huishoudens!C10</f>
        <v>0.23764705882352943</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9" spans="1:17" ht="15.75">
      <c r="A19" s="1162" t="s">
        <v>548</v>
      </c>
      <c r="B19" s="1163" t="s">
        <v>547</v>
      </c>
      <c r="C19" s="1163"/>
      <c r="D19" s="1163"/>
      <c r="E19" s="1163"/>
      <c r="F19" s="1163"/>
      <c r="G19" s="1163"/>
      <c r="H19" s="1163"/>
      <c r="I19" s="1163"/>
      <c r="J19" s="1163"/>
      <c r="K19" s="1163"/>
      <c r="L19" s="1163"/>
      <c r="M19" s="1163"/>
      <c r="N19" s="1163"/>
      <c r="O19" s="1163"/>
      <c r="P19" s="1164"/>
      <c r="Q19" s="449"/>
    </row>
    <row r="20" spans="1:17" ht="15" customHeight="1">
      <c r="A20" s="1162"/>
      <c r="B20" s="1165" t="s">
        <v>20</v>
      </c>
      <c r="C20" s="1167" t="s">
        <v>195</v>
      </c>
      <c r="D20" s="1169" t="s">
        <v>196</v>
      </c>
      <c r="E20" s="1170"/>
      <c r="F20" s="1170"/>
      <c r="G20" s="1170"/>
      <c r="H20" s="1170"/>
      <c r="I20" s="1170"/>
      <c r="J20" s="1170"/>
      <c r="K20" s="1166"/>
      <c r="L20" s="1169" t="s">
        <v>197</v>
      </c>
      <c r="M20" s="1170"/>
      <c r="N20" s="1170"/>
      <c r="O20" s="1170"/>
      <c r="P20" s="1166"/>
      <c r="Q20" s="449"/>
    </row>
    <row r="21" spans="1:17" ht="45">
      <c r="A21" s="1162"/>
      <c r="B21" s="1166"/>
      <c r="C21" s="1168"/>
      <c r="D21" s="449" t="s">
        <v>198</v>
      </c>
      <c r="E21" s="449" t="s">
        <v>199</v>
      </c>
      <c r="F21" s="449" t="s">
        <v>200</v>
      </c>
      <c r="G21" s="449" t="s">
        <v>201</v>
      </c>
      <c r="H21" s="449" t="s">
        <v>119</v>
      </c>
      <c r="I21" s="449" t="s">
        <v>202</v>
      </c>
      <c r="J21" s="449" t="s">
        <v>203</v>
      </c>
      <c r="K21" s="449" t="s">
        <v>204</v>
      </c>
      <c r="L21" s="449" t="s">
        <v>205</v>
      </c>
      <c r="M21" s="449" t="s">
        <v>206</v>
      </c>
      <c r="N21" s="449" t="s">
        <v>207</v>
      </c>
      <c r="O21" s="449" t="s">
        <v>208</v>
      </c>
      <c r="P21" s="449" t="s">
        <v>209</v>
      </c>
      <c r="Q21" s="449" t="s">
        <v>115</v>
      </c>
    </row>
    <row r="22" spans="1:17">
      <c r="A22" s="451" t="s">
        <v>154</v>
      </c>
      <c r="B22" s="452">
        <f t="shared" ref="B22:B32" ca="1" si="2">B4*$B$17</f>
        <v>4620.6848154046356</v>
      </c>
      <c r="C22" s="452">
        <f t="shared" ref="C22:C32" ca="1" si="3">C4*$C$17</f>
        <v>0</v>
      </c>
      <c r="D22" s="452">
        <f t="shared" ref="D22:D32" si="4">D4*$D$17</f>
        <v>7870.3759169855603</v>
      </c>
      <c r="E22" s="452">
        <f t="shared" ref="E22:E32" si="5">E4*$E$17</f>
        <v>1657.6681067617026</v>
      </c>
      <c r="F22" s="452">
        <f t="shared" ref="F22:F32" si="6">F4*$F$17</f>
        <v>2767.8720537755307</v>
      </c>
      <c r="G22" s="452">
        <f t="shared" ref="G22:G32" si="7">G4*$G$17</f>
        <v>0</v>
      </c>
      <c r="H22" s="452">
        <f t="shared" ref="H22:H32" si="8">H4*$H$17</f>
        <v>0</v>
      </c>
      <c r="I22" s="452">
        <f t="shared" ref="I22:I32" si="9">I4*$I$17</f>
        <v>0</v>
      </c>
      <c r="J22" s="452">
        <f t="shared" ref="J22:J32" si="10">J4*$J$17</f>
        <v>841.46621775355675</v>
      </c>
      <c r="K22" s="452">
        <f t="shared" ref="K22:K32" si="11">K4*$K$17</f>
        <v>0</v>
      </c>
      <c r="L22" s="452">
        <f t="shared" ref="L22:L32" si="12">L4*$L$17</f>
        <v>0</v>
      </c>
      <c r="M22" s="452">
        <f t="shared" ref="M22:M32" si="13">M4*$M$17</f>
        <v>0</v>
      </c>
      <c r="N22" s="452">
        <f t="shared" ref="N22:N32" si="14">N4*$N$17</f>
        <v>0</v>
      </c>
      <c r="O22" s="452">
        <f t="shared" ref="O22:O32" si="15">O4*$O$17</f>
        <v>0</v>
      </c>
      <c r="P22" s="465">
        <f t="shared" ref="P22:P32" si="16">P4*$P$17</f>
        <v>0</v>
      </c>
      <c r="Q22" s="454">
        <f ca="1">SUM(B22:P22)</f>
        <v>17758.06711068099</v>
      </c>
    </row>
    <row r="23" spans="1:17">
      <c r="A23" s="451" t="s">
        <v>155</v>
      </c>
      <c r="B23" s="452">
        <f t="shared" ca="1" si="2"/>
        <v>1925.9978826970791</v>
      </c>
      <c r="C23" s="452">
        <f t="shared" ca="1" si="3"/>
        <v>0</v>
      </c>
      <c r="D23" s="452">
        <f t="shared" ca="1" si="4"/>
        <v>2165.8117677318323</v>
      </c>
      <c r="E23" s="452">
        <f t="shared" si="5"/>
        <v>42.687261995467402</v>
      </c>
      <c r="F23" s="452">
        <f t="shared" ca="1" si="6"/>
        <v>310.24580510610343</v>
      </c>
      <c r="G23" s="452">
        <f t="shared" si="7"/>
        <v>0</v>
      </c>
      <c r="H23" s="452">
        <f t="shared" si="8"/>
        <v>0</v>
      </c>
      <c r="I23" s="452">
        <f t="shared" si="9"/>
        <v>0</v>
      </c>
      <c r="J23" s="452">
        <f t="shared" si="10"/>
        <v>4.8626029877770656E-3</v>
      </c>
      <c r="K23" s="452">
        <f t="shared" si="11"/>
        <v>0</v>
      </c>
      <c r="L23" s="452">
        <f t="shared" ca="1" si="12"/>
        <v>0</v>
      </c>
      <c r="M23" s="452">
        <f t="shared" si="13"/>
        <v>0</v>
      </c>
      <c r="N23" s="452">
        <f t="shared" ca="1" si="14"/>
        <v>0</v>
      </c>
      <c r="O23" s="452">
        <f t="shared" si="15"/>
        <v>0</v>
      </c>
      <c r="P23" s="453">
        <f t="shared" si="16"/>
        <v>0</v>
      </c>
      <c r="Q23" s="451">
        <f t="shared" ref="Q23:Q31" ca="1" si="17">SUM(B23:P23)</f>
        <v>4444.7475801334695</v>
      </c>
    </row>
    <row r="24" spans="1:17">
      <c r="A24" s="451" t="s">
        <v>193</v>
      </c>
      <c r="B24" s="452">
        <f t="shared" ca="1" si="2"/>
        <v>184.52785751003779</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184.52785751003779</v>
      </c>
    </row>
    <row r="25" spans="1:17">
      <c r="A25" s="451" t="s">
        <v>111</v>
      </c>
      <c r="B25" s="452">
        <f t="shared" ca="1" si="2"/>
        <v>350.04565871375968</v>
      </c>
      <c r="C25" s="452">
        <f t="shared" ca="1" si="3"/>
        <v>1339.8201680672271</v>
      </c>
      <c r="D25" s="452">
        <f t="shared" si="4"/>
        <v>21.535313891157937</v>
      </c>
      <c r="E25" s="452">
        <f t="shared" si="5"/>
        <v>13.543167740268771</v>
      </c>
      <c r="F25" s="452">
        <f t="shared" si="6"/>
        <v>1803.8342970432338</v>
      </c>
      <c r="G25" s="452">
        <f t="shared" si="7"/>
        <v>0</v>
      </c>
      <c r="H25" s="452">
        <f t="shared" si="8"/>
        <v>0</v>
      </c>
      <c r="I25" s="452">
        <f t="shared" si="9"/>
        <v>0</v>
      </c>
      <c r="J25" s="452">
        <f t="shared" si="10"/>
        <v>186.44082566319702</v>
      </c>
      <c r="K25" s="452">
        <f t="shared" si="11"/>
        <v>0</v>
      </c>
      <c r="L25" s="452">
        <f t="shared" si="12"/>
        <v>0</v>
      </c>
      <c r="M25" s="452">
        <f t="shared" si="13"/>
        <v>0</v>
      </c>
      <c r="N25" s="452">
        <f t="shared" si="14"/>
        <v>0</v>
      </c>
      <c r="O25" s="452">
        <f t="shared" si="15"/>
        <v>0</v>
      </c>
      <c r="P25" s="453">
        <f t="shared" si="16"/>
        <v>0</v>
      </c>
      <c r="Q25" s="451">
        <f t="shared" ca="1" si="17"/>
        <v>3715.2194311188441</v>
      </c>
    </row>
    <row r="26" spans="1:17">
      <c r="A26" s="451" t="s">
        <v>625</v>
      </c>
      <c r="B26" s="452">
        <f t="shared" ca="1" si="2"/>
        <v>412.52382545660998</v>
      </c>
      <c r="C26" s="452">
        <f t="shared" ca="1" si="3"/>
        <v>0</v>
      </c>
      <c r="D26" s="452">
        <f t="shared" si="4"/>
        <v>424.41197317591605</v>
      </c>
      <c r="E26" s="452">
        <f t="shared" si="5"/>
        <v>68.181973743093408</v>
      </c>
      <c r="F26" s="452">
        <f t="shared" si="6"/>
        <v>260.24315600042991</v>
      </c>
      <c r="G26" s="452">
        <f t="shared" si="7"/>
        <v>0</v>
      </c>
      <c r="H26" s="452">
        <f t="shared" si="8"/>
        <v>0</v>
      </c>
      <c r="I26" s="452">
        <f t="shared" si="9"/>
        <v>0</v>
      </c>
      <c r="J26" s="452">
        <f t="shared" si="10"/>
        <v>1.0369709257954576</v>
      </c>
      <c r="K26" s="452">
        <f t="shared" si="11"/>
        <v>0</v>
      </c>
      <c r="L26" s="452">
        <f t="shared" si="12"/>
        <v>0</v>
      </c>
      <c r="M26" s="452">
        <f t="shared" si="13"/>
        <v>0</v>
      </c>
      <c r="N26" s="452">
        <f t="shared" si="14"/>
        <v>0</v>
      </c>
      <c r="O26" s="452">
        <f t="shared" si="15"/>
        <v>0</v>
      </c>
      <c r="P26" s="453">
        <f t="shared" si="16"/>
        <v>0</v>
      </c>
      <c r="Q26" s="451">
        <f t="shared" ca="1" si="17"/>
        <v>1166.3978993018447</v>
      </c>
    </row>
    <row r="27" spans="1:17" s="457" customFormat="1">
      <c r="A27" s="455" t="s">
        <v>551</v>
      </c>
      <c r="B27" s="775">
        <f t="shared" ca="1" si="2"/>
        <v>12.534043909322747</v>
      </c>
      <c r="C27" s="456">
        <f t="shared" ca="1" si="3"/>
        <v>0</v>
      </c>
      <c r="D27" s="456">
        <f t="shared" si="4"/>
        <v>50.677270613621651</v>
      </c>
      <c r="E27" s="456">
        <f t="shared" si="5"/>
        <v>53.877807750296647</v>
      </c>
      <c r="F27" s="456">
        <f t="shared" si="6"/>
        <v>0</v>
      </c>
      <c r="G27" s="456">
        <f t="shared" si="7"/>
        <v>36847.900904025868</v>
      </c>
      <c r="H27" s="456">
        <f t="shared" si="8"/>
        <v>5948.4652099692166</v>
      </c>
      <c r="I27" s="456">
        <f t="shared" si="9"/>
        <v>0</v>
      </c>
      <c r="J27" s="456">
        <f t="shared" si="10"/>
        <v>0</v>
      </c>
      <c r="K27" s="456">
        <f t="shared" si="11"/>
        <v>0</v>
      </c>
      <c r="L27" s="456">
        <f t="shared" si="12"/>
        <v>0</v>
      </c>
      <c r="M27" s="456">
        <f t="shared" si="13"/>
        <v>0</v>
      </c>
      <c r="N27" s="456">
        <f t="shared" si="14"/>
        <v>0</v>
      </c>
      <c r="O27" s="456">
        <f t="shared" si="15"/>
        <v>0</v>
      </c>
      <c r="P27" s="466">
        <f t="shared" si="16"/>
        <v>0</v>
      </c>
      <c r="Q27" s="455">
        <f t="shared" ca="1" si="17"/>
        <v>42913.455236268324</v>
      </c>
    </row>
    <row r="28" spans="1:17" ht="16.5" customHeight="1">
      <c r="A28" s="451" t="s">
        <v>541</v>
      </c>
      <c r="B28" s="452">
        <f t="shared" ca="1" si="2"/>
        <v>0</v>
      </c>
      <c r="C28" s="452">
        <f t="shared" ca="1" si="3"/>
        <v>0</v>
      </c>
      <c r="D28" s="452">
        <f t="shared" si="4"/>
        <v>0</v>
      </c>
      <c r="E28" s="452">
        <f t="shared" si="5"/>
        <v>0</v>
      </c>
      <c r="F28" s="452">
        <f t="shared" si="6"/>
        <v>0</v>
      </c>
      <c r="G28" s="452">
        <f t="shared" si="7"/>
        <v>155.45117659239364</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155.45117659239364</v>
      </c>
    </row>
    <row r="29" spans="1:17">
      <c r="A29" s="451" t="s">
        <v>542</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543</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544</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763</v>
      </c>
      <c r="B32" s="452">
        <f t="shared" ca="1" si="2"/>
        <v>102.79858928651463</v>
      </c>
      <c r="C32" s="452">
        <f t="shared" ca="1" si="3"/>
        <v>0</v>
      </c>
      <c r="D32" s="452">
        <f t="shared" si="4"/>
        <v>193.47501319000003</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ref="Q32" ca="1" si="18">SUM(B32:P32)</f>
        <v>296.27360247651467</v>
      </c>
    </row>
    <row r="33" spans="1:17" s="463" customFormat="1">
      <c r="A33" s="461" t="s">
        <v>545</v>
      </c>
      <c r="B33" s="462">
        <f ca="1">SUM(B22:B32)</f>
        <v>7609.1126729779589</v>
      </c>
      <c r="C33" s="462">
        <f t="shared" ref="C33:Q33" ca="1" si="19">SUM(C22:C32)</f>
        <v>1339.8201680672271</v>
      </c>
      <c r="D33" s="462">
        <f t="shared" ca="1" si="19"/>
        <v>10726.287255588088</v>
      </c>
      <c r="E33" s="462">
        <f t="shared" si="19"/>
        <v>1835.9583179908286</v>
      </c>
      <c r="F33" s="462">
        <f t="shared" ca="1" si="19"/>
        <v>5142.1953119252976</v>
      </c>
      <c r="G33" s="462">
        <f t="shared" si="19"/>
        <v>37003.352080618264</v>
      </c>
      <c r="H33" s="462">
        <f t="shared" si="19"/>
        <v>5948.4652099692166</v>
      </c>
      <c r="I33" s="462">
        <f t="shared" si="19"/>
        <v>0</v>
      </c>
      <c r="J33" s="462">
        <f t="shared" si="19"/>
        <v>1028.948876945537</v>
      </c>
      <c r="K33" s="462">
        <f t="shared" si="19"/>
        <v>0</v>
      </c>
      <c r="L33" s="462">
        <f t="shared" ca="1" si="19"/>
        <v>0</v>
      </c>
      <c r="M33" s="462">
        <f t="shared" si="19"/>
        <v>0</v>
      </c>
      <c r="N33" s="462">
        <f t="shared" ca="1" si="19"/>
        <v>0</v>
      </c>
      <c r="O33" s="462">
        <f t="shared" si="19"/>
        <v>0</v>
      </c>
      <c r="P33" s="462">
        <f t="shared" si="19"/>
        <v>0</v>
      </c>
      <c r="Q33" s="462">
        <f t="shared" ca="1" si="19"/>
        <v>70634.139894082429</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77" customFormat="1" ht="21">
      <c r="A1" s="1171" t="s">
        <v>540</v>
      </c>
      <c r="B1" s="1172" t="s">
        <v>732</v>
      </c>
      <c r="C1" s="1172"/>
      <c r="D1" s="1172"/>
      <c r="E1" s="1172"/>
      <c r="F1" s="1172"/>
      <c r="G1" s="1172"/>
      <c r="H1" s="1172"/>
      <c r="I1" s="1172"/>
      <c r="J1" s="1172"/>
      <c r="K1" s="1172"/>
      <c r="L1" s="1172"/>
      <c r="M1" s="1172"/>
      <c r="N1" s="1172"/>
      <c r="O1" s="1172"/>
      <c r="P1" s="1173"/>
      <c r="Q1" s="976"/>
    </row>
    <row r="2" spans="1:17" s="977" customFormat="1" ht="21">
      <c r="A2" s="1171"/>
      <c r="B2" s="1174" t="s">
        <v>20</v>
      </c>
      <c r="C2" s="1176" t="s">
        <v>195</v>
      </c>
      <c r="D2" s="1178" t="s">
        <v>196</v>
      </c>
      <c r="E2" s="1179"/>
      <c r="F2" s="1179"/>
      <c r="G2" s="1179"/>
      <c r="H2" s="1179"/>
      <c r="I2" s="1179"/>
      <c r="J2" s="1179"/>
      <c r="K2" s="1175"/>
      <c r="L2" s="1178" t="s">
        <v>197</v>
      </c>
      <c r="M2" s="1179"/>
      <c r="N2" s="1179"/>
      <c r="O2" s="1179"/>
      <c r="P2" s="1175"/>
      <c r="Q2" s="976"/>
    </row>
    <row r="3" spans="1:17" s="977" customFormat="1" ht="42">
      <c r="A3" s="1171"/>
      <c r="B3" s="1175"/>
      <c r="C3" s="1177"/>
      <c r="D3" s="978" t="s">
        <v>198</v>
      </c>
      <c r="E3" s="978" t="s">
        <v>199</v>
      </c>
      <c r="F3" s="978" t="s">
        <v>200</v>
      </c>
      <c r="G3" s="978" t="s">
        <v>201</v>
      </c>
      <c r="H3" s="978" t="s">
        <v>119</v>
      </c>
      <c r="I3" s="978" t="s">
        <v>202</v>
      </c>
      <c r="J3" s="978" t="s">
        <v>203</v>
      </c>
      <c r="K3" s="978" t="s">
        <v>204</v>
      </c>
      <c r="L3" s="978" t="s">
        <v>205</v>
      </c>
      <c r="M3" s="978" t="s">
        <v>206</v>
      </c>
      <c r="N3" s="978" t="s">
        <v>207</v>
      </c>
      <c r="O3" s="978" t="s">
        <v>208</v>
      </c>
      <c r="P3" s="978" t="s">
        <v>209</v>
      </c>
      <c r="Q3" s="976" t="s">
        <v>115</v>
      </c>
    </row>
    <row r="4" spans="1:17" ht="195">
      <c r="A4" s="979" t="s">
        <v>154</v>
      </c>
      <c r="B4" s="980" t="s">
        <v>733</v>
      </c>
      <c r="C4" s="981" t="s">
        <v>734</v>
      </c>
      <c r="D4" s="982" t="s">
        <v>735</v>
      </c>
      <c r="E4" s="983" t="s">
        <v>736</v>
      </c>
      <c r="F4" s="983" t="s">
        <v>737</v>
      </c>
      <c r="G4" s="984" t="s">
        <v>738</v>
      </c>
      <c r="H4" s="984" t="s">
        <v>738</v>
      </c>
      <c r="I4" s="984" t="s">
        <v>738</v>
      </c>
      <c r="J4" s="983" t="s">
        <v>739</v>
      </c>
      <c r="K4" s="984" t="s">
        <v>738</v>
      </c>
      <c r="L4" s="984" t="s">
        <v>738</v>
      </c>
      <c r="M4" s="984" t="s">
        <v>738</v>
      </c>
      <c r="N4" s="983" t="s">
        <v>740</v>
      </c>
      <c r="O4" s="985" t="s">
        <v>741</v>
      </c>
      <c r="P4" s="986" t="s">
        <v>742</v>
      </c>
      <c r="Q4" s="987"/>
    </row>
    <row r="5" spans="1:17" ht="150">
      <c r="A5" s="988" t="s">
        <v>155</v>
      </c>
      <c r="B5" s="989" t="s">
        <v>743</v>
      </c>
      <c r="C5" s="990" t="s">
        <v>744</v>
      </c>
      <c r="D5" s="990" t="s">
        <v>745</v>
      </c>
      <c r="E5" s="991" t="s">
        <v>746</v>
      </c>
      <c r="F5" s="991" t="s">
        <v>747</v>
      </c>
      <c r="G5" s="992" t="s">
        <v>738</v>
      </c>
      <c r="H5" s="992" t="s">
        <v>738</v>
      </c>
      <c r="I5" s="992" t="s">
        <v>738</v>
      </c>
      <c r="J5" s="991" t="s">
        <v>748</v>
      </c>
      <c r="K5" s="989" t="s">
        <v>749</v>
      </c>
      <c r="L5" s="992" t="s">
        <v>738</v>
      </c>
      <c r="M5" s="992" t="s">
        <v>738</v>
      </c>
      <c r="N5" s="991" t="s">
        <v>750</v>
      </c>
      <c r="O5" s="993" t="s">
        <v>741</v>
      </c>
      <c r="P5" s="994" t="s">
        <v>742</v>
      </c>
      <c r="Q5" s="995"/>
    </row>
    <row r="6" spans="1:17" ht="30">
      <c r="A6" s="988" t="s">
        <v>193</v>
      </c>
      <c r="B6" s="996" t="s">
        <v>751</v>
      </c>
      <c r="C6" s="997" t="s">
        <v>752</v>
      </c>
      <c r="D6" s="992" t="s">
        <v>752</v>
      </c>
      <c r="E6" s="992" t="s">
        <v>752</v>
      </c>
      <c r="F6" s="992" t="s">
        <v>752</v>
      </c>
      <c r="G6" s="992" t="s">
        <v>752</v>
      </c>
      <c r="H6" s="992" t="s">
        <v>752</v>
      </c>
      <c r="I6" s="992" t="s">
        <v>752</v>
      </c>
      <c r="J6" s="992" t="s">
        <v>752</v>
      </c>
      <c r="K6" s="992" t="s">
        <v>752</v>
      </c>
      <c r="L6" s="992" t="s">
        <v>752</v>
      </c>
      <c r="M6" s="992" t="s">
        <v>752</v>
      </c>
      <c r="N6" s="992" t="s">
        <v>752</v>
      </c>
      <c r="O6" s="998" t="s">
        <v>752</v>
      </c>
      <c r="P6" s="999" t="s">
        <v>752</v>
      </c>
      <c r="Q6" s="1000"/>
    </row>
    <row r="7" spans="1:17" ht="150">
      <c r="A7" s="988" t="s">
        <v>111</v>
      </c>
      <c r="B7" s="996" t="s">
        <v>751</v>
      </c>
      <c r="C7" s="990" t="s">
        <v>744</v>
      </c>
      <c r="D7" s="990" t="s">
        <v>745</v>
      </c>
      <c r="E7" s="991" t="s">
        <v>746</v>
      </c>
      <c r="F7" s="991" t="s">
        <v>747</v>
      </c>
      <c r="G7" s="992" t="s">
        <v>738</v>
      </c>
      <c r="H7" s="992" t="s">
        <v>738</v>
      </c>
      <c r="I7" s="992" t="s">
        <v>738</v>
      </c>
      <c r="J7" s="991" t="s">
        <v>748</v>
      </c>
      <c r="K7" s="992" t="s">
        <v>738</v>
      </c>
      <c r="L7" s="992" t="s">
        <v>738</v>
      </c>
      <c r="M7" s="992" t="s">
        <v>738</v>
      </c>
      <c r="N7" s="1001" t="s">
        <v>738</v>
      </c>
      <c r="O7" s="997" t="s">
        <v>738</v>
      </c>
      <c r="P7" s="1002" t="s">
        <v>738</v>
      </c>
      <c r="Q7" s="995"/>
    </row>
    <row r="8" spans="1:17" ht="270">
      <c r="A8" s="988" t="s">
        <v>625</v>
      </c>
      <c r="B8" s="989" t="s">
        <v>753</v>
      </c>
      <c r="C8" s="990" t="s">
        <v>744</v>
      </c>
      <c r="D8" s="990" t="s">
        <v>745</v>
      </c>
      <c r="E8" s="991" t="s">
        <v>746</v>
      </c>
      <c r="F8" s="991" t="s">
        <v>747</v>
      </c>
      <c r="G8" s="992" t="s">
        <v>738</v>
      </c>
      <c r="H8" s="992" t="s">
        <v>738</v>
      </c>
      <c r="I8" s="992" t="s">
        <v>738</v>
      </c>
      <c r="J8" s="991" t="s">
        <v>748</v>
      </c>
      <c r="K8" s="989" t="s">
        <v>749</v>
      </c>
      <c r="L8" s="992" t="s">
        <v>738</v>
      </c>
      <c r="M8" s="992" t="s">
        <v>738</v>
      </c>
      <c r="N8" s="991" t="s">
        <v>750</v>
      </c>
      <c r="O8" s="993" t="s">
        <v>741</v>
      </c>
      <c r="P8" s="994" t="s">
        <v>742</v>
      </c>
      <c r="Q8" s="995"/>
    </row>
    <row r="9" spans="1:17" s="457" customFormat="1" ht="390">
      <c r="A9" s="1003" t="s">
        <v>551</v>
      </c>
      <c r="B9" s="991" t="s">
        <v>754</v>
      </c>
      <c r="C9" s="998" t="s">
        <v>752</v>
      </c>
      <c r="D9" s="991" t="s">
        <v>755</v>
      </c>
      <c r="E9" s="991" t="s">
        <v>756</v>
      </c>
      <c r="F9" s="992" t="s">
        <v>752</v>
      </c>
      <c r="G9" s="991" t="s">
        <v>757</v>
      </c>
      <c r="H9" s="991" t="s">
        <v>758</v>
      </c>
      <c r="I9" s="992" t="s">
        <v>752</v>
      </c>
      <c r="J9" s="992" t="s">
        <v>752</v>
      </c>
      <c r="K9" s="992" t="s">
        <v>752</v>
      </c>
      <c r="L9" s="992" t="s">
        <v>752</v>
      </c>
      <c r="M9" s="991" t="s">
        <v>754</v>
      </c>
      <c r="N9" s="992" t="s">
        <v>752</v>
      </c>
      <c r="O9" s="992" t="s">
        <v>752</v>
      </c>
      <c r="P9" s="1004" t="s">
        <v>752</v>
      </c>
      <c r="Q9" s="1005"/>
    </row>
    <row r="10" spans="1:17" ht="360">
      <c r="A10" s="988" t="s">
        <v>541</v>
      </c>
      <c r="B10" s="989" t="s">
        <v>759</v>
      </c>
      <c r="C10" s="998" t="s">
        <v>752</v>
      </c>
      <c r="D10" s="998" t="s">
        <v>752</v>
      </c>
      <c r="E10" s="998" t="s">
        <v>752</v>
      </c>
      <c r="F10" s="992" t="s">
        <v>752</v>
      </c>
      <c r="G10" s="989" t="s">
        <v>760</v>
      </c>
      <c r="H10" s="992" t="s">
        <v>752</v>
      </c>
      <c r="I10" s="992" t="s">
        <v>752</v>
      </c>
      <c r="J10" s="992" t="s">
        <v>752</v>
      </c>
      <c r="K10" s="992" t="s">
        <v>752</v>
      </c>
      <c r="L10" s="992" t="s">
        <v>752</v>
      </c>
      <c r="M10" s="989" t="s">
        <v>761</v>
      </c>
      <c r="N10" s="992" t="s">
        <v>752</v>
      </c>
      <c r="O10" s="992" t="s">
        <v>752</v>
      </c>
      <c r="P10" s="1004" t="s">
        <v>752</v>
      </c>
      <c r="Q10" s="995"/>
    </row>
    <row r="11" spans="1:17" ht="21">
      <c r="A11" s="988" t="s">
        <v>542</v>
      </c>
      <c r="B11" s="1006" t="s">
        <v>762</v>
      </c>
      <c r="C11" s="1006" t="s">
        <v>762</v>
      </c>
      <c r="D11" s="1006" t="s">
        <v>762</v>
      </c>
      <c r="E11" s="1006" t="s">
        <v>762</v>
      </c>
      <c r="F11" s="1006" t="s">
        <v>762</v>
      </c>
      <c r="G11" s="1006" t="s">
        <v>762</v>
      </c>
      <c r="H11" s="1006" t="s">
        <v>762</v>
      </c>
      <c r="I11" s="1006" t="s">
        <v>762</v>
      </c>
      <c r="J11" s="1006" t="s">
        <v>762</v>
      </c>
      <c r="K11" s="1006" t="s">
        <v>762</v>
      </c>
      <c r="L11" s="1006" t="s">
        <v>762</v>
      </c>
      <c r="M11" s="1006" t="s">
        <v>762</v>
      </c>
      <c r="N11" s="1006" t="s">
        <v>762</v>
      </c>
      <c r="O11" s="1006" t="s">
        <v>762</v>
      </c>
      <c r="P11" s="1007" t="s">
        <v>762</v>
      </c>
      <c r="Q11" s="1008"/>
    </row>
    <row r="12" spans="1:17" ht="21">
      <c r="A12" s="988" t="s">
        <v>543</v>
      </c>
      <c r="B12" s="1006" t="s">
        <v>762</v>
      </c>
      <c r="C12" s="1006" t="s">
        <v>752</v>
      </c>
      <c r="D12" s="1006" t="s">
        <v>752</v>
      </c>
      <c r="E12" s="1006" t="s">
        <v>752</v>
      </c>
      <c r="F12" s="1006" t="s">
        <v>752</v>
      </c>
      <c r="G12" s="1006" t="s">
        <v>752</v>
      </c>
      <c r="H12" s="1006" t="s">
        <v>752</v>
      </c>
      <c r="I12" s="1006" t="s">
        <v>752</v>
      </c>
      <c r="J12" s="1006" t="s">
        <v>752</v>
      </c>
      <c r="K12" s="1006" t="s">
        <v>752</v>
      </c>
      <c r="L12" s="1006" t="s">
        <v>752</v>
      </c>
      <c r="M12" s="1006" t="s">
        <v>752</v>
      </c>
      <c r="N12" s="1006" t="s">
        <v>752</v>
      </c>
      <c r="O12" s="1006" t="s">
        <v>752</v>
      </c>
      <c r="P12" s="1009" t="s">
        <v>752</v>
      </c>
      <c r="Q12" s="453"/>
    </row>
    <row r="13" spans="1:17" ht="21">
      <c r="A13" s="988" t="s">
        <v>544</v>
      </c>
      <c r="B13" s="1006" t="s">
        <v>762</v>
      </c>
      <c r="C13" s="1006" t="s">
        <v>752</v>
      </c>
      <c r="D13" s="1006" t="s">
        <v>762</v>
      </c>
      <c r="E13" s="1006" t="s">
        <v>762</v>
      </c>
      <c r="F13" s="1006" t="s">
        <v>752</v>
      </c>
      <c r="G13" s="1006" t="s">
        <v>762</v>
      </c>
      <c r="H13" s="1006" t="s">
        <v>762</v>
      </c>
      <c r="I13" s="1006" t="s">
        <v>752</v>
      </c>
      <c r="J13" s="1006" t="s">
        <v>752</v>
      </c>
      <c r="K13" s="1006" t="s">
        <v>752</v>
      </c>
      <c r="L13" s="1006" t="s">
        <v>752</v>
      </c>
      <c r="M13" s="1006" t="s">
        <v>762</v>
      </c>
      <c r="N13" s="1006" t="s">
        <v>752</v>
      </c>
      <c r="O13" s="1006" t="s">
        <v>752</v>
      </c>
      <c r="P13" s="1009" t="s">
        <v>752</v>
      </c>
      <c r="Q13" s="453"/>
    </row>
    <row r="14" spans="1:17" ht="30">
      <c r="A14" s="1010" t="s">
        <v>763</v>
      </c>
      <c r="B14" s="996" t="s">
        <v>751</v>
      </c>
      <c r="C14" s="1006" t="s">
        <v>752</v>
      </c>
      <c r="D14" s="996" t="s">
        <v>751</v>
      </c>
      <c r="E14" s="1006" t="s">
        <v>752</v>
      </c>
      <c r="F14" s="1006" t="s">
        <v>752</v>
      </c>
      <c r="G14" s="1006" t="s">
        <v>752</v>
      </c>
      <c r="H14" s="1006" t="s">
        <v>752</v>
      </c>
      <c r="I14" s="1006" t="s">
        <v>752</v>
      </c>
      <c r="J14" s="1006" t="s">
        <v>752</v>
      </c>
      <c r="K14" s="1006" t="s">
        <v>752</v>
      </c>
      <c r="L14" s="1006" t="s">
        <v>752</v>
      </c>
      <c r="M14" s="1006" t="s">
        <v>752</v>
      </c>
      <c r="N14" s="1006" t="s">
        <v>752</v>
      </c>
      <c r="O14" s="1006" t="s">
        <v>752</v>
      </c>
      <c r="P14" s="1007" t="s">
        <v>752</v>
      </c>
      <c r="Q14" s="1011"/>
    </row>
    <row r="15" spans="1:17" s="463" customFormat="1" ht="21">
      <c r="A15" s="1012" t="s">
        <v>545</v>
      </c>
      <c r="B15" s="462"/>
      <c r="C15" s="462"/>
      <c r="D15" s="462"/>
      <c r="E15" s="462"/>
      <c r="F15" s="462"/>
      <c r="G15" s="462"/>
      <c r="H15" s="462"/>
      <c r="I15" s="462"/>
      <c r="J15" s="462"/>
      <c r="K15" s="462"/>
      <c r="L15" s="462"/>
      <c r="M15" s="1013"/>
      <c r="N15" s="462"/>
      <c r="O15" s="462"/>
      <c r="P15" s="1014"/>
      <c r="Q15" s="1015"/>
    </row>
    <row r="16" spans="1:17">
      <c r="M16" s="1016"/>
    </row>
    <row r="17" spans="1:4">
      <c r="B17" s="1017">
        <v>1</v>
      </c>
      <c r="C17" s="1018">
        <v>2</v>
      </c>
      <c r="D17" s="1019">
        <v>3</v>
      </c>
    </row>
    <row r="18" spans="1:4" ht="252">
      <c r="A18" s="1020" t="s">
        <v>764</v>
      </c>
      <c r="B18" s="1021" t="s">
        <v>765</v>
      </c>
      <c r="C18" s="1022" t="s">
        <v>766</v>
      </c>
      <c r="D18" s="1023" t="s">
        <v>767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81" t="s">
        <v>240</v>
      </c>
      <c r="B1" s="1180" t="s">
        <v>350</v>
      </c>
      <c r="C1" s="1180"/>
      <c r="D1" s="1182" t="s">
        <v>351</v>
      </c>
      <c r="E1" s="1182"/>
      <c r="F1" s="1182"/>
      <c r="G1" s="1182"/>
      <c r="H1" s="1182"/>
      <c r="I1" s="1182"/>
      <c r="J1" s="1182"/>
      <c r="K1" s="1182"/>
      <c r="L1" s="1182"/>
      <c r="M1" s="1182"/>
      <c r="N1" s="1182"/>
      <c r="O1" s="1182"/>
      <c r="P1" s="1180" t="s">
        <v>782</v>
      </c>
    </row>
    <row r="2" spans="1:16" ht="60">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c r="A4" s="1033" t="s">
        <v>248</v>
      </c>
      <c r="B4" s="1029">
        <f>'SEAP template'!B72</f>
        <v>4156.8711036739996</v>
      </c>
      <c r="C4" s="1029"/>
      <c r="D4" s="1029"/>
      <c r="E4" s="1029"/>
      <c r="F4" s="1029"/>
      <c r="G4" s="1029"/>
      <c r="H4" s="1029"/>
      <c r="I4" s="1029"/>
      <c r="J4" s="1029"/>
      <c r="K4" s="1029"/>
      <c r="L4" s="1029"/>
      <c r="M4" s="1029"/>
      <c r="N4" s="1029"/>
      <c r="O4" s="1029"/>
      <c r="P4" s="1030">
        <f>'SEAP template'!Q72</f>
        <v>0</v>
      </c>
    </row>
    <row r="5" spans="1:16">
      <c r="A5" s="1034" t="s">
        <v>249</v>
      </c>
      <c r="B5" s="1029">
        <f>'SEAP template'!B73</f>
        <v>0</v>
      </c>
      <c r="C5" s="1029"/>
      <c r="D5" s="1029"/>
      <c r="E5" s="1029"/>
      <c r="F5" s="1029"/>
      <c r="G5" s="1029"/>
      <c r="H5" s="1029"/>
      <c r="I5" s="1029"/>
      <c r="J5" s="1029"/>
      <c r="K5" s="1029"/>
      <c r="L5" s="1029"/>
      <c r="M5" s="1029"/>
      <c r="N5" s="1029"/>
      <c r="O5" s="1029"/>
      <c r="P5" s="1030">
        <f>'SEAP template'!Q73</f>
        <v>0</v>
      </c>
    </row>
    <row r="6" spans="1:16">
      <c r="A6" s="1034" t="s">
        <v>250</v>
      </c>
      <c r="B6" s="1029">
        <f>'SEAP template'!B74</f>
        <v>3264.1921443847978</v>
      </c>
      <c r="C6" s="1029"/>
      <c r="D6" s="1029"/>
      <c r="E6" s="1029"/>
      <c r="F6" s="1029"/>
      <c r="G6" s="1029"/>
      <c r="H6" s="1029"/>
      <c r="I6" s="1029"/>
      <c r="J6" s="1029"/>
      <c r="K6" s="1029"/>
      <c r="L6" s="1029"/>
      <c r="M6" s="1029"/>
      <c r="N6" s="1029"/>
      <c r="O6" s="1029"/>
      <c r="P6" s="1030">
        <f>'SEAP template'!Q74</f>
        <v>0</v>
      </c>
    </row>
    <row r="7" spans="1:16">
      <c r="A7" s="1034" t="s">
        <v>727</v>
      </c>
      <c r="B7" s="1029">
        <f>'SEAP template'!B75</f>
        <v>0</v>
      </c>
      <c r="C7" s="1029"/>
      <c r="D7" s="1029"/>
      <c r="E7" s="1029"/>
      <c r="F7" s="1029"/>
      <c r="G7" s="1029"/>
      <c r="H7" s="1029"/>
      <c r="I7" s="1029"/>
      <c r="J7" s="1029"/>
      <c r="K7" s="1029"/>
      <c r="L7" s="1029"/>
      <c r="M7" s="1029"/>
      <c r="N7" s="1029"/>
      <c r="O7" s="1029"/>
      <c r="P7" s="1030">
        <f>'SEAP template'!Q75</f>
        <v>0</v>
      </c>
    </row>
    <row r="8" spans="1:16">
      <c r="A8" s="1033" t="s">
        <v>251</v>
      </c>
      <c r="B8" s="1029">
        <f>'SEAP template'!B76</f>
        <v>0</v>
      </c>
      <c r="C8" s="1029">
        <f>'SEAP template'!C76</f>
        <v>3946.5</v>
      </c>
      <c r="D8" s="1029">
        <f>'SEAP template'!D76</f>
        <v>4642.9411764705883</v>
      </c>
      <c r="E8" s="1029">
        <f>'SEAP template'!E76</f>
        <v>0</v>
      </c>
      <c r="F8" s="1029">
        <f>'SEAP template'!F76</f>
        <v>0</v>
      </c>
      <c r="G8" s="1029">
        <f>'SEAP template'!G76</f>
        <v>0</v>
      </c>
      <c r="H8" s="1029">
        <f>'SEAP template'!H76</f>
        <v>0</v>
      </c>
      <c r="I8" s="1029">
        <f>'SEAP template'!I76</f>
        <v>0</v>
      </c>
      <c r="J8" s="1029">
        <f>'SEAP template'!J76</f>
        <v>0</v>
      </c>
      <c r="K8" s="1029">
        <f>'SEAP template'!K76</f>
        <v>0</v>
      </c>
      <c r="L8" s="1029">
        <f>'SEAP template'!L76</f>
        <v>0</v>
      </c>
      <c r="M8" s="1029">
        <f>'SEAP template'!M76</f>
        <v>0</v>
      </c>
      <c r="N8" s="1029">
        <f>'SEAP template'!N76</f>
        <v>0</v>
      </c>
      <c r="O8" s="1029">
        <f>'SEAP template'!O76</f>
        <v>0</v>
      </c>
      <c r="P8" s="1030">
        <f>'SEAP template'!Q76</f>
        <v>937.87411764705894</v>
      </c>
    </row>
    <row r="9" spans="1:16">
      <c r="A9" s="1035" t="s">
        <v>785</v>
      </c>
      <c r="B9" s="1029">
        <f>'SEAP template'!B77</f>
        <v>0</v>
      </c>
      <c r="C9" s="1029">
        <f>'SEAP template'!C77</f>
        <v>0</v>
      </c>
      <c r="D9" s="1029">
        <f>'SEAP template'!D77</f>
        <v>0</v>
      </c>
      <c r="E9" s="1029">
        <f>'SEAP template'!E77</f>
        <v>0</v>
      </c>
      <c r="F9" s="1029">
        <f>'SEAP template'!F77</f>
        <v>0</v>
      </c>
      <c r="G9" s="1029">
        <f>'SEAP template'!G77</f>
        <v>0</v>
      </c>
      <c r="H9" s="1029">
        <f>'SEAP template'!H77</f>
        <v>0</v>
      </c>
      <c r="I9" s="1029">
        <f>'SEAP template'!I77</f>
        <v>0</v>
      </c>
      <c r="J9" s="1029">
        <f>'SEAP template'!J77</f>
        <v>0</v>
      </c>
      <c r="K9" s="1029">
        <f>'SEAP template'!K77</f>
        <v>0</v>
      </c>
      <c r="L9" s="1029">
        <f>'SEAP template'!L77</f>
        <v>0</v>
      </c>
      <c r="M9" s="1029">
        <f>'SEAP template'!M77</f>
        <v>0</v>
      </c>
      <c r="N9" s="1029">
        <f>'SEAP template'!N77</f>
        <v>0</v>
      </c>
      <c r="O9" s="1029">
        <f>'SEAP template'!O77</f>
        <v>0</v>
      </c>
      <c r="P9" s="1030">
        <f>'SEAP template'!Q77</f>
        <v>0</v>
      </c>
    </row>
    <row r="10" spans="1:16">
      <c r="A10" s="1034" t="s">
        <v>115</v>
      </c>
      <c r="B10" s="1031">
        <f>SUM(B4:B9)</f>
        <v>7421.0632480587974</v>
      </c>
      <c r="C10" s="1031">
        <f>SUM(C4:C9)</f>
        <v>3946.5</v>
      </c>
      <c r="D10" s="1031">
        <f t="shared" ref="D10:H10" si="0">SUM(D8:D9)</f>
        <v>4642.9411764705883</v>
      </c>
      <c r="E10" s="1031">
        <f t="shared" si="0"/>
        <v>0</v>
      </c>
      <c r="F10" s="1031">
        <f t="shared" si="0"/>
        <v>0</v>
      </c>
      <c r="G10" s="1031">
        <f t="shared" si="0"/>
        <v>0</v>
      </c>
      <c r="H10" s="1031">
        <f t="shared" si="0"/>
        <v>0</v>
      </c>
      <c r="I10" s="1031">
        <f>SUM(I8:I9)</f>
        <v>0</v>
      </c>
      <c r="J10" s="1031">
        <f>SUM(J8:J9)</f>
        <v>0</v>
      </c>
      <c r="K10" s="1031">
        <f t="shared" ref="K10:L10" si="1">SUM(K8:K9)</f>
        <v>0</v>
      </c>
      <c r="L10" s="1031">
        <f t="shared" si="1"/>
        <v>0</v>
      </c>
      <c r="M10" s="1031">
        <f>SUM(M8:M9)</f>
        <v>0</v>
      </c>
      <c r="N10" s="1031">
        <f>SUM(N8:N9)</f>
        <v>0</v>
      </c>
      <c r="O10" s="1031">
        <f>SUM(O8:O9)</f>
        <v>0</v>
      </c>
      <c r="P10" s="1031">
        <f>SUM(P8:P9)</f>
        <v>937.87411764705894</v>
      </c>
    </row>
    <row r="11" spans="1:16">
      <c r="A11" s="894"/>
      <c r="B11" s="894"/>
      <c r="C11" s="894"/>
      <c r="D11" s="894"/>
      <c r="E11" s="894"/>
      <c r="F11" s="894"/>
      <c r="G11" s="894"/>
      <c r="H11" s="894"/>
      <c r="I11" s="894"/>
      <c r="J11" s="894"/>
      <c r="K11" s="894"/>
      <c r="L11" s="894"/>
      <c r="M11" s="894"/>
      <c r="N11" s="894"/>
      <c r="O11" s="894"/>
      <c r="P11" s="894"/>
    </row>
    <row r="12" spans="1:16">
      <c r="A12" s="464" t="s">
        <v>796</v>
      </c>
      <c r="B12" s="781" t="s">
        <v>795</v>
      </c>
      <c r="C12" s="781">
        <f ca="1">'EF ele_warmte'!B12</f>
        <v>0.18311312550240619</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7.25" customHeight="1">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c r="A17" s="1036" t="s">
        <v>251</v>
      </c>
      <c r="B17" s="1032">
        <f>'SEAP template'!B87</f>
        <v>0</v>
      </c>
      <c r="C17" s="1032">
        <f>'SEAP template'!C87</f>
        <v>5637.8571428571431</v>
      </c>
      <c r="D17" s="1030">
        <f>'SEAP template'!D87</f>
        <v>6632.7731092436979</v>
      </c>
      <c r="E17" s="1030">
        <f>'SEAP template'!E87</f>
        <v>0</v>
      </c>
      <c r="F17" s="1030">
        <f>'SEAP template'!F87</f>
        <v>0</v>
      </c>
      <c r="G17" s="1030">
        <f>'SEAP template'!G87</f>
        <v>0</v>
      </c>
      <c r="H17" s="1030">
        <f>'SEAP template'!H87</f>
        <v>0</v>
      </c>
      <c r="I17" s="1030">
        <f>'SEAP template'!I87</f>
        <v>0</v>
      </c>
      <c r="J17" s="1030">
        <f>'SEAP template'!J87</f>
        <v>0</v>
      </c>
      <c r="K17" s="1030">
        <f>'SEAP template'!K87</f>
        <v>0</v>
      </c>
      <c r="L17" s="1030">
        <f>'SEAP template'!L87</f>
        <v>0</v>
      </c>
      <c r="M17" s="1030">
        <f>'SEAP template'!M87</f>
        <v>0</v>
      </c>
      <c r="N17" s="1030">
        <f>'SEAP template'!N87</f>
        <v>0</v>
      </c>
      <c r="O17" s="1030">
        <f>'SEAP template'!O87</f>
        <v>0</v>
      </c>
      <c r="P17" s="1030">
        <f>'SEAP template'!Q87</f>
        <v>1339.8201680672271</v>
      </c>
    </row>
    <row r="18" spans="1:16">
      <c r="A18" s="1037" t="s">
        <v>257</v>
      </c>
      <c r="B18" s="1032">
        <f>'SEAP template'!B88</f>
        <v>0</v>
      </c>
      <c r="C18" s="1032">
        <f>'SEAP template'!C88</f>
        <v>0</v>
      </c>
      <c r="D18" s="1030">
        <f>'SEAP template'!D88</f>
        <v>0</v>
      </c>
      <c r="E18" s="1030">
        <f>'SEAP template'!E88</f>
        <v>0</v>
      </c>
      <c r="F18" s="1030">
        <f>'SEAP template'!F88</f>
        <v>0</v>
      </c>
      <c r="G18" s="1030">
        <f>'SEAP template'!G88</f>
        <v>0</v>
      </c>
      <c r="H18" s="1030">
        <f>'SEAP template'!H88</f>
        <v>0</v>
      </c>
      <c r="I18" s="1030">
        <f>'SEAP template'!I88</f>
        <v>0</v>
      </c>
      <c r="J18" s="1030">
        <f>'SEAP template'!J88</f>
        <v>0</v>
      </c>
      <c r="K18" s="1030">
        <f>'SEAP template'!K88</f>
        <v>0</v>
      </c>
      <c r="L18" s="1030">
        <f>'SEAP template'!L88</f>
        <v>0</v>
      </c>
      <c r="M18" s="1030">
        <f>'SEAP template'!M88</f>
        <v>0</v>
      </c>
      <c r="N18" s="1030">
        <f>'SEAP template'!N88</f>
        <v>0</v>
      </c>
      <c r="O18" s="1030">
        <f>'SEAP template'!O88</f>
        <v>0</v>
      </c>
      <c r="P18" s="1030">
        <f>'SEAP template'!Q88</f>
        <v>0</v>
      </c>
    </row>
    <row r="19" spans="1:16">
      <c r="A19" s="1035" t="s">
        <v>786</v>
      </c>
      <c r="B19" s="1032">
        <f>'SEAP template'!B89</f>
        <v>0</v>
      </c>
      <c r="C19" s="1032">
        <f>'SEAP template'!C89</f>
        <v>0</v>
      </c>
      <c r="D19" s="1030">
        <f>'SEAP template'!D89</f>
        <v>0</v>
      </c>
      <c r="E19" s="1030">
        <f>'SEAP template'!E89</f>
        <v>0</v>
      </c>
      <c r="F19" s="1030">
        <f>'SEAP template'!F89</f>
        <v>0</v>
      </c>
      <c r="G19" s="1030">
        <f>'SEAP template'!G89</f>
        <v>0</v>
      </c>
      <c r="H19" s="1030">
        <f>'SEAP template'!H89</f>
        <v>0</v>
      </c>
      <c r="I19" s="1030">
        <f>'SEAP template'!I89</f>
        <v>0</v>
      </c>
      <c r="J19" s="1030">
        <f>'SEAP template'!J89</f>
        <v>0</v>
      </c>
      <c r="K19" s="1030">
        <f>'SEAP template'!K89</f>
        <v>0</v>
      </c>
      <c r="L19" s="1030">
        <f>'SEAP template'!L89</f>
        <v>0</v>
      </c>
      <c r="M19" s="1030">
        <f>'SEAP template'!M89</f>
        <v>0</v>
      </c>
      <c r="N19" s="1030">
        <f>'SEAP template'!N89</f>
        <v>0</v>
      </c>
      <c r="O19" s="1030">
        <f>'SEAP template'!O89</f>
        <v>0</v>
      </c>
      <c r="P19" s="1030">
        <f>'SEAP template'!Q89</f>
        <v>0</v>
      </c>
    </row>
    <row r="20" spans="1:16">
      <c r="A20" s="1038" t="s">
        <v>115</v>
      </c>
      <c r="B20" s="1031">
        <f>SUM(B17:B19)</f>
        <v>0</v>
      </c>
      <c r="C20" s="1031">
        <f>SUM(C17:C19)</f>
        <v>5637.8571428571431</v>
      </c>
      <c r="D20" s="1031">
        <f t="shared" ref="D20:H20" si="2">SUM(D17:D19)</f>
        <v>6632.7731092436979</v>
      </c>
      <c r="E20" s="1031">
        <f t="shared" si="2"/>
        <v>0</v>
      </c>
      <c r="F20" s="1031">
        <f t="shared" si="2"/>
        <v>0</v>
      </c>
      <c r="G20" s="1031">
        <f t="shared" si="2"/>
        <v>0</v>
      </c>
      <c r="H20" s="1031">
        <f t="shared" si="2"/>
        <v>0</v>
      </c>
      <c r="I20" s="1031">
        <f>SUM(I17:I19)</f>
        <v>0</v>
      </c>
      <c r="J20" s="1031">
        <f>SUM(J17:J19)</f>
        <v>0</v>
      </c>
      <c r="K20" s="1031">
        <f t="shared" ref="K20:L20" si="3">SUM(K17:K19)</f>
        <v>0</v>
      </c>
      <c r="L20" s="1031">
        <f t="shared" si="3"/>
        <v>0</v>
      </c>
      <c r="M20" s="1031">
        <f>SUM(M17:M19)</f>
        <v>0</v>
      </c>
      <c r="N20" s="1031">
        <f>SUM(N17:N19)</f>
        <v>0</v>
      </c>
      <c r="O20" s="1031">
        <f>SUM(O17:O19)</f>
        <v>0</v>
      </c>
      <c r="P20" s="1031">
        <f>SUM(P17:P19)</f>
        <v>1339.8201680672271</v>
      </c>
    </row>
    <row r="21" spans="1:16">
      <c r="B21" s="887"/>
    </row>
    <row r="22" spans="1:16">
      <c r="A22" s="464" t="s">
        <v>797</v>
      </c>
      <c r="B22" s="781" t="s">
        <v>795</v>
      </c>
      <c r="C22" s="781">
        <f ca="1">'EF ele_warmte'!B22</f>
        <v>0.23764705882352943</v>
      </c>
    </row>
  </sheetData>
  <mergeCells count="17">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81" t="s">
        <v>240</v>
      </c>
      <c r="B1" s="1180" t="s">
        <v>350</v>
      </c>
      <c r="C1" s="1180"/>
      <c r="D1" s="1182" t="s">
        <v>351</v>
      </c>
      <c r="E1" s="1182"/>
      <c r="F1" s="1182"/>
      <c r="G1" s="1182"/>
      <c r="H1" s="1182"/>
      <c r="I1" s="1182"/>
      <c r="J1" s="1182"/>
      <c r="K1" s="1182"/>
      <c r="L1" s="1182"/>
      <c r="M1" s="1182"/>
      <c r="N1" s="1182"/>
      <c r="O1" s="1182"/>
      <c r="P1" s="1180" t="s">
        <v>782</v>
      </c>
    </row>
    <row r="2" spans="1:16" ht="15.75">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ht="110.25" customHeight="1">
      <c r="A4" s="1042" t="s">
        <v>248</v>
      </c>
      <c r="B4" s="1040" t="s">
        <v>827</v>
      </c>
      <c r="C4" s="1045" t="s">
        <v>752</v>
      </c>
      <c r="D4" s="1045" t="s">
        <v>752</v>
      </c>
      <c r="E4" s="1045" t="s">
        <v>752</v>
      </c>
      <c r="F4" s="1045" t="s">
        <v>752</v>
      </c>
      <c r="G4" s="1045" t="s">
        <v>752</v>
      </c>
      <c r="H4" s="1045" t="s">
        <v>752</v>
      </c>
      <c r="I4" s="1045" t="s">
        <v>752</v>
      </c>
      <c r="J4" s="1045" t="s">
        <v>752</v>
      </c>
      <c r="K4" s="1045" t="s">
        <v>752</v>
      </c>
      <c r="L4" s="1045" t="s">
        <v>752</v>
      </c>
      <c r="M4" s="1045" t="s">
        <v>752</v>
      </c>
      <c r="N4" s="1045" t="s">
        <v>752</v>
      </c>
      <c r="O4" s="1045" t="s">
        <v>752</v>
      </c>
      <c r="P4" s="1041" t="s">
        <v>798</v>
      </c>
    </row>
    <row r="5" spans="1:16" ht="135">
      <c r="A5" s="1043" t="s">
        <v>249</v>
      </c>
      <c r="B5" s="1040" t="s">
        <v>827</v>
      </c>
      <c r="C5" s="1045" t="s">
        <v>752</v>
      </c>
      <c r="D5" s="1045" t="s">
        <v>752</v>
      </c>
      <c r="E5" s="1045" t="s">
        <v>752</v>
      </c>
      <c r="F5" s="1045" t="s">
        <v>752</v>
      </c>
      <c r="G5" s="1045" t="s">
        <v>752</v>
      </c>
      <c r="H5" s="1045" t="s">
        <v>752</v>
      </c>
      <c r="I5" s="1045" t="s">
        <v>752</v>
      </c>
      <c r="J5" s="1045" t="s">
        <v>752</v>
      </c>
      <c r="K5" s="1045" t="s">
        <v>752</v>
      </c>
      <c r="L5" s="1045" t="s">
        <v>752</v>
      </c>
      <c r="M5" s="1045" t="s">
        <v>752</v>
      </c>
      <c r="N5" s="1045" t="s">
        <v>752</v>
      </c>
      <c r="O5" s="1045" t="s">
        <v>752</v>
      </c>
      <c r="P5" s="1041" t="s">
        <v>798</v>
      </c>
    </row>
    <row r="6" spans="1:16" ht="135">
      <c r="A6" s="1043" t="s">
        <v>250</v>
      </c>
      <c r="B6" s="1040" t="s">
        <v>827</v>
      </c>
      <c r="C6" s="1045" t="s">
        <v>752</v>
      </c>
      <c r="D6" s="1045" t="s">
        <v>752</v>
      </c>
      <c r="E6" s="1045" t="s">
        <v>752</v>
      </c>
      <c r="F6" s="1045" t="s">
        <v>752</v>
      </c>
      <c r="G6" s="1045" t="s">
        <v>752</v>
      </c>
      <c r="H6" s="1045" t="s">
        <v>752</v>
      </c>
      <c r="I6" s="1045" t="s">
        <v>752</v>
      </c>
      <c r="J6" s="1045" t="s">
        <v>752</v>
      </c>
      <c r="K6" s="1045" t="s">
        <v>752</v>
      </c>
      <c r="L6" s="1045" t="s">
        <v>752</v>
      </c>
      <c r="M6" s="1045" t="s">
        <v>752</v>
      </c>
      <c r="N6" s="1045" t="s">
        <v>752</v>
      </c>
      <c r="O6" s="1045" t="s">
        <v>752</v>
      </c>
      <c r="P6" s="1041" t="s">
        <v>798</v>
      </c>
    </row>
    <row r="7" spans="1:16" ht="135">
      <c r="A7" s="1043" t="s">
        <v>727</v>
      </c>
      <c r="B7" s="1045" t="s">
        <v>752</v>
      </c>
      <c r="C7" s="1045" t="s">
        <v>752</v>
      </c>
      <c r="D7" s="1045" t="s">
        <v>752</v>
      </c>
      <c r="E7" s="1045" t="s">
        <v>752</v>
      </c>
      <c r="F7" s="1045" t="s">
        <v>752</v>
      </c>
      <c r="G7" s="1045" t="s">
        <v>752</v>
      </c>
      <c r="H7" s="1045" t="s">
        <v>752</v>
      </c>
      <c r="I7" s="1045" t="s">
        <v>752</v>
      </c>
      <c r="J7" s="1045" t="s">
        <v>752</v>
      </c>
      <c r="K7" s="1045" t="s">
        <v>752</v>
      </c>
      <c r="L7" s="1045" t="s">
        <v>752</v>
      </c>
      <c r="M7" s="1045" t="s">
        <v>752</v>
      </c>
      <c r="N7" s="1045" t="s">
        <v>752</v>
      </c>
      <c r="O7" s="1045" t="s">
        <v>752</v>
      </c>
      <c r="P7" s="1041" t="s">
        <v>798</v>
      </c>
    </row>
    <row r="8" spans="1:16" ht="210">
      <c r="A8" s="1042" t="s">
        <v>251</v>
      </c>
      <c r="B8" s="1040" t="s">
        <v>799</v>
      </c>
      <c r="C8" s="1040" t="s">
        <v>799</v>
      </c>
      <c r="D8" s="1040" t="s">
        <v>799</v>
      </c>
      <c r="E8" s="1040" t="s">
        <v>799</v>
      </c>
      <c r="F8" s="1040" t="s">
        <v>799</v>
      </c>
      <c r="G8" s="1040" t="s">
        <v>799</v>
      </c>
      <c r="H8" s="1040" t="s">
        <v>799</v>
      </c>
      <c r="I8" s="1040" t="s">
        <v>799</v>
      </c>
      <c r="J8" s="1040" t="s">
        <v>799</v>
      </c>
      <c r="K8" s="1045" t="s">
        <v>752</v>
      </c>
      <c r="L8" s="1045" t="s">
        <v>752</v>
      </c>
      <c r="M8" s="1045" t="s">
        <v>752</v>
      </c>
      <c r="N8" s="1040" t="s">
        <v>800</v>
      </c>
      <c r="O8" s="1040" t="s">
        <v>800</v>
      </c>
      <c r="P8" s="1046"/>
    </row>
    <row r="9" spans="1:16" ht="210">
      <c r="A9" s="1044" t="s">
        <v>785</v>
      </c>
      <c r="B9" s="1040" t="s">
        <v>800</v>
      </c>
      <c r="C9" s="1040" t="s">
        <v>800</v>
      </c>
      <c r="D9" s="1040" t="s">
        <v>800</v>
      </c>
      <c r="E9" s="1040" t="s">
        <v>800</v>
      </c>
      <c r="F9" s="1040" t="s">
        <v>800</v>
      </c>
      <c r="G9" s="1040" t="s">
        <v>800</v>
      </c>
      <c r="H9" s="1040" t="s">
        <v>800</v>
      </c>
      <c r="I9" s="1040" t="s">
        <v>800</v>
      </c>
      <c r="J9" s="1040" t="s">
        <v>800</v>
      </c>
      <c r="K9" s="1045" t="s">
        <v>752</v>
      </c>
      <c r="L9" s="1040" t="s">
        <v>800</v>
      </c>
      <c r="M9" s="1040" t="s">
        <v>800</v>
      </c>
      <c r="N9" s="1040" t="s">
        <v>800</v>
      </c>
      <c r="O9" s="1040" t="s">
        <v>800</v>
      </c>
      <c r="P9" s="1046"/>
    </row>
    <row r="10" spans="1:16">
      <c r="A10" s="1043" t="s">
        <v>115</v>
      </c>
      <c r="B10" s="1047"/>
      <c r="C10" s="1047"/>
      <c r="D10" s="1047"/>
      <c r="E10" s="1047"/>
      <c r="F10" s="1047"/>
      <c r="G10" s="1047"/>
      <c r="H10" s="1047"/>
      <c r="I10" s="1047"/>
      <c r="J10" s="1047"/>
      <c r="K10" s="1047"/>
      <c r="L10" s="1047"/>
      <c r="M10" s="1047"/>
      <c r="N10" s="1047"/>
      <c r="O10" s="1047"/>
      <c r="P10" s="1047"/>
    </row>
    <row r="11" spans="1:16">
      <c r="A11" s="894"/>
      <c r="B11" s="894"/>
      <c r="C11" s="894"/>
      <c r="D11" s="894"/>
      <c r="E11" s="894"/>
      <c r="F11" s="894"/>
      <c r="G11" s="894"/>
      <c r="H11" s="894"/>
      <c r="I11" s="894"/>
      <c r="J11" s="894"/>
      <c r="K11" s="894"/>
      <c r="L11" s="894"/>
      <c r="M11" s="894"/>
      <c r="N11" s="894"/>
      <c r="O11" s="894"/>
      <c r="P11" s="894"/>
    </row>
    <row r="12" spans="1:16" ht="150">
      <c r="A12" s="464" t="s">
        <v>796</v>
      </c>
      <c r="B12" s="781" t="s">
        <v>795</v>
      </c>
      <c r="C12" s="1048" t="s">
        <v>801</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5.75">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ht="210">
      <c r="A17" s="1036" t="s">
        <v>251</v>
      </c>
      <c r="B17" s="1040" t="s">
        <v>800</v>
      </c>
      <c r="C17" s="1040" t="s">
        <v>800</v>
      </c>
      <c r="D17" s="1040" t="s">
        <v>800</v>
      </c>
      <c r="E17" s="1040" t="s">
        <v>800</v>
      </c>
      <c r="F17" s="1040" t="s">
        <v>800</v>
      </c>
      <c r="G17" s="1040" t="s">
        <v>800</v>
      </c>
      <c r="H17" s="1040" t="s">
        <v>800</v>
      </c>
      <c r="I17" s="1040" t="s">
        <v>800</v>
      </c>
      <c r="J17" s="1040" t="s">
        <v>800</v>
      </c>
      <c r="K17" s="1045" t="s">
        <v>752</v>
      </c>
      <c r="L17" s="1045" t="s">
        <v>752</v>
      </c>
      <c r="M17" s="1045" t="s">
        <v>752</v>
      </c>
      <c r="N17" s="1040" t="s">
        <v>800</v>
      </c>
      <c r="O17" s="1040" t="s">
        <v>800</v>
      </c>
      <c r="P17" s="1039"/>
    </row>
    <row r="18" spans="1:16" ht="45">
      <c r="A18" s="1037" t="s">
        <v>257</v>
      </c>
      <c r="B18" s="1041" t="s">
        <v>762</v>
      </c>
      <c r="C18" s="1041" t="s">
        <v>762</v>
      </c>
      <c r="D18" s="1041" t="s">
        <v>762</v>
      </c>
      <c r="E18" s="1041" t="s">
        <v>762</v>
      </c>
      <c r="F18" s="1041" t="s">
        <v>762</v>
      </c>
      <c r="G18" s="1041" t="s">
        <v>762</v>
      </c>
      <c r="H18" s="1041" t="s">
        <v>762</v>
      </c>
      <c r="I18" s="1041" t="s">
        <v>762</v>
      </c>
      <c r="J18" s="1041" t="s">
        <v>762</v>
      </c>
      <c r="K18" s="1041" t="s">
        <v>762</v>
      </c>
      <c r="L18" s="1041" t="s">
        <v>762</v>
      </c>
      <c r="M18" s="1041" t="s">
        <v>762</v>
      </c>
      <c r="N18" s="1041" t="s">
        <v>762</v>
      </c>
      <c r="O18" s="1041" t="s">
        <v>762</v>
      </c>
      <c r="P18" s="1041" t="s">
        <v>762</v>
      </c>
    </row>
    <row r="19" spans="1:16" ht="45">
      <c r="A19" s="1035" t="s">
        <v>786</v>
      </c>
      <c r="B19" s="1041" t="s">
        <v>762</v>
      </c>
      <c r="C19" s="1041" t="s">
        <v>762</v>
      </c>
      <c r="D19" s="1041" t="s">
        <v>762</v>
      </c>
      <c r="E19" s="1041" t="s">
        <v>762</v>
      </c>
      <c r="F19" s="1041" t="s">
        <v>762</v>
      </c>
      <c r="G19" s="1041" t="s">
        <v>762</v>
      </c>
      <c r="H19" s="1041" t="s">
        <v>762</v>
      </c>
      <c r="I19" s="1041" t="s">
        <v>762</v>
      </c>
      <c r="J19" s="1041" t="s">
        <v>762</v>
      </c>
      <c r="K19" s="1041" t="s">
        <v>762</v>
      </c>
      <c r="L19" s="1041" t="s">
        <v>762</v>
      </c>
      <c r="M19" s="1041" t="s">
        <v>762</v>
      </c>
      <c r="N19" s="1041" t="s">
        <v>762</v>
      </c>
      <c r="O19" s="1041" t="s">
        <v>762</v>
      </c>
      <c r="P19" s="1041" t="s">
        <v>762</v>
      </c>
    </row>
    <row r="20" spans="1:16">
      <c r="A20" s="1038" t="s">
        <v>115</v>
      </c>
      <c r="B20" s="1031"/>
      <c r="C20" s="1031"/>
      <c r="D20" s="1031"/>
      <c r="E20" s="1031"/>
      <c r="F20" s="1031"/>
      <c r="G20" s="1031"/>
      <c r="H20" s="1031"/>
      <c r="I20" s="1031"/>
      <c r="J20" s="1031"/>
      <c r="K20" s="1031"/>
      <c r="L20" s="1031"/>
      <c r="M20" s="1031"/>
      <c r="N20" s="1031"/>
      <c r="O20" s="1031"/>
      <c r="P20" s="1031"/>
    </row>
    <row r="21" spans="1:16">
      <c r="A21" s="887"/>
      <c r="B21" s="887"/>
      <c r="C21" s="887"/>
      <c r="D21" s="887"/>
      <c r="E21" s="887"/>
      <c r="F21" s="887"/>
      <c r="G21" s="887"/>
      <c r="H21" s="887"/>
      <c r="I21" s="887"/>
      <c r="J21" s="887"/>
      <c r="K21" s="887"/>
      <c r="L21" s="887"/>
      <c r="M21" s="887"/>
      <c r="N21" s="887"/>
      <c r="O21" s="887"/>
      <c r="P21" s="887"/>
    </row>
    <row r="22" spans="1:16" ht="90">
      <c r="A22" s="464" t="s">
        <v>797</v>
      </c>
      <c r="B22" s="781" t="s">
        <v>795</v>
      </c>
      <c r="C22" s="1048" t="s">
        <v>802</v>
      </c>
      <c r="D22" s="887"/>
      <c r="E22" s="887"/>
      <c r="F22" s="887"/>
      <c r="G22" s="887"/>
      <c r="H22" s="887"/>
      <c r="I22" s="887"/>
      <c r="J22" s="887"/>
      <c r="K22" s="887"/>
      <c r="L22" s="887"/>
      <c r="M22" s="887"/>
      <c r="N22" s="887"/>
      <c r="O22" s="887"/>
      <c r="P22" s="887"/>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378</v>
      </c>
      <c r="B2" s="110"/>
      <c r="C2" s="111"/>
    </row>
    <row r="3" spans="1:3" s="15" customFormat="1" ht="15.75">
      <c r="A3" s="98"/>
      <c r="B3" s="70"/>
      <c r="C3" s="99"/>
    </row>
    <row r="4" spans="1:3">
      <c r="A4" s="95" t="s">
        <v>362</v>
      </c>
      <c r="B4" s="69" t="s">
        <v>374</v>
      </c>
      <c r="C4" s="100" t="s">
        <v>373</v>
      </c>
    </row>
    <row r="5" spans="1:3">
      <c r="A5" s="112"/>
      <c r="B5" s="43"/>
      <c r="C5" s="96"/>
    </row>
    <row r="6" spans="1:3" ht="30">
      <c r="A6" s="113" t="s">
        <v>568</v>
      </c>
      <c r="B6" s="75" t="s">
        <v>569</v>
      </c>
      <c r="C6" s="434" t="s">
        <v>552</v>
      </c>
    </row>
    <row r="7" spans="1:3">
      <c r="A7" s="125"/>
      <c r="B7" s="129"/>
      <c r="C7" s="122"/>
    </row>
    <row r="8" spans="1:3">
      <c r="A8" s="113" t="s">
        <v>571</v>
      </c>
      <c r="B8" s="75" t="s">
        <v>570</v>
      </c>
      <c r="C8" s="434" t="s">
        <v>382</v>
      </c>
    </row>
    <row r="9" spans="1:3">
      <c r="A9" s="125"/>
      <c r="B9" s="129"/>
      <c r="C9" s="122"/>
    </row>
    <row r="10" spans="1:3">
      <c r="A10" s="113" t="s">
        <v>327</v>
      </c>
      <c r="B10" s="75" t="s">
        <v>380</v>
      </c>
      <c r="C10" s="114" t="s">
        <v>382</v>
      </c>
    </row>
    <row r="11" spans="1:3">
      <c r="A11" s="125"/>
      <c r="B11" s="129"/>
      <c r="C11" s="122"/>
    </row>
    <row r="12" spans="1:3" ht="30">
      <c r="A12" s="113" t="s">
        <v>398</v>
      </c>
      <c r="B12" s="75" t="s">
        <v>511</v>
      </c>
      <c r="C12" s="312" t="s">
        <v>605</v>
      </c>
    </row>
    <row r="13" spans="1:3">
      <c r="A13" s="140"/>
      <c r="B13" s="124"/>
      <c r="C13" s="300"/>
    </row>
    <row r="14" spans="1:3" s="11" customFormat="1">
      <c r="A14" s="113" t="s">
        <v>588</v>
      </c>
      <c r="B14" s="130" t="s">
        <v>589</v>
      </c>
      <c r="C14" s="131" t="s">
        <v>590</v>
      </c>
    </row>
    <row r="15" spans="1:3" s="11" customFormat="1">
      <c r="A15" s="140"/>
      <c r="B15" s="158"/>
      <c r="C15" s="159"/>
    </row>
    <row r="16" spans="1:3" ht="21">
      <c r="A16" s="126" t="s">
        <v>460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81" t="s">
        <v>600</v>
      </c>
      <c r="B4" s="467"/>
      <c r="C4" s="467"/>
      <c r="D4" s="467"/>
      <c r="E4" s="467"/>
      <c r="F4" s="467"/>
      <c r="G4" s="499"/>
      <c r="H4" s="499"/>
      <c r="I4" s="467"/>
      <c r="J4" s="467"/>
      <c r="K4" s="467"/>
      <c r="L4" s="467"/>
      <c r="M4" s="467"/>
      <c r="N4" s="467"/>
      <c r="O4" s="467"/>
      <c r="P4" s="467"/>
    </row>
    <row r="5" spans="1:16" outlineLevel="1">
      <c r="A5" s="681" t="s">
        <v>601</v>
      </c>
      <c r="B5" s="467"/>
      <c r="C5" s="467"/>
      <c r="D5" s="467"/>
      <c r="E5" s="467"/>
      <c r="F5" s="467"/>
      <c r="G5" s="499"/>
      <c r="H5" s="499"/>
      <c r="I5" s="467"/>
      <c r="J5" s="467"/>
      <c r="K5" s="467"/>
      <c r="L5" s="467"/>
      <c r="M5" s="467"/>
      <c r="N5" s="467"/>
      <c r="O5" s="467"/>
      <c r="P5" s="467"/>
    </row>
    <row r="6" spans="1:16" outlineLevel="1">
      <c r="A6" s="681" t="s">
        <v>602</v>
      </c>
      <c r="B6" s="467"/>
      <c r="C6" s="467"/>
      <c r="D6" s="467"/>
      <c r="E6" s="467"/>
      <c r="F6" s="467"/>
      <c r="G6" s="499"/>
      <c r="H6" s="499"/>
      <c r="I6" s="467"/>
      <c r="J6" s="467"/>
      <c r="K6" s="467"/>
      <c r="L6" s="467"/>
      <c r="M6" s="467"/>
      <c r="N6" s="467"/>
      <c r="O6" s="467"/>
      <c r="P6" s="467"/>
    </row>
    <row r="7" spans="1:16" outlineLevel="1">
      <c r="A7" s="469"/>
      <c r="B7" s="467"/>
      <c r="C7" s="467"/>
      <c r="D7" s="467"/>
      <c r="E7" s="467"/>
      <c r="F7" s="467"/>
      <c r="G7" s="499"/>
      <c r="H7" s="499"/>
      <c r="I7" s="467"/>
      <c r="J7" s="467"/>
      <c r="K7" s="467"/>
      <c r="L7" s="467"/>
      <c r="M7" s="467"/>
      <c r="N7" s="467"/>
      <c r="O7" s="467"/>
      <c r="P7" s="467"/>
    </row>
    <row r="8" spans="1:16" outlineLevel="1">
      <c r="A8" s="682" t="s">
        <v>603</v>
      </c>
      <c r="B8" s="467"/>
      <c r="C8" s="467"/>
      <c r="D8" s="467"/>
      <c r="E8" s="467"/>
      <c r="F8" s="467"/>
      <c r="G8" s="499"/>
      <c r="H8" s="499"/>
      <c r="I8" s="467"/>
      <c r="J8" s="467"/>
      <c r="K8" s="467"/>
      <c r="L8" s="467"/>
      <c r="M8" s="467"/>
      <c r="N8" s="467"/>
      <c r="O8" s="467"/>
      <c r="P8" s="467"/>
    </row>
    <row r="9" spans="1:16" outlineLevel="1">
      <c r="A9" s="469"/>
      <c r="B9" s="467"/>
      <c r="C9" s="467"/>
      <c r="D9" s="467"/>
      <c r="E9" s="467"/>
      <c r="F9" s="467"/>
      <c r="G9" s="499"/>
      <c r="H9" s="499"/>
      <c r="I9" s="467"/>
      <c r="J9" s="467"/>
      <c r="K9" s="467"/>
      <c r="L9" s="467"/>
      <c r="M9" s="467"/>
      <c r="N9" s="467"/>
      <c r="O9" s="467"/>
      <c r="P9" s="467"/>
    </row>
    <row r="10" spans="1:16" outlineLevel="1">
      <c r="A10" s="469" t="s">
        <v>604</v>
      </c>
      <c r="B10" s="467"/>
      <c r="C10" s="467"/>
      <c r="D10" s="467"/>
      <c r="E10" s="467"/>
      <c r="F10" s="467"/>
      <c r="G10" s="499"/>
      <c r="H10" s="499"/>
      <c r="I10" s="467"/>
      <c r="J10" s="467"/>
      <c r="K10" s="467"/>
      <c r="L10" s="467"/>
      <c r="M10" s="467"/>
      <c r="N10" s="467"/>
      <c r="O10" s="467"/>
      <c r="P10" s="467"/>
    </row>
    <row r="11" spans="1:16" outlineLevel="1">
      <c r="A11" s="469"/>
      <c r="B11" s="467"/>
      <c r="C11" s="467"/>
      <c r="D11" s="467"/>
      <c r="E11" s="467"/>
      <c r="F11" s="467"/>
      <c r="G11" s="499"/>
      <c r="H11" s="499"/>
      <c r="I11" s="467"/>
      <c r="J11" s="467"/>
      <c r="K11" s="467"/>
      <c r="L11" s="467"/>
      <c r="M11" s="467"/>
      <c r="N11" s="467"/>
      <c r="O11" s="467"/>
      <c r="P11" s="467"/>
    </row>
    <row r="12" spans="1:16" ht="15.75" outlineLevel="1" thickBot="1">
      <c r="B12" s="467"/>
      <c r="C12" s="467"/>
      <c r="D12" s="467"/>
      <c r="E12" s="467"/>
      <c r="F12" s="467"/>
      <c r="G12" s="499"/>
      <c r="H12" s="499"/>
      <c r="I12" s="467"/>
      <c r="J12" s="467"/>
      <c r="K12" s="467"/>
      <c r="L12" s="467"/>
      <c r="M12" s="467"/>
      <c r="N12" s="467"/>
      <c r="O12" s="467"/>
      <c r="P12" s="467"/>
    </row>
    <row r="13" spans="1:16" ht="25.5" customHeight="1" outlineLevel="1" thickBot="1">
      <c r="A13" s="470" t="s">
        <v>566</v>
      </c>
      <c r="B13" s="452"/>
      <c r="C13" s="471"/>
      <c r="D13" s="471"/>
      <c r="E13" s="471"/>
      <c r="F13" s="471"/>
      <c r="G13" s="471"/>
      <c r="H13" s="471"/>
      <c r="I13" s="471"/>
      <c r="J13" s="471"/>
      <c r="K13" s="471"/>
      <c r="L13" s="471"/>
      <c r="M13" s="471"/>
      <c r="N13" s="471"/>
      <c r="O13" s="782" t="s">
        <v>621</v>
      </c>
      <c r="P13" s="782" t="s">
        <v>620</v>
      </c>
    </row>
    <row r="14" spans="1:16" outlineLevel="1"/>
    <row r="15" spans="1:16" s="463" customFormat="1" outlineLevel="1">
      <c r="A15" s="472" t="s">
        <v>304</v>
      </c>
      <c r="B15" s="473">
        <f>SUM(B4:B12)</f>
        <v>0</v>
      </c>
      <c r="C15" s="473">
        <f t="shared" ref="C15:P15" si="0">SUM(C4:C13)</f>
        <v>0</v>
      </c>
      <c r="D15" s="473">
        <f t="shared" si="0"/>
        <v>0</v>
      </c>
      <c r="E15" s="473">
        <f t="shared" si="0"/>
        <v>0</v>
      </c>
      <c r="F15" s="473">
        <f t="shared" si="0"/>
        <v>0</v>
      </c>
      <c r="G15" s="473"/>
      <c r="H15" s="473"/>
      <c r="I15" s="473">
        <f t="shared" si="0"/>
        <v>0</v>
      </c>
      <c r="J15" s="473">
        <f t="shared" si="0"/>
        <v>0</v>
      </c>
      <c r="K15" s="473">
        <f t="shared" si="0"/>
        <v>0</v>
      </c>
      <c r="L15" s="473">
        <f t="shared" si="0"/>
        <v>0</v>
      </c>
      <c r="M15" s="473">
        <f>SUM(M4:M13)</f>
        <v>0</v>
      </c>
      <c r="N15" s="473">
        <f t="shared" si="0"/>
        <v>0</v>
      </c>
      <c r="O15" s="473">
        <f>SUM(O4:O13)</f>
        <v>0</v>
      </c>
      <c r="P15" s="473">
        <f t="shared" si="0"/>
        <v>0</v>
      </c>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0.18311312550240619</v>
      </c>
      <c r="C17" s="501">
        <f ca="1">'EF ele_warmte'!B22</f>
        <v>0.23764705882352943</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f ca="1">C15*C17</f>
        <v>0</v>
      </c>
      <c r="D19" s="478">
        <f>D15*D17</f>
        <v>0</v>
      </c>
      <c r="E19" s="478">
        <f>E15*E17</f>
        <v>0</v>
      </c>
      <c r="F19" s="478">
        <f>F15*F17</f>
        <v>0</v>
      </c>
      <c r="G19" s="478"/>
      <c r="H19" s="478"/>
      <c r="I19" s="478">
        <f t="shared" ref="I19:P19" si="1">I15*I17</f>
        <v>0</v>
      </c>
      <c r="J19" s="478">
        <f t="shared" si="1"/>
        <v>0</v>
      </c>
      <c r="K19" s="478">
        <f t="shared" si="1"/>
        <v>0</v>
      </c>
      <c r="L19" s="478">
        <f t="shared" si="1"/>
        <v>0</v>
      </c>
      <c r="M19" s="478">
        <f t="shared" si="1"/>
        <v>0</v>
      </c>
      <c r="N19" s="478">
        <f t="shared" si="1"/>
        <v>0</v>
      </c>
      <c r="O19" s="478">
        <f t="shared" si="1"/>
        <v>0</v>
      </c>
      <c r="P19" s="478">
        <f t="shared" si="1"/>
        <v>0</v>
      </c>
    </row>
    <row r="22" spans="1:16" s="452" customFormat="1" ht="15" customHeight="1" outlineLevel="1">
      <c r="A22" s="479" t="s">
        <v>473</v>
      </c>
      <c r="B22" s="480"/>
      <c r="C22" s="481"/>
      <c r="D22" s="482"/>
      <c r="E22" s="483"/>
    </row>
    <row r="23" spans="1:16" s="48" customFormat="1" ht="15" customHeight="1" outlineLevel="1">
      <c r="A23" s="484"/>
      <c r="B23" s="485"/>
      <c r="C23" s="486" t="s">
        <v>376</v>
      </c>
      <c r="D23" s="486" t="s">
        <v>181</v>
      </c>
      <c r="E23" s="487"/>
    </row>
    <row r="24" spans="1:16" s="452" customFormat="1" ht="15" customHeight="1" outlineLevel="1">
      <c r="A24" s="488" t="s">
        <v>265</v>
      </c>
      <c r="B24" s="47">
        <f>EigenZB</f>
        <v>0</v>
      </c>
      <c r="C24" s="489"/>
      <c r="D24" s="892" t="s">
        <v>642</v>
      </c>
      <c r="E24" s="453"/>
    </row>
    <row r="25" spans="1:16" s="452" customFormat="1" outlineLevel="1">
      <c r="A25" s="488" t="s">
        <v>440</v>
      </c>
      <c r="B25" s="48">
        <v>4.2</v>
      </c>
      <c r="C25" s="489"/>
      <c r="D25" s="490" t="s">
        <v>497</v>
      </c>
      <c r="E25" s="466"/>
    </row>
    <row r="26" spans="1:16" s="452" customFormat="1" outlineLevel="1">
      <c r="A26" s="786" t="s">
        <v>441</v>
      </c>
      <c r="B26" s="787">
        <f>1.34/3.6</f>
        <v>0.37222222222222223</v>
      </c>
      <c r="C26" s="489" t="s">
        <v>217</v>
      </c>
      <c r="D26" s="490" t="s">
        <v>497</v>
      </c>
      <c r="E26" s="466"/>
    </row>
    <row r="27" spans="1:16" s="452" customFormat="1" outlineLevel="1">
      <c r="A27" s="491" t="s">
        <v>612</v>
      </c>
      <c r="B27" s="789">
        <f>B24*B25*B26</f>
        <v>0</v>
      </c>
      <c r="C27" s="492" t="s">
        <v>613</v>
      </c>
      <c r="D27" s="493"/>
      <c r="E27" s="494"/>
    </row>
    <row r="28" spans="1:16" s="452" customFormat="1" outlineLevel="1">
      <c r="A28" s="48"/>
      <c r="B28" s="48"/>
      <c r="C28" s="495"/>
      <c r="D28" s="489"/>
    </row>
    <row r="29" spans="1:16" s="452" customFormat="1" outlineLevel="1">
      <c r="A29" s="496" t="s">
        <v>474</v>
      </c>
      <c r="B29" s="480"/>
      <c r="C29" s="481"/>
      <c r="D29" s="482"/>
      <c r="E29" s="483"/>
    </row>
    <row r="30" spans="1:16" s="48" customFormat="1" outlineLevel="1">
      <c r="A30" s="497"/>
      <c r="B30" s="485"/>
      <c r="C30" s="486" t="s">
        <v>376</v>
      </c>
      <c r="D30" s="486" t="s">
        <v>181</v>
      </c>
      <c r="E30" s="487"/>
    </row>
    <row r="31" spans="1:16" s="452" customFormat="1" outlineLevel="1">
      <c r="A31" s="488" t="s">
        <v>439</v>
      </c>
      <c r="B31" s="47">
        <f>EigenWP</f>
        <v>0</v>
      </c>
      <c r="C31" s="489"/>
      <c r="D31" s="892" t="s">
        <v>642</v>
      </c>
      <c r="E31" s="453"/>
    </row>
    <row r="32" spans="1:16" s="452" customFormat="1" outlineLevel="1">
      <c r="A32" s="488" t="s">
        <v>437</v>
      </c>
      <c r="B32" s="48">
        <v>13</v>
      </c>
      <c r="C32" s="495" t="s">
        <v>262</v>
      </c>
      <c r="D32" s="490" t="s">
        <v>497</v>
      </c>
      <c r="E32" s="453"/>
    </row>
    <row r="33" spans="1:5" s="452" customFormat="1" outlineLevel="1">
      <c r="A33" s="488" t="s">
        <v>438</v>
      </c>
      <c r="B33" s="48">
        <v>2000</v>
      </c>
      <c r="C33" s="495" t="s">
        <v>264</v>
      </c>
      <c r="D33" s="490" t="s">
        <v>497</v>
      </c>
      <c r="E33" s="453"/>
    </row>
    <row r="34" spans="1:5" s="452" customFormat="1" outlineLevel="1">
      <c r="A34" s="786" t="s">
        <v>377</v>
      </c>
      <c r="B34" s="48">
        <v>3.75</v>
      </c>
      <c r="C34" s="495"/>
      <c r="D34" s="490" t="s">
        <v>497</v>
      </c>
      <c r="E34" s="453"/>
    </row>
    <row r="35" spans="1:5" s="452" customFormat="1" outlineLevel="1">
      <c r="A35" s="491" t="s">
        <v>612</v>
      </c>
      <c r="B35" s="788">
        <f>B31*B32*B33/1000-B31*B32*B33/1000/B34</f>
        <v>0</v>
      </c>
      <c r="C35" s="498" t="s">
        <v>613</v>
      </c>
      <c r="D35" s="493"/>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2020-06-20T15:35:09Z</dcterms:modified>
</cp:coreProperties>
</file>