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0" i="13"/>
  <c r="C12" i="13" s="1"/>
  <c r="C22" i="59"/>
  <c r="C56" i="22"/>
  <c r="C58" i="22" s="1"/>
  <c r="D49" i="14" s="1"/>
  <c r="D52" i="14" s="1"/>
  <c r="C17" i="49"/>
  <c r="C17" i="19"/>
  <c r="C19" i="19" s="1"/>
  <c r="D39" i="14" s="1"/>
  <c r="C18" i="15"/>
  <c r="C20" i="15" s="1"/>
  <c r="D40" i="14" s="1"/>
  <c r="C29" i="20"/>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<sst xmlns="http://schemas.openxmlformats.org/spreadsheetml/2006/main" count="2411" uniqueCount="894">
  <si>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</si>
  <si>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</si>
  <si>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</si>
  <si>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</si>
  <si>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</si>
  <si>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</si>
  <si>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</si>
  <si>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</si>
  <si>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</si>
  <si>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</si>
  <si>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</si>
  <si>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</si>
  <si>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</si>
  <si>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</si>
  <si>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</si>
  <si>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</si>
  <si>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</si>
  <si>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</si>
  <si>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</si>
  <si>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</si>
  <si>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</si>
  <si>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</si>
  <si>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</si>
  <si>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</si>
  <si>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</si>
  <si>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</si>
  <si>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</si>
  <si>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</si>
  <si>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</si>
  <si>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</si>
  <si>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</si>
  <si>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</si>
  <si>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</si>
  <si>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</si>
  <si>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</si>
  <si>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</si>
  <si>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</si>
  <si>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</si>
  <si>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</si>
  <si>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</si>
  <si>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</si>
  <si>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</si>
  <si>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</si>
  <si>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</si>
  <si>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</si>
  <si>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</si>
  <si>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</si>
  <si>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</si>
  <si>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</si>
  <si>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</si>
  <si>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</si>
  <si>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</si>
  <si>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</si>
  <si>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</si>
  <si>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</si>
  <si>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</si>
  <si>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</si>
  <si>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</si>
  <si>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</si>
  <si>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</si>
  <si>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</si>
  <si>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</si>
  <si>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</si>
  <si>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</si>
  <si>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</si>
  <si>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</si>
  <si>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</si>
  <si>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</si>
  <si>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</si>
  <si>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</si>
  <si>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</si>
  <si>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</si>
  <si>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</si>
  <si>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</si>
  <si>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</si>
  <si>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</si>
  <si>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</si>
  <si>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</si>
  <si>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</si>
  <si>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</si>
  <si>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</si>
  <si>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</si>
  <si>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</si>
  <si>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</si>
  <si>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</si>
  <si>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</si>
  <si>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</si>
  <si>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</si>
  <si>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</si>
  <si>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</si>
  <si>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</si>
  <si>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</si>
  <si>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</si>
  <si>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</si>
  <si>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</si>
  <si>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</si>
  <si>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</si>
  <si>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</si>
  <si>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</si>
  <si>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</si>
  <si>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</si>
  <si>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</si>
  <si>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</si>
  <si>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</si>
  <si>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</si>
  <si>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</si>
  <si>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</si>
  <si>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</si>
  <si>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</si>
  <si>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</si>
  <si>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</si>
  <si>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</si>
  <si>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</si>
  <si>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</si>
  <si>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</si>
  <si>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</si>
  <si>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</si>
  <si>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</si>
  <si>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</si>
  <si>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</si>
  <si>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</si>
  <si>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</si>
  <si>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</si>
  <si>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</si>
  <si>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</si>
  <si>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</si>
  <si>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</si>
  <si>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</si>
  <si>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</si>
  <si>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</si>
  <si>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</si>
  <si>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</si>
  <si>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</si>
  <si>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</si>
  <si>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</si>
  <si>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</si>
  <si>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</si>
  <si>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</si>
  <si>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</si>
  <si>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</si>
  <si>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</si>
  <si>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</si>
  <si>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</si>
  <si>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</si>
  <si>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</si>
  <si>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</si>
  <si>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</si>
  <si>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</si>
  <si>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</si>
  <si>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</si>
  <si>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</si>
  <si>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</si>
  <si>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</si>
  <si>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</si>
  <si>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</si>
  <si>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</si>
  <si>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</si>
  <si>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</si>
  <si>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</si>
  <si>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</si>
  <si>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</si>
  <si>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</si>
  <si>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</si>
  <si>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</si>
  <si>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</si>
  <si>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</si>
  <si>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</si>
  <si>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</si>
  <si>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</si>
  <si>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</si>
  <si>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</si>
  <si>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</si>
  <si>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</si>
  <si>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</si>
  <si>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</si>
  <si>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</si>
  <si>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</si>
  <si>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</si>
  <si>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</si>
  <si>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</si>
  <si>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</si>
  <si>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</si>
  <si>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</si>
  <si>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</si>
  <si>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</si>
  <si>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</si>
  <si>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</si>
  <si>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</si>
  <si>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</si>
  <si>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</si>
  <si>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</si>
  <si>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</si>
  <si>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</si>
  <si>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</si>
  <si>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</si>
  <si>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</si>
  <si>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</si>
  <si>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</si>
  <si>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</si>
  <si>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</si>
  <si>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</si>
  <si>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</si>
  <si>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</si>
  <si>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</si>
  <si>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</si>
  <si>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</si>
  <si>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</si>
  <si>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</si>
  <si>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</si>
  <si>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</si>
  <si>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</si>
  <si>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</si>
  <si>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</si>
  <si>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</si>
  <si>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</si>
  <si>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</si>
  <si>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</si>
  <si>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</si>
  <si>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</si>
  <si>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</si>
  <si>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</si>
  <si>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</si>
  <si>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</si>
  <si>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</si>
  <si>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</si>
  <si>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</si>
  <si>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</si>
  <si>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</si>
  <si>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</si>
  <si>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</si>
  <si>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</si>
  <si>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</si>
  <si>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</si>
  <si>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</si>
  <si>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</si>
  <si>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</si>
  <si>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</si>
  <si>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</si>
  <si>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</si>
  <si>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</si>
  <si>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</si>
  <si>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</si>
  <si>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</si>
  <si>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</si>
  <si>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</si>
  <si>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</si>
  <si>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</si>
  <si>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</si>
  <si>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</si>
  <si>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</si>
  <si>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</si>
  <si>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</si>
  <si>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</si>
  <si>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</si>
  <si>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</si>
  <si>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</si>
  <si>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</si>
  <si>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</si>
  <si>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</si>
  <si>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</si>
  <si>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</si>
  <si>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</si>
  <si>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</si>
  <si>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</si>
  <si>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</si>
  <si>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</si>
  <si>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</si>
  <si>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</si>
  <si>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</si>
  <si>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</si>
  <si>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</si>
  <si>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</si>
  <si>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</si>
  <si>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</si>
  <si>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</si>
  <si>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</si>
  <si>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</si>
  <si>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</si>
  <si>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</si>
  <si>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</si>
  <si>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</si>
  <si>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</si>
  <si>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</si>
  <si>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</si>
  <si>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</si>
  <si>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</si>
  <si>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</si>
  <si>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</si>
  <si>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</si>
  <si>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</si>
  <si>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</si>
  <si>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</si>
  <si>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</si>
  <si>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</si>
  <si>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</si>
  <si>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</si>
  <si>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</si>
  <si>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</si>
  <si>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</si>
  <si>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</si>
  <si>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</si>
  <si>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</si>
  <si>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</si>
  <si>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</si>
  <si>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</si>
  <si>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</si>
  <si>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</si>
  <si>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</si>
  <si>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</si>
  <si>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</si>
  <si>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</si>
  <si>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</si>
  <si>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</si>
  <si>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</si>
  <si>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</si>
  <si>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</si>
  <si>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</si>
  <si>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</si>
  <si>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</si>
  <si>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</si>
  <si>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</si>
  <si>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</si>
  <si>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</si>
  <si>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</si>
  <si>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</si>
  <si>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</si>
  <si>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</si>
  <si>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</si>
  <si>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</si>
  <si>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</si>
  <si>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</si>
  <si>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</si>
  <si>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</si>
  <si>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</si>
  <si>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</si>
  <si>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</si>
  <si>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</si>
  <si>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</si>
  <si>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</si>
  <si>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</si>
  <si>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</si>
  <si>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</si>
  <si>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</si>
  <si>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</si>
  <si>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</si>
  <si>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</si>
  <si>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</si>
  <si>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</si>
  <si>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</si>
  <si>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</si>
  <si>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</si>
  <si>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</si>
  <si>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</si>
  <si>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</si>
  <si>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</si>
  <si>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</si>
  <si>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</si>
  <si>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</si>
  <si>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</si>
  <si>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</si>
  <si>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</si>
  <si>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</si>
  <si>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</si>
  <si>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</si>
  <si>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</si>
  <si>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</si>
  <si>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</si>
  <si>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</si>
  <si>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</si>
  <si>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</si>
  <si>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</si>
  <si>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</si>
  <si>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</si>
  <si>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</si>
  <si>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</si>
  <si>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</si>
  <si>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</si>
  <si>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</si>
  <si>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</si>
  <si>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</si>
  <si>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</si>
  <si>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</si>
  <si>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</si>
  <si>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</si>
  <si>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</si>
  <si>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</si>
  <si>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</si>
  <si>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</si>
  <si>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</si>
  <si>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</si>
  <si>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</si>
  <si>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</si>
  <si>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</si>
  <si>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</si>
  <si>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</si>
  <si>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</si>
  <si>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</si>
  <si>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</si>
  <si>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</si>
  <si>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</si>
  <si>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</si>
  <si>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</si>
  <si>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</si>
  <si>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</si>
  <si>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</si>
  <si>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</si>
  <si>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</si>
  <si>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</si>
  <si>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</si>
  <si>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</si>
  <si>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</si>
  <si>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</si>
  <si>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</si>
  <si>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</si>
  <si>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</si>
  <si>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</si>
  <si>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</si>
  <si>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</si>
  <si>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</si>
  <si>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</si>
  <si>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</si>
  <si>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</si>
  <si>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</si>
  <si>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</si>
  <si>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</si>
  <si>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</si>
  <si>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</si>
  <si>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</si>
  <si>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</si>
  <si>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</si>
  <si>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</si>
  <si>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</si>
  <si>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</si>
  <si>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</si>
  <si>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</si>
  <si>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</si>
  <si>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</si>
  <si>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</si>
  <si>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</si>
  <si>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</si>
  <si>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</si>
  <si>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</si>
  <si>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</si>
  <si>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</si>
  <si>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</si>
  <si>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</si>
  <si>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</si>
  <si>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</si>
  <si>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</si>
  <si>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</si>
  <si>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</si>
  <si>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</si>
  <si>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</si>
  <si>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</si>
  <si>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</si>
  <si>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</si>
  <si>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</si>
  <si>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</si>
  <si>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</si>
  <si>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</si>
  <si>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</si>
  <si>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</si>
  <si>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</si>
  <si>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</si>
  <si>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</si>
  <si>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</si>
  <si>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</si>
  <si>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</si>
  <si>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</si>
  <si>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</si>
  <si>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</si>
  <si>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</si>
  <si>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</si>
  <si>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</si>
  <si>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</si>
  <si>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</si>
  <si>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</si>
  <si>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</si>
  <si>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</si>
  <si>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</si>
  <si>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</si>
  <si>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</si>
  <si>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</si>
  <si>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</si>
  <si>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</si>
  <si>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</si>
  <si>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</si>
  <si>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</si>
  <si>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</si>
  <si>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</si>
  <si>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</si>
  <si>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</si>
  <si>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</si>
  <si>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</si>
  <si>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</si>
  <si>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</si>
  <si>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</si>
  <si>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</si>
  <si>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</si>
  <si>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</si>
  <si>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</si>
  <si>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</si>
  <si>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</si>
  <si>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</si>
  <si>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</si>
  <si>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</si>
  <si>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</si>
  <si>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</si>
  <si>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</si>
  <si>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</si>
  <si>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</si>
  <si>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</si>
  <si>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</si>
  <si>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</si>
  <si>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</si>
  <si>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</si>
  <si>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</si>
  <si>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</si>
  <si>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</si>
  <si>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</si>
  <si>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</si>
  <si>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</si>
  <si>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</si>
  <si>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</si>
  <si>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</si>
  <si>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</si>
  <si>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</si>
  <si>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</si>
  <si>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</si>
  <si>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</si>
  <si>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</si>
  <si>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</si>
  <si>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</si>
  <si>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</si>
  <si>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</si>
  <si>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</si>
  <si>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</si>
  <si>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</si>
  <si>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</si>
  <si>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</si>
  <si>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</si>
  <si>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</si>
  <si>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</si>
  <si>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</si>
  <si>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</si>
  <si>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</si>
  <si>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</si>
  <si>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</si>
  <si>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</si>
  <si>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</si>
  <si>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</si>
  <si>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</si>
  <si>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</si>
  <si>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</si>
  <si>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</si>
  <si>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</si>
  <si>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</si>
  <si>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</si>
  <si>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</si>
  <si>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</si>
  <si>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</si>
  <si>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</si>
  <si>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</si>
  <si>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</si>
  <si>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</si>
  <si>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</si>
  <si>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</si>
  <si>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</si>
  <si>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</si>
  <si>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</si>
  <si>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</si>
  <si>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</si>
  <si>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</si>
  <si>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</si>
  <si>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</si>
  <si>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</si>
  <si>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</si>
  <si>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</si>
  <si>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</si>
  <si>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</si>
  <si>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</si>
  <si>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</si>
  <si>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</si>
  <si>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</si>
  <si>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</si>
  <si>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</si>
  <si>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</si>
  <si>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</si>
  <si>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</si>
  <si>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</si>
  <si>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</si>
  <si>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</si>
  <si>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</si>
  <si>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</si>
  <si>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</si>
  <si>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</si>
  <si>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</si>
  <si>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</si>
  <si>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</si>
  <si>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</si>
  <si>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</si>
  <si>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</si>
  <si>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</si>
  <si>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</si>
  <si>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</si>
  <si>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</si>
  <si>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</si>
  <si>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</si>
  <si>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</si>
  <si>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</si>
  <si>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</si>
  <si>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</si>
  <si>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</si>
  <si>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</si>
  <si>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</si>
  <si>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</si>
  <si>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</si>
  <si>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</si>
  <si>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</si>
  <si>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</si>
  <si>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</si>
  <si>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</si>
  <si>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</si>
  <si>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</si>
  <si>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</si>
  <si>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</si>
  <si>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</si>
  <si>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</si>
  <si>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</si>
  <si>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</si>
  <si>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</si>
  <si>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</si>
  <si>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</si>
  <si>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</si>
  <si>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</si>
  <si>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</si>
  <si>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</si>
  <si>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</si>
  <si>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</si>
  <si>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</si>
  <si>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</si>
  <si>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</si>
  <si>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</si>
  <si>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</si>
  <si>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</si>
  <si>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</si>
  <si>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</si>
  <si>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</si>
  <si>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</si>
  <si>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</si>
  <si>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</si>
  <si>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</si>
  <si>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</si>
  <si>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</si>
  <si>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</si>
  <si>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</si>
  <si>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</si>
  <si>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</si>
  <si>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</si>
  <si>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</si>
  <si>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</si>
  <si>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</si>
  <si>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</si>
  <si>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</si>
  <si>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</si>
  <si>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</si>
  <si>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</si>
  <si>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</si>
  <si>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</si>
  <si>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</si>
  <si>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</si>
  <si>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</si>
  <si>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</si>
  <si>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</si>
  <si>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</si>
  <si>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</si>
  <si>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</si>
  <si>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</si>
  <si>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</si>
  <si>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</si>
  <si>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</si>
  <si>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</si>
  <si>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</si>
  <si>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</si>
  <si>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</si>
  <si>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</si>
  <si>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</si>
  <si>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</si>
  <si>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</si>
  <si>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</si>
  <si>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</si>
  <si>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</si>
  <si>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</si>
  <si>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</si>
  <si>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</si>
  <si>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</si>
  <si>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</si>
  <si>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</si>
  <si>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</si>
  <si>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</si>
  <si>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</si>
  <si>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</si>
  <si>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</si>
  <si>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</si>
  <si>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</si>
  <si>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</si>
  <si>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</si>
  <si>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</si>
  <si>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</si>
  <si>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</si>
  <si>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</si>
  <si>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</si>
  <si>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</si>
  <si>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</si>
  <si>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</si>
  <si>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</si>
  <si>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</si>
  <si>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</si>
  <si>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</si>
  <si>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</si>
  <si>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</si>
  <si>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</si>
  <si>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</si>
  <si>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</si>
  <si>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</si>
  <si>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</si>
  <si>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</si>
  <si>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</si>
  <si>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</si>
  <si>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</si>
  <si>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</si>
  <si>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</si>
  <si>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</si>
  <si>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</si>
  <si>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</si>
  <si>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</si>
  <si>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</si>
  <si>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</si>
  <si>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</si>
  <si>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</si>
  <si>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</si>
  <si>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</si>
  <si>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</si>
  <si>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</si>
  <si>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</si>
  <si>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</si>
  <si>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</si>
  <si>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</si>
  <si>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</si>
  <si>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</si>
  <si>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</si>
  <si>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</si>
  <si>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</si>
  <si>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</si>
  <si>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</si>
  <si>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</si>
  <si>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</si>
  <si>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</si>
  <si>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</si>
  <si>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</si>
  <si>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</si>
  <si>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</si>
  <si>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</si>
  <si>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</si>
  <si>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</si>
  <si>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</si>
  <si>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</si>
  <si>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</si>
  <si>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</si>
  <si>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</si>
  <si>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</si>
  <si>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</si>
  <si>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</si>
  <si>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</si>
  <si>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</si>
  <si>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</si>
  <si>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</si>
  <si>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</si>
  <si>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</si>
  <si>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</si>
  <si>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</si>
  <si>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</si>
  <si>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</si>
  <si>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</si>
  <si>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</si>
  <si>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</si>
  <si>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</si>
  <si>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</si>
  <si>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</si>
  <si>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</si>
  <si>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</si>
  <si>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</si>
  <si>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</si>
  <si>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</si>
  <si>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</si>
  <si>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</si>
  <si>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</si>
  <si>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</si>
  <si>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</si>
  <si>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</si>
  <si>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</si>
  <si>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</si>
  <si>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</si>
  <si>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</si>
  <si>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</si>
  <si>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</si>
  <si>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</si>
  <si>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</si>
  <si>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</si>
  <si>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</si>
  <si>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</si>
  <si>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</si>
  <si>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</si>
  <si>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</si>
  <si>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</si>
  <si>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</si>
  <si>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</si>
  <si>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</si>
  <si>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</si>
  <si>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</si>
  <si>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</si>
  <si>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</si>
  <si>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</si>
  <si>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</si>
  <si>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</si>
  <si>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</si>
  <si>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</si>
  <si>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</si>
  <si>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</si>
  <si>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</si>
  <si>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</si>
  <si>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</si>
  <si>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</si>
  <si>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</si>
  <si>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</si>
  <si>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</si>
  <si>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</si>
  <si>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</si>
  <si>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</si>
  <si>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</si>
  <si>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</si>
  <si>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</si>
  <si>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</si>
  <si>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</si>
  <si>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</si>
  <si>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</si>
  <si>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</si>
  <si>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</si>
  <si>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</si>
  <si>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</si>
  <si>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</si>
  <si>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</si>
  <si>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</si>
  <si>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</si>
  <si>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</si>
  <si>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</si>
  <si>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</si>
  <si>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</si>
  <si>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</si>
  <si>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</si>
  <si>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</si>
  <si>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</si>
  <si>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</si>
  <si>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</si>
  <si>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</si>
  <si>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</si>
  <si>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</si>
  <si>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</si>
  <si>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</si>
  <si>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</si>
  <si>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</si>
  <si>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</si>
  <si>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</si>
  <si>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</si>
  <si>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</si>
  <si>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</si>
  <si>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</si>
  <si>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</si>
  <si>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</si>
  <si>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</si>
  <si>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</si>
  <si>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</si>
  <si>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</si>
  <si>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</si>
  <si>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</si>
  <si>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42010</t>
  </si>
  <si>
    <t>LAARNE</t>
  </si>
  <si>
    <t>referentietaak LNE (2017); Jaarverslag De Lijn</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</si>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</sst>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95450.840344149605</c:v>
                </c:pt>
                <c:pt idx="1">
                  <c:v>23194.72962337963</c:v>
                </c:pt>
                <c:pt idx="2">
                  <c:v>1007.726</c:v>
                </c:pt>
                <c:pt idx="3">
                  <c:v>14998.36792240003</c:v>
                </c:pt>
                <c:pt idx="4">
                  <c:v>5736.4180907893451</c:v>
                </c:pt>
                <c:pt idx="5">
                  <c:v>171989.90447526015</c:v>
                </c:pt>
                <c:pt idx="6">
                  <c:v>614.56858000029877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95450.840344149605</c:v>
                </c:pt>
                <c:pt idx="1">
                  <c:v>23194.72962337963</c:v>
                </c:pt>
                <c:pt idx="2">
                  <c:v>1007.726</c:v>
                </c:pt>
                <c:pt idx="3">
                  <c:v>14998.36792240003</c:v>
                </c:pt>
                <c:pt idx="4">
                  <c:v>5736.4180907893451</c:v>
                </c:pt>
                <c:pt idx="5">
                  <c:v>171989.90447526015</c:v>
                </c:pt>
                <c:pt idx="6">
                  <c:v>614.56858000029877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17758.06711068099</c:v>
                </c:pt>
                <c:pt idx="1">
                  <c:v>4444.7475801334695</c:v>
                </c:pt>
                <c:pt idx="2">
                  <c:v>184.52785751003779</c:v>
                </c:pt>
                <c:pt idx="3">
                  <c:v>3715.2194311188441</c:v>
                </c:pt>
                <c:pt idx="4">
                  <c:v>1166.3978993018447</c:v>
                </c:pt>
                <c:pt idx="5">
                  <c:v>42913.455236268324</c:v>
                </c:pt>
                <c:pt idx="6">
                  <c:v>155.45117659239364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17758.06711068099</c:v>
                </c:pt>
                <c:pt idx="1">
                  <c:v>4444.7475801334695</c:v>
                </c:pt>
                <c:pt idx="2">
                  <c:v>184.52785751003779</c:v>
                </c:pt>
                <c:pt idx="3">
                  <c:v>3715.2194311188441</c:v>
                </c:pt>
                <c:pt idx="4">
                  <c:v>1166.3978993018447</c:v>
                </c:pt>
                <c:pt idx="5">
                  <c:v>42913.455236268324</c:v>
                </c:pt>
                <c:pt idx="6">
                  <c:v>155.45117659239364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42010</v>
      </c>
      <c r="B6" s="390"/>
      <c r="C6" s="391"/>
    </row>
    <row r="7" spans="1:7" s="388" customFormat="1" ht="15.75" customHeight="1">
      <c r="A7" s="392" t="str">
        <f>txtMunicipality</f>
        <v>LAARNE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11525.802611999999</v>
      </c>
      <c r="D10" s="686">
        <f ca="1">tertiair!C16</f>
        <v>0</v>
      </c>
      <c r="E10" s="686">
        <f ca="1">tertiair!D16</f>
        <v>10721.840434316002</v>
      </c>
      <c r="F10" s="686">
        <f>tertiair!E16</f>
        <v>188.04961231483438</v>
      </c>
      <c r="G10" s="686">
        <f ca="1">tertiair!F16</f>
        <v>1161.969307513496</v>
      </c>
      <c r="H10" s="686">
        <f>tertiair!G16</f>
        <v>0</v>
      </c>
      <c r="I10" s="686">
        <f>tertiair!H16</f>
        <v>0</v>
      </c>
      <c r="J10" s="686">
        <f>tertiair!I16</f>
        <v>0</v>
      </c>
      <c r="K10" s="686">
        <f>tertiair!J16</f>
        <v>1.3736166632138603E-2</v>
      </c>
      <c r="L10" s="686">
        <f>tertiair!K16</f>
        <v>0</v>
      </c>
      <c r="M10" s="686">
        <f ca="1">tertiair!L16</f>
        <v>0</v>
      </c>
      <c r="N10" s="686">
        <f>tertiair!M16</f>
        <v>0</v>
      </c>
      <c r="O10" s="686">
        <f ca="1">tertiair!N16</f>
        <v>542.44626123048943</v>
      </c>
      <c r="P10" s="686">
        <f>tertiair!O16</f>
        <v>9.7945215316823084</v>
      </c>
      <c r="Q10" s="687">
        <f>tertiair!P16</f>
        <v>52.539138306495019</v>
      </c>
      <c r="R10" s="689">
        <f ca="1">SUM(C10:Q10)</f>
        <v>24202.455623379628</v>
      </c>
      <c r="S10" s="67"/>
    </row>
    <row r="11" spans="1:19" s="448" customFormat="1">
      <c r="A11" s="808" t="s">
        <v>224</v>
      </c>
      <c r="B11" s="813"/>
      <c r="C11" s="686">
        <f>huishoudens!B8</f>
        <v>25234.044816431895</v>
      </c>
      <c r="D11" s="686">
        <f>huishoudens!C8</f>
        <v>0</v>
      </c>
      <c r="E11" s="686">
        <f>huishoudens!D8</f>
        <v>38962.25701478</v>
      </c>
      <c r="F11" s="686">
        <f>huishoudens!E8</f>
        <v>7302.5026729590418</v>
      </c>
      <c r="G11" s="686">
        <f>huishoudens!F8</f>
        <v>10366.56199915929</v>
      </c>
      <c r="H11" s="686">
        <f>huishoudens!G8</f>
        <v>0</v>
      </c>
      <c r="I11" s="686">
        <f>huishoudens!H8</f>
        <v>0</v>
      </c>
      <c r="J11" s="686">
        <f>huishoudens!I8</f>
        <v>0</v>
      </c>
      <c r="K11" s="686">
        <f>huishoudens!J8</f>
        <v>2377.0232139930981</v>
      </c>
      <c r="L11" s="686">
        <f>huishoudens!K8</f>
        <v>0</v>
      </c>
      <c r="M11" s="686">
        <f>huishoudens!L8</f>
        <v>0</v>
      </c>
      <c r="N11" s="686">
        <f>huishoudens!M8</f>
        <v>0</v>
      </c>
      <c r="O11" s="686">
        <f>huishoudens!N8</f>
        <v>10266.349771792236</v>
      </c>
      <c r="P11" s="686">
        <f>huishoudens!O8</f>
        <v>436.47080826514696</v>
      </c>
      <c r="Q11" s="687">
        <f>huishoudens!P8</f>
        <v>505.63004676888113</v>
      </c>
      <c r="R11" s="689">
        <f>SUM(C11:Q11)</f>
        <v>95450.840344149605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2252.8359140000002</v>
      </c>
      <c r="D13" s="686">
        <f>industrie!C18</f>
        <v>0</v>
      </c>
      <c r="E13" s="686">
        <f>industrie!D18</f>
        <v>2101.0493721580001</v>
      </c>
      <c r="F13" s="686">
        <f>industrie!E18</f>
        <v>300.36111781098418</v>
      </c>
      <c r="G13" s="686">
        <f>industrie!F18</f>
        <v>974.69346816640416</v>
      </c>
      <c r="H13" s="686">
        <f>industrie!G18</f>
        <v>0</v>
      </c>
      <c r="I13" s="686">
        <f>industrie!H18</f>
        <v>0</v>
      </c>
      <c r="J13" s="686">
        <f>industrie!I18</f>
        <v>0</v>
      </c>
      <c r="K13" s="686">
        <f>industrie!J18</f>
        <v>2.9292964005521402</v>
      </c>
      <c r="L13" s="686">
        <f>industrie!K18</f>
        <v>0</v>
      </c>
      <c r="M13" s="686">
        <f>industrie!L18</f>
        <v>0</v>
      </c>
      <c r="N13" s="686">
        <f>industrie!M18</f>
        <v>0</v>
      </c>
      <c r="O13" s="686">
        <f>industrie!N18</f>
        <v>104.54892225340478</v>
      </c>
      <c r="P13" s="686">
        <f>industrie!O18</f>
        <v>0</v>
      </c>
      <c r="Q13" s="687">
        <f>industrie!P18</f>
        <v>0</v>
      </c>
      <c r="R13" s="689">
        <f>SUM(C13:Q13)</f>
        <v>5736.4180907893451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39012.683342431897</v>
      </c>
      <c r="D16" s="722">
        <f t="shared" ref="D16:R16" ca="1" si="0">SUM(D9:D15)</f>
        <v>0</v>
      </c>
      <c r="E16" s="722">
        <f t="shared" ca="1" si="0"/>
        <v>51785.146821253998</v>
      </c>
      <c r="F16" s="722">
        <f t="shared" si="0"/>
        <v>7790.91340308486</v>
      </c>
      <c r="G16" s="722">
        <f t="shared" ca="1" si="0"/>
        <v>12503.224774839191</v>
      </c>
      <c r="H16" s="722">
        <f t="shared" si="0"/>
        <v>0</v>
      </c>
      <c r="I16" s="722">
        <f t="shared" si="0"/>
        <v>0</v>
      </c>
      <c r="J16" s="722">
        <f t="shared" si="0"/>
        <v>0</v>
      </c>
      <c r="K16" s="722">
        <f t="shared" si="0"/>
        <v>2379.9662465602823</v>
      </c>
      <c r="L16" s="722">
        <f t="shared" si="0"/>
        <v>0</v>
      </c>
      <c r="M16" s="722">
        <f t="shared" ca="1" si="0"/>
        <v>0</v>
      </c>
      <c r="N16" s="722">
        <f t="shared" si="0"/>
        <v>0</v>
      </c>
      <c r="O16" s="722">
        <f t="shared" ca="1" si="0"/>
        <v>10913.34495527613</v>
      </c>
      <c r="P16" s="722">
        <f t="shared" si="0"/>
        <v>446.26532979682929</v>
      </c>
      <c r="Q16" s="722">
        <f t="shared" si="0"/>
        <v>558.16918507537616</v>
      </c>
      <c r="R16" s="722">
        <f t="shared" ca="1" si="0"/>
        <v>125389.71405831858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582.21414454080013</v>
      </c>
      <c r="I19" s="686">
        <f>transport!H54</f>
        <v>0</v>
      </c>
      <c r="J19" s="686">
        <f>transport!I54</f>
        <v>0</v>
      </c>
      <c r="K19" s="686">
        <f>transport!J54</f>
        <v>0</v>
      </c>
      <c r="L19" s="686">
        <f>transport!K54</f>
        <v>0</v>
      </c>
      <c r="M19" s="686">
        <f>transport!L54</f>
        <v>0</v>
      </c>
      <c r="N19" s="686">
        <f>transport!M54</f>
        <v>32.354435459498667</v>
      </c>
      <c r="O19" s="686">
        <f>transport!N54</f>
        <v>0</v>
      </c>
      <c r="P19" s="686">
        <f>transport!O54</f>
        <v>0</v>
      </c>
      <c r="Q19" s="687">
        <f>transport!P54</f>
        <v>0</v>
      </c>
      <c r="R19" s="689">
        <f>SUM(C19:Q19)</f>
        <v>614.56858000029877</v>
      </c>
      <c r="S19" s="67"/>
    </row>
    <row r="20" spans="1:19" s="448" customFormat="1">
      <c r="A20" s="808" t="s">
        <v>306</v>
      </c>
      <c r="B20" s="813"/>
      <c r="C20" s="686">
        <f>transport!B14</f>
        <v>68.449729504278736</v>
      </c>
      <c r="D20" s="686">
        <f>transport!C14</f>
        <v>0</v>
      </c>
      <c r="E20" s="686">
        <f>transport!D14</f>
        <v>250.87757729515667</v>
      </c>
      <c r="F20" s="686">
        <f>transport!E14</f>
        <v>237.34717070615261</v>
      </c>
      <c r="G20" s="686">
        <f>transport!F14</f>
        <v>0</v>
      </c>
      <c r="H20" s="686">
        <f>transport!G14</f>
        <v>138007.11949073357</v>
      </c>
      <c r="I20" s="686">
        <f>transport!H14</f>
        <v>23889.418513932596</v>
      </c>
      <c r="J20" s="686">
        <f>transport!I14</f>
        <v>0</v>
      </c>
      <c r="K20" s="686">
        <f>transport!J14</f>
        <v>0</v>
      </c>
      <c r="L20" s="686">
        <f>transport!K14</f>
        <v>0</v>
      </c>
      <c r="M20" s="686">
        <f>transport!L14</f>
        <v>0</v>
      </c>
      <c r="N20" s="686">
        <f>transport!M14</f>
        <v>9536.6919930883996</v>
      </c>
      <c r="O20" s="686">
        <f>transport!N14</f>
        <v>0</v>
      </c>
      <c r="P20" s="686">
        <f>transport!O14</f>
        <v>0</v>
      </c>
      <c r="Q20" s="687">
        <f>transport!P14</f>
        <v>0</v>
      </c>
      <c r="R20" s="689">
        <f>SUM(C20:Q20)</f>
        <v>171989.90447526015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68.449729504278736</v>
      </c>
      <c r="D22" s="811">
        <f t="shared" ref="D22:R22" si="1">SUM(D18:D21)</f>
        <v>0</v>
      </c>
      <c r="E22" s="811">
        <f t="shared" si="1"/>
        <v>250.87757729515667</v>
      </c>
      <c r="F22" s="811">
        <f t="shared" si="1"/>
        <v>237.34717070615261</v>
      </c>
      <c r="G22" s="811">
        <f t="shared" si="1"/>
        <v>0</v>
      </c>
      <c r="H22" s="811">
        <f t="shared" si="1"/>
        <v>138589.33363527438</v>
      </c>
      <c r="I22" s="811">
        <f t="shared" si="1"/>
        <v>23889.418513932596</v>
      </c>
      <c r="J22" s="811">
        <f t="shared" si="1"/>
        <v>0</v>
      </c>
      <c r="K22" s="811">
        <f t="shared" si="1"/>
        <v>0</v>
      </c>
      <c r="L22" s="811">
        <f t="shared" si="1"/>
        <v>0</v>
      </c>
      <c r="M22" s="811">
        <f t="shared" si="1"/>
        <v>0</v>
      </c>
      <c r="N22" s="811">
        <f t="shared" si="1"/>
        <v>9569.0464285478974</v>
      </c>
      <c r="O22" s="811">
        <f t="shared" si="1"/>
        <v>0</v>
      </c>
      <c r="P22" s="811">
        <f t="shared" si="1"/>
        <v>0</v>
      </c>
      <c r="Q22" s="811">
        <f t="shared" si="1"/>
        <v>0</v>
      </c>
      <c r="R22" s="811">
        <f t="shared" si="1"/>
        <v>172604.47305526046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1911.6360870000001</v>
      </c>
      <c r="D24" s="686">
        <f>+landbouw!C8</f>
        <v>5637.8571428571431</v>
      </c>
      <c r="E24" s="686">
        <f>+landbouw!D8</f>
        <v>106.61046480771256</v>
      </c>
      <c r="F24" s="686">
        <f>+landbouw!E8</f>
        <v>59.661531895457138</v>
      </c>
      <c r="G24" s="686">
        <f>+landbouw!F8</f>
        <v>6755.9336967911377</v>
      </c>
      <c r="H24" s="686">
        <f>+landbouw!G8</f>
        <v>0</v>
      </c>
      <c r="I24" s="686">
        <f>+landbouw!H8</f>
        <v>0</v>
      </c>
      <c r="J24" s="686">
        <f>+landbouw!I8</f>
        <v>0</v>
      </c>
      <c r="K24" s="686">
        <f>+landbouw!J8</f>
        <v>526.66899904857917</v>
      </c>
      <c r="L24" s="686">
        <f>+landbouw!K8</f>
        <v>0</v>
      </c>
      <c r="M24" s="686">
        <f>+landbouw!L8</f>
        <v>0</v>
      </c>
      <c r="N24" s="686">
        <f>+landbouw!M8</f>
        <v>0</v>
      </c>
      <c r="O24" s="686">
        <f>+landbouw!N8</f>
        <v>0</v>
      </c>
      <c r="P24" s="686">
        <f>+landbouw!O8</f>
        <v>0</v>
      </c>
      <c r="Q24" s="687">
        <f>+landbouw!P8</f>
        <v>0</v>
      </c>
      <c r="R24" s="689">
        <f>SUM(C24:Q24)</f>
        <v>14998.36792240003</v>
      </c>
      <c r="S24" s="67"/>
    </row>
    <row r="25" spans="1:19" s="448" customFormat="1" ht="15" thickBot="1">
      <c r="A25" s="830" t="s">
        <v>724</v>
      </c>
      <c r="B25" s="949"/>
      <c r="C25" s="950">
        <f>IF(Onbekend_ele_kWh="---",0,Onbekend_ele_kWh)/1000+IF(REST_rest_ele_kWh="---",0,REST_rest_ele_kWh)/1000</f>
        <v>561.39388699999995</v>
      </c>
      <c r="D25" s="950"/>
      <c r="E25" s="950">
        <f>IF(onbekend_gas_kWh="---",0,onbekend_gas_kWh)/1000+IF(REST_rest_gas_kWh="---",0,REST_rest_gas_kWh)/1000</f>
        <v>957.79709500000001</v>
      </c>
      <c r="F25" s="950"/>
      <c r="G25" s="950"/>
      <c r="H25" s="950"/>
      <c r="I25" s="950"/>
      <c r="J25" s="950"/>
      <c r="K25" s="950"/>
      <c r="L25" s="950"/>
      <c r="M25" s="950"/>
      <c r="N25" s="950"/>
      <c r="O25" s="950"/>
      <c r="P25" s="950"/>
      <c r="Q25" s="951"/>
      <c r="R25" s="689">
        <f>SUM(C25:Q25)</f>
        <v>1519.1909820000001</v>
      </c>
      <c r="S25" s="67"/>
    </row>
    <row r="26" spans="1:19" s="448" customFormat="1" ht="15.75" thickBot="1">
      <c r="A26" s="694" t="s">
        <v>725</v>
      </c>
      <c r="B26" s="816"/>
      <c r="C26" s="811">
        <f>SUM(C24:C25)</f>
        <v>2473.029974</v>
      </c>
      <c r="D26" s="811">
        <f t="shared" ref="D26:R26" si="2">SUM(D24:D25)</f>
        <v>5637.8571428571431</v>
      </c>
      <c r="E26" s="811">
        <f t="shared" si="2"/>
        <v>1064.4075598077125</v>
      </c>
      <c r="F26" s="811">
        <f t="shared" si="2"/>
        <v>59.661531895457138</v>
      </c>
      <c r="G26" s="811">
        <f t="shared" si="2"/>
        <v>6755.9336967911377</v>
      </c>
      <c r="H26" s="811">
        <f t="shared" si="2"/>
        <v>0</v>
      </c>
      <c r="I26" s="811">
        <f t="shared" si="2"/>
        <v>0</v>
      </c>
      <c r="J26" s="811">
        <f t="shared" si="2"/>
        <v>0</v>
      </c>
      <c r="K26" s="811">
        <f t="shared" si="2"/>
        <v>526.66899904857917</v>
      </c>
      <c r="L26" s="811">
        <f t="shared" si="2"/>
        <v>0</v>
      </c>
      <c r="M26" s="811">
        <f t="shared" si="2"/>
        <v>0</v>
      </c>
      <c r="N26" s="811">
        <f t="shared" si="2"/>
        <v>0</v>
      </c>
      <c r="O26" s="811">
        <f t="shared" si="2"/>
        <v>0</v>
      </c>
      <c r="P26" s="811">
        <f t="shared" si="2"/>
        <v>0</v>
      </c>
      <c r="Q26" s="811">
        <f t="shared" si="2"/>
        <v>0</v>
      </c>
      <c r="R26" s="811">
        <f t="shared" si="2"/>
        <v>16517.55890440003</v>
      </c>
      <c r="S26" s="67"/>
    </row>
    <row r="27" spans="1:19" s="448" customFormat="1" ht="17.25" thickTop="1" thickBot="1">
      <c r="A27" s="695" t="s">
        <v>115</v>
      </c>
      <c r="B27" s="803"/>
      <c r="C27" s="696">
        <f ca="1">C22+C16+C26</f>
        <v>41554.163045936177</v>
      </c>
      <c r="D27" s="696">
        <f t="shared" ref="D27:R27" ca="1" si="3">D22+D16+D26</f>
        <v>5637.8571428571431</v>
      </c>
      <c r="E27" s="696">
        <f t="shared" ca="1" si="3"/>
        <v>53100.431958356865</v>
      </c>
      <c r="F27" s="696">
        <f t="shared" si="3"/>
        <v>8087.9221056864699</v>
      </c>
      <c r="G27" s="696">
        <f t="shared" ca="1" si="3"/>
        <v>19259.15847163033</v>
      </c>
      <c r="H27" s="696">
        <f t="shared" si="3"/>
        <v>138589.33363527438</v>
      </c>
      <c r="I27" s="696">
        <f t="shared" si="3"/>
        <v>23889.418513932596</v>
      </c>
      <c r="J27" s="696">
        <f t="shared" si="3"/>
        <v>0</v>
      </c>
      <c r="K27" s="696">
        <f t="shared" si="3"/>
        <v>2906.6352456088616</v>
      </c>
      <c r="L27" s="696">
        <f t="shared" si="3"/>
        <v>0</v>
      </c>
      <c r="M27" s="696">
        <f t="shared" ca="1" si="3"/>
        <v>0</v>
      </c>
      <c r="N27" s="696">
        <f t="shared" si="3"/>
        <v>9569.0464285478974</v>
      </c>
      <c r="O27" s="696">
        <f t="shared" ca="1" si="3"/>
        <v>10913.34495527613</v>
      </c>
      <c r="P27" s="696">
        <f t="shared" si="3"/>
        <v>446.26532979682929</v>
      </c>
      <c r="Q27" s="696">
        <f t="shared" si="3"/>
        <v>558.16918507537616</v>
      </c>
      <c r="R27" s="696">
        <f t="shared" ca="1" si="3"/>
        <v>314511.74601797905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2110.525740207117</v>
      </c>
      <c r="D40" s="686">
        <f ca="1">tertiair!C20</f>
        <v>0</v>
      </c>
      <c r="E40" s="686">
        <f ca="1">tertiair!D20</f>
        <v>2165.8117677318323</v>
      </c>
      <c r="F40" s="686">
        <f>tertiair!E20</f>
        <v>42.687261995467402</v>
      </c>
      <c r="G40" s="686">
        <f ca="1">tertiair!F20</f>
        <v>310.24580510610343</v>
      </c>
      <c r="H40" s="686">
        <f>tertiair!G20</f>
        <v>0</v>
      </c>
      <c r="I40" s="686">
        <f>tertiair!H20</f>
        <v>0</v>
      </c>
      <c r="J40" s="686">
        <f>tertiair!I20</f>
        <v>0</v>
      </c>
      <c r="K40" s="686">
        <f>tertiair!J20</f>
        <v>4.8626029877770656E-3</v>
      </c>
      <c r="L40" s="686">
        <f>tertiair!K20</f>
        <v>0</v>
      </c>
      <c r="M40" s="686">
        <f ca="1">tertiair!L20</f>
        <v>0</v>
      </c>
      <c r="N40" s="686">
        <f>tertiair!M20</f>
        <v>0</v>
      </c>
      <c r="O40" s="686">
        <f ca="1">tertiair!N20</f>
        <v>0</v>
      </c>
      <c r="P40" s="686">
        <f>tertiair!O20</f>
        <v>0</v>
      </c>
      <c r="Q40" s="769">
        <f>tertiair!P20</f>
        <v>0</v>
      </c>
      <c r="R40" s="849">
        <f t="shared" ca="1" si="4"/>
        <v>4629.2754376435078</v>
      </c>
    </row>
    <row r="41" spans="1:18">
      <c r="A41" s="821" t="s">
        <v>224</v>
      </c>
      <c r="B41" s="828"/>
      <c r="C41" s="686">
        <f ca="1">huishoudens!B12</f>
        <v>4620.6848154046356</v>
      </c>
      <c r="D41" s="686">
        <f ca="1">huishoudens!C12</f>
        <v>0</v>
      </c>
      <c r="E41" s="686">
        <f>huishoudens!D12</f>
        <v>7870.3759169855603</v>
      </c>
      <c r="F41" s="686">
        <f>huishoudens!E12</f>
        <v>1657.6681067617026</v>
      </c>
      <c r="G41" s="686">
        <f>huishoudens!F12</f>
        <v>2767.8720537755307</v>
      </c>
      <c r="H41" s="686">
        <f>huishoudens!G12</f>
        <v>0</v>
      </c>
      <c r="I41" s="686">
        <f>huishoudens!H12</f>
        <v>0</v>
      </c>
      <c r="J41" s="686">
        <f>huishoudens!I12</f>
        <v>0</v>
      </c>
      <c r="K41" s="686">
        <f>huishoudens!J12</f>
        <v>841.46621775355675</v>
      </c>
      <c r="L41" s="686">
        <f>huishoudens!K12</f>
        <v>0</v>
      </c>
      <c r="M41" s="686">
        <f>huishoudens!L12</f>
        <v>0</v>
      </c>
      <c r="N41" s="686">
        <f>huishoudens!M12</f>
        <v>0</v>
      </c>
      <c r="O41" s="686">
        <f>huishoudens!N12</f>
        <v>0</v>
      </c>
      <c r="P41" s="686">
        <f>huishoudens!O12</f>
        <v>0</v>
      </c>
      <c r="Q41" s="769">
        <f>huishoudens!P12</f>
        <v>0</v>
      </c>
      <c r="R41" s="849">
        <f t="shared" ca="1" si="4"/>
        <v>17758.06711068099</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412.52382545660998</v>
      </c>
      <c r="D43" s="686">
        <f ca="1">industrie!C22</f>
        <v>0</v>
      </c>
      <c r="E43" s="686">
        <f>industrie!D22</f>
        <v>424.41197317591605</v>
      </c>
      <c r="F43" s="686">
        <f>industrie!E22</f>
        <v>68.181973743093408</v>
      </c>
      <c r="G43" s="686">
        <f>industrie!F22</f>
        <v>260.24315600042991</v>
      </c>
      <c r="H43" s="686">
        <f>industrie!G22</f>
        <v>0</v>
      </c>
      <c r="I43" s="686">
        <f>industrie!H22</f>
        <v>0</v>
      </c>
      <c r="J43" s="686">
        <f>industrie!I22</f>
        <v>0</v>
      </c>
      <c r="K43" s="686">
        <f>industrie!J22</f>
        <v>1.0369709257954576</v>
      </c>
      <c r="L43" s="686">
        <f>industrie!K22</f>
        <v>0</v>
      </c>
      <c r="M43" s="686">
        <f>industrie!L22</f>
        <v>0</v>
      </c>
      <c r="N43" s="686">
        <f>industrie!M22</f>
        <v>0</v>
      </c>
      <c r="O43" s="686">
        <f>industrie!N22</f>
        <v>0</v>
      </c>
      <c r="P43" s="686">
        <f>industrie!O22</f>
        <v>0</v>
      </c>
      <c r="Q43" s="769">
        <f>industrie!P22</f>
        <v>0</v>
      </c>
      <c r="R43" s="848">
        <f t="shared" ca="1" si="4"/>
        <v>1166.3978993018447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7143.7343810683633</v>
      </c>
      <c r="D46" s="722">
        <f t="shared" ref="D46:Q46" ca="1" si="5">SUM(D39:D45)</f>
        <v>0</v>
      </c>
      <c r="E46" s="722">
        <f t="shared" ca="1" si="5"/>
        <v>10460.599657893308</v>
      </c>
      <c r="F46" s="722">
        <f t="shared" si="5"/>
        <v>1768.5373425002635</v>
      </c>
      <c r="G46" s="722">
        <f t="shared" ca="1" si="5"/>
        <v>3338.361014882064</v>
      </c>
      <c r="H46" s="722">
        <f t="shared" si="5"/>
        <v>0</v>
      </c>
      <c r="I46" s="722">
        <f t="shared" si="5"/>
        <v>0</v>
      </c>
      <c r="J46" s="722">
        <f t="shared" si="5"/>
        <v>0</v>
      </c>
      <c r="K46" s="722">
        <f t="shared" si="5"/>
        <v>842.50805128234003</v>
      </c>
      <c r="L46" s="722">
        <f t="shared" si="5"/>
        <v>0</v>
      </c>
      <c r="M46" s="722">
        <f t="shared" ca="1" si="5"/>
        <v>0</v>
      </c>
      <c r="N46" s="722">
        <f t="shared" si="5"/>
        <v>0</v>
      </c>
      <c r="O46" s="722">
        <f t="shared" ca="1" si="5"/>
        <v>0</v>
      </c>
      <c r="P46" s="722">
        <f t="shared" si="5"/>
        <v>0</v>
      </c>
      <c r="Q46" s="722">
        <f t="shared" si="5"/>
        <v>0</v>
      </c>
      <c r="R46" s="722">
        <f ca="1">SUM(R39:R45)</f>
        <v>23553.740447626344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155.45117659239364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155.45117659239364</v>
      </c>
    </row>
    <row r="50" spans="1:18">
      <c r="A50" s="824" t="s">
        <v>306</v>
      </c>
      <c r="B50" s="834"/>
      <c r="C50" s="692">
        <f ca="1">transport!B18</f>
        <v>12.534043909322747</v>
      </c>
      <c r="D50" s="692">
        <f>transport!C18</f>
        <v>0</v>
      </c>
      <c r="E50" s="692">
        <f>transport!D18</f>
        <v>50.677270613621651</v>
      </c>
      <c r="F50" s="692">
        <f>transport!E18</f>
        <v>53.877807750296647</v>
      </c>
      <c r="G50" s="692">
        <f>transport!F18</f>
        <v>0</v>
      </c>
      <c r="H50" s="692">
        <f>transport!G18</f>
        <v>36847.900904025868</v>
      </c>
      <c r="I50" s="692">
        <f>transport!H18</f>
        <v>5948.4652099692166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42913.455236268324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12.534043909322747</v>
      </c>
      <c r="D52" s="722">
        <f t="shared" ref="D52:Q52" ca="1" si="6">SUM(D48:D51)</f>
        <v>0</v>
      </c>
      <c r="E52" s="722">
        <f t="shared" si="6"/>
        <v>50.677270613621651</v>
      </c>
      <c r="F52" s="722">
        <f t="shared" si="6"/>
        <v>53.877807750296647</v>
      </c>
      <c r="G52" s="722">
        <f t="shared" si="6"/>
        <v>0</v>
      </c>
      <c r="H52" s="722">
        <f t="shared" si="6"/>
        <v>37003.352080618264</v>
      </c>
      <c r="I52" s="722">
        <f t="shared" si="6"/>
        <v>5948.4652099692166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43068.906412860721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350.04565871375968</v>
      </c>
      <c r="D54" s="692">
        <f ca="1">+landbouw!C12</f>
        <v>1339.8201680672271</v>
      </c>
      <c r="E54" s="692">
        <f>+landbouw!D12</f>
        <v>21.535313891157937</v>
      </c>
      <c r="F54" s="692">
        <f>+landbouw!E12</f>
        <v>13.543167740268771</v>
      </c>
      <c r="G54" s="692">
        <f>+landbouw!F12</f>
        <v>1803.8342970432338</v>
      </c>
      <c r="H54" s="692">
        <f>+landbouw!G12</f>
        <v>0</v>
      </c>
      <c r="I54" s="692">
        <f>+landbouw!H12</f>
        <v>0</v>
      </c>
      <c r="J54" s="692">
        <f>+landbouw!I12</f>
        <v>0</v>
      </c>
      <c r="K54" s="692">
        <f>+landbouw!J12</f>
        <v>186.44082566319702</v>
      </c>
      <c r="L54" s="692">
        <f>+landbouw!K12</f>
        <v>0</v>
      </c>
      <c r="M54" s="692">
        <f>+landbouw!L12</f>
        <v>0</v>
      </c>
      <c r="N54" s="692">
        <f>+landbouw!M12</f>
        <v>0</v>
      </c>
      <c r="O54" s="692">
        <f>+landbouw!N12</f>
        <v>0</v>
      </c>
      <c r="P54" s="692">
        <f>+landbouw!O12</f>
        <v>0</v>
      </c>
      <c r="Q54" s="693">
        <f>+landbouw!P12</f>
        <v>0</v>
      </c>
      <c r="R54" s="721">
        <f ca="1">SUM(C54:Q54)</f>
        <v>3715.2194311188441</v>
      </c>
    </row>
    <row r="55" spans="1:18" ht="15" thickBot="1">
      <c r="A55" s="824" t="s">
        <v>724</v>
      </c>
      <c r="B55" s="834"/>
      <c r="C55" s="692">
        <f ca="1">C25*'EF ele_warmte'!B12</f>
        <v>102.79858928651463</v>
      </c>
      <c r="D55" s="692"/>
      <c r="E55" s="692">
        <f>E25*EF_CO2_aardgas</f>
        <v>193.47501319000003</v>
      </c>
      <c r="F55" s="692"/>
      <c r="G55" s="692"/>
      <c r="H55" s="692"/>
      <c r="I55" s="692"/>
      <c r="J55" s="692"/>
      <c r="K55" s="692"/>
      <c r="L55" s="692"/>
      <c r="M55" s="692"/>
      <c r="N55" s="692"/>
      <c r="O55" s="692"/>
      <c r="P55" s="692"/>
      <c r="Q55" s="693"/>
      <c r="R55" s="721">
        <f ca="1">SUM(C55:Q55)</f>
        <v>296.27360247651467</v>
      </c>
    </row>
    <row r="56" spans="1:18" ht="15.75" thickBot="1">
      <c r="A56" s="822" t="s">
        <v>725</v>
      </c>
      <c r="B56" s="835"/>
      <c r="C56" s="722">
        <f ca="1">SUM(C54:C55)</f>
        <v>452.84424800027432</v>
      </c>
      <c r="D56" s="722">
        <f t="shared" ref="D56:Q56" ca="1" si="7">SUM(D54:D55)</f>
        <v>1339.8201680672271</v>
      </c>
      <c r="E56" s="722">
        <f t="shared" si="7"/>
        <v>215.01032708115795</v>
      </c>
      <c r="F56" s="722">
        <f t="shared" si="7"/>
        <v>13.543167740268771</v>
      </c>
      <c r="G56" s="722">
        <f t="shared" si="7"/>
        <v>1803.8342970432338</v>
      </c>
      <c r="H56" s="722">
        <f t="shared" si="7"/>
        <v>0</v>
      </c>
      <c r="I56" s="722">
        <f t="shared" si="7"/>
        <v>0</v>
      </c>
      <c r="J56" s="722">
        <f t="shared" si="7"/>
        <v>0</v>
      </c>
      <c r="K56" s="722">
        <f t="shared" si="7"/>
        <v>186.44082566319702</v>
      </c>
      <c r="L56" s="722">
        <f t="shared" si="7"/>
        <v>0</v>
      </c>
      <c r="M56" s="722">
        <f t="shared" si="7"/>
        <v>0</v>
      </c>
      <c r="N56" s="722">
        <f t="shared" si="7"/>
        <v>0</v>
      </c>
      <c r="O56" s="722">
        <f t="shared" si="7"/>
        <v>0</v>
      </c>
      <c r="P56" s="722">
        <f t="shared" si="7"/>
        <v>0</v>
      </c>
      <c r="Q56" s="723">
        <f t="shared" si="7"/>
        <v>0</v>
      </c>
      <c r="R56" s="724">
        <f ca="1">SUM(R54:R55)</f>
        <v>4011.4930335953586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7609.1126729779598</v>
      </c>
      <c r="D61" s="730">
        <f t="shared" ref="D61:Q61" ca="1" si="8">D46+D52+D56</f>
        <v>1339.8201680672271</v>
      </c>
      <c r="E61" s="730">
        <f t="shared" ca="1" si="8"/>
        <v>10726.287255588088</v>
      </c>
      <c r="F61" s="730">
        <f t="shared" si="8"/>
        <v>1835.9583179908288</v>
      </c>
      <c r="G61" s="730">
        <f t="shared" ca="1" si="8"/>
        <v>5142.1953119252976</v>
      </c>
      <c r="H61" s="730">
        <f t="shared" si="8"/>
        <v>37003.352080618264</v>
      </c>
      <c r="I61" s="730">
        <f t="shared" si="8"/>
        <v>5948.4652099692166</v>
      </c>
      <c r="J61" s="730">
        <f t="shared" si="8"/>
        <v>0</v>
      </c>
      <c r="K61" s="730">
        <f t="shared" si="8"/>
        <v>1028.948876945537</v>
      </c>
      <c r="L61" s="730">
        <f t="shared" si="8"/>
        <v>0</v>
      </c>
      <c r="M61" s="730">
        <f t="shared" ca="1" si="8"/>
        <v>0</v>
      </c>
      <c r="N61" s="730">
        <f t="shared" si="8"/>
        <v>0</v>
      </c>
      <c r="O61" s="730">
        <f t="shared" ca="1" si="8"/>
        <v>0</v>
      </c>
      <c r="P61" s="730">
        <f t="shared" si="8"/>
        <v>0</v>
      </c>
      <c r="Q61" s="730">
        <f t="shared" si="8"/>
        <v>0</v>
      </c>
      <c r="R61" s="730">
        <f ca="1">R46+R52+R56</f>
        <v>70634.139894082415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0.18311312550240616</v>
      </c>
      <c r="D63" s="776">
        <f t="shared" ca="1" si="9"/>
        <v>0.23764705882352943</v>
      </c>
      <c r="E63" s="975">
        <f t="shared" ca="1" si="9"/>
        <v>0.20200000000000001</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4156.8711036739996</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3264.1921443847978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3946.5</v>
      </c>
      <c r="D76" s="958">
        <f>'lokale energieproductie'!C8</f>
        <v>4642.9411764705883</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937.87411764705894</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7421.0632480587974</v>
      </c>
      <c r="C78" s="748">
        <f>SUM(C72:C77)</f>
        <v>3946.5</v>
      </c>
      <c r="D78" s="749">
        <f t="shared" ref="D78:H78" si="10">SUM(D76:D77)</f>
        <v>4642.9411764705883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937.87411764705894</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5637.8571428571431</v>
      </c>
      <c r="D87" s="772">
        <f>'lokale energieproductie'!C17</f>
        <v>6632.7731092436979</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1339.8201680672271</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5637.8571428571431</v>
      </c>
      <c r="D90" s="748">
        <f t="shared" ref="D90:H90" si="12">SUM(D87:D89)</f>
        <v>6632.7731092436979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1339.8201680672271</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25234.044816431895</v>
      </c>
      <c r="C4" s="452">
        <f>huishoudens!C8</f>
        <v>0</v>
      </c>
      <c r="D4" s="452">
        <f>huishoudens!D8</f>
        <v>38962.25701478</v>
      </c>
      <c r="E4" s="452">
        <f>huishoudens!E8</f>
        <v>7302.5026729590418</v>
      </c>
      <c r="F4" s="452">
        <f>huishoudens!F8</f>
        <v>10366.56199915929</v>
      </c>
      <c r="G4" s="452">
        <f>huishoudens!G8</f>
        <v>0</v>
      </c>
      <c r="H4" s="452">
        <f>huishoudens!H8</f>
        <v>0</v>
      </c>
      <c r="I4" s="452">
        <f>huishoudens!I8</f>
        <v>0</v>
      </c>
      <c r="J4" s="452">
        <f>huishoudens!J8</f>
        <v>2377.0232139930981</v>
      </c>
      <c r="K4" s="452">
        <f>huishoudens!K8</f>
        <v>0</v>
      </c>
      <c r="L4" s="452">
        <f>huishoudens!L8</f>
        <v>0</v>
      </c>
      <c r="M4" s="452">
        <f>huishoudens!M8</f>
        <v>0</v>
      </c>
      <c r="N4" s="452">
        <f>huishoudens!N8</f>
        <v>10266.349771792236</v>
      </c>
      <c r="O4" s="452">
        <f>huishoudens!O8</f>
        <v>436.47080826514696</v>
      </c>
      <c r="P4" s="453">
        <f>huishoudens!P8</f>
        <v>505.63004676888113</v>
      </c>
      <c r="Q4" s="454">
        <f>SUM(B4:P4)</f>
        <v>95450.840344149605</v>
      </c>
    </row>
    <row r="5" spans="1:17">
      <c r="A5" s="451" t="s">
        <v>155</v>
      </c>
      <c r="B5" s="452">
        <f ca="1">tertiair!B16</f>
        <v>10518.076611999999</v>
      </c>
      <c r="C5" s="452">
        <f ca="1">tertiair!C16</f>
        <v>0</v>
      </c>
      <c r="D5" s="452">
        <f ca="1">tertiair!D16</f>
        <v>10721.840434316002</v>
      </c>
      <c r="E5" s="452">
        <f>tertiair!E16</f>
        <v>188.04961231483438</v>
      </c>
      <c r="F5" s="452">
        <f ca="1">tertiair!F16</f>
        <v>1161.969307513496</v>
      </c>
      <c r="G5" s="452">
        <f>tertiair!G16</f>
        <v>0</v>
      </c>
      <c r="H5" s="452">
        <f>tertiair!H16</f>
        <v>0</v>
      </c>
      <c r="I5" s="452">
        <f>tertiair!I16</f>
        <v>0</v>
      </c>
      <c r="J5" s="452">
        <f>tertiair!J16</f>
        <v>1.3736166632138603E-2</v>
      </c>
      <c r="K5" s="452">
        <f>tertiair!K16</f>
        <v>0</v>
      </c>
      <c r="L5" s="452">
        <f ca="1">tertiair!L16</f>
        <v>0</v>
      </c>
      <c r="M5" s="452">
        <f>tertiair!M16</f>
        <v>0</v>
      </c>
      <c r="N5" s="452">
        <f ca="1">tertiair!N16</f>
        <v>542.44626123048943</v>
      </c>
      <c r="O5" s="452">
        <f>tertiair!O16</f>
        <v>9.7945215316823084</v>
      </c>
      <c r="P5" s="453">
        <f>tertiair!P16</f>
        <v>52.539138306495019</v>
      </c>
      <c r="Q5" s="451">
        <f t="shared" ref="Q5:Q14" ca="1" si="0">SUM(B5:P5)</f>
        <v>23194.72962337963</v>
      </c>
    </row>
    <row r="6" spans="1:17">
      <c r="A6" s="451" t="s">
        <v>193</v>
      </c>
      <c r="B6" s="452">
        <f>'openbare verlichting'!B8</f>
        <v>1007.726</v>
      </c>
      <c r="C6" s="452"/>
      <c r="D6" s="452"/>
      <c r="E6" s="452"/>
      <c r="F6" s="452"/>
      <c r="G6" s="452"/>
      <c r="H6" s="452"/>
      <c r="I6" s="452"/>
      <c r="J6" s="452"/>
      <c r="K6" s="452"/>
      <c r="L6" s="452"/>
      <c r="M6" s="452"/>
      <c r="N6" s="452"/>
      <c r="O6" s="452"/>
      <c r="P6" s="453"/>
      <c r="Q6" s="451">
        <f t="shared" si="0"/>
        <v>1007.726</v>
      </c>
    </row>
    <row r="7" spans="1:17">
      <c r="A7" s="451" t="s">
        <v>111</v>
      </c>
      <c r="B7" s="452">
        <f>landbouw!B8</f>
        <v>1911.6360870000001</v>
      </c>
      <c r="C7" s="452">
        <f>landbouw!C8</f>
        <v>5637.8571428571431</v>
      </c>
      <c r="D7" s="452">
        <f>landbouw!D8</f>
        <v>106.61046480771256</v>
      </c>
      <c r="E7" s="452">
        <f>landbouw!E8</f>
        <v>59.661531895457138</v>
      </c>
      <c r="F7" s="452">
        <f>landbouw!F8</f>
        <v>6755.9336967911377</v>
      </c>
      <c r="G7" s="452">
        <f>landbouw!G8</f>
        <v>0</v>
      </c>
      <c r="H7" s="452">
        <f>landbouw!H8</f>
        <v>0</v>
      </c>
      <c r="I7" s="452">
        <f>landbouw!I8</f>
        <v>0</v>
      </c>
      <c r="J7" s="452">
        <f>landbouw!J8</f>
        <v>526.66899904857917</v>
      </c>
      <c r="K7" s="452">
        <f>landbouw!K8</f>
        <v>0</v>
      </c>
      <c r="L7" s="452">
        <f>landbouw!L8</f>
        <v>0</v>
      </c>
      <c r="M7" s="452">
        <f>landbouw!M8</f>
        <v>0</v>
      </c>
      <c r="N7" s="452">
        <f>landbouw!N8</f>
        <v>0</v>
      </c>
      <c r="O7" s="452">
        <f>landbouw!O8</f>
        <v>0</v>
      </c>
      <c r="P7" s="453">
        <f>landbouw!P8</f>
        <v>0</v>
      </c>
      <c r="Q7" s="451">
        <f t="shared" si="0"/>
        <v>14998.36792240003</v>
      </c>
    </row>
    <row r="8" spans="1:17">
      <c r="A8" s="451" t="s">
        <v>625</v>
      </c>
      <c r="B8" s="452">
        <f>industrie!B18</f>
        <v>2252.8359140000002</v>
      </c>
      <c r="C8" s="452">
        <f>industrie!C18</f>
        <v>0</v>
      </c>
      <c r="D8" s="452">
        <f>industrie!D18</f>
        <v>2101.0493721580001</v>
      </c>
      <c r="E8" s="452">
        <f>industrie!E18</f>
        <v>300.36111781098418</v>
      </c>
      <c r="F8" s="452">
        <f>industrie!F18</f>
        <v>974.69346816640416</v>
      </c>
      <c r="G8" s="452">
        <f>industrie!G18</f>
        <v>0</v>
      </c>
      <c r="H8" s="452">
        <f>industrie!H18</f>
        <v>0</v>
      </c>
      <c r="I8" s="452">
        <f>industrie!I18</f>
        <v>0</v>
      </c>
      <c r="J8" s="452">
        <f>industrie!J18</f>
        <v>2.9292964005521402</v>
      </c>
      <c r="K8" s="452">
        <f>industrie!K18</f>
        <v>0</v>
      </c>
      <c r="L8" s="452">
        <f>industrie!L18</f>
        <v>0</v>
      </c>
      <c r="M8" s="452">
        <f>industrie!M18</f>
        <v>0</v>
      </c>
      <c r="N8" s="452">
        <f>industrie!N18</f>
        <v>104.54892225340478</v>
      </c>
      <c r="O8" s="452">
        <f>industrie!O18</f>
        <v>0</v>
      </c>
      <c r="P8" s="453">
        <f>industrie!P18</f>
        <v>0</v>
      </c>
      <c r="Q8" s="451">
        <f t="shared" si="0"/>
        <v>5736.4180907893451</v>
      </c>
    </row>
    <row r="9" spans="1:17" s="457" customFormat="1">
      <c r="A9" s="455" t="s">
        <v>551</v>
      </c>
      <c r="B9" s="456">
        <f>transport!B14</f>
        <v>68.449729504278736</v>
      </c>
      <c r="C9" s="456">
        <f>transport!C14</f>
        <v>0</v>
      </c>
      <c r="D9" s="456">
        <f>transport!D14</f>
        <v>250.87757729515667</v>
      </c>
      <c r="E9" s="456">
        <f>transport!E14</f>
        <v>237.34717070615261</v>
      </c>
      <c r="F9" s="456">
        <f>transport!F14</f>
        <v>0</v>
      </c>
      <c r="G9" s="456">
        <f>transport!G14</f>
        <v>138007.11949073357</v>
      </c>
      <c r="H9" s="456">
        <f>transport!H14</f>
        <v>23889.418513932596</v>
      </c>
      <c r="I9" s="456">
        <f>transport!I14</f>
        <v>0</v>
      </c>
      <c r="J9" s="456">
        <f>transport!J14</f>
        <v>0</v>
      </c>
      <c r="K9" s="456">
        <f>transport!K14</f>
        <v>0</v>
      </c>
      <c r="L9" s="456">
        <f>transport!L14</f>
        <v>0</v>
      </c>
      <c r="M9" s="456">
        <f>transport!M14</f>
        <v>9536.6919930883996</v>
      </c>
      <c r="N9" s="456">
        <f>transport!N14</f>
        <v>0</v>
      </c>
      <c r="O9" s="456">
        <f>transport!O14</f>
        <v>0</v>
      </c>
      <c r="P9" s="456">
        <f>transport!P14</f>
        <v>0</v>
      </c>
      <c r="Q9" s="455">
        <f>SUM(B9:P9)</f>
        <v>171989.90447526015</v>
      </c>
    </row>
    <row r="10" spans="1:17">
      <c r="A10" s="451" t="s">
        <v>541</v>
      </c>
      <c r="B10" s="452">
        <f>transport!B54</f>
        <v>0</v>
      </c>
      <c r="C10" s="452">
        <f>transport!C54</f>
        <v>0</v>
      </c>
      <c r="D10" s="452">
        <f>transport!D54</f>
        <v>0</v>
      </c>
      <c r="E10" s="452">
        <f>transport!E54</f>
        <v>0</v>
      </c>
      <c r="F10" s="452">
        <f>transport!F54</f>
        <v>0</v>
      </c>
      <c r="G10" s="452">
        <f>transport!G54</f>
        <v>582.21414454080013</v>
      </c>
      <c r="H10" s="452">
        <f>transport!H54</f>
        <v>0</v>
      </c>
      <c r="I10" s="452">
        <f>transport!I54</f>
        <v>0</v>
      </c>
      <c r="J10" s="452">
        <f>transport!J54</f>
        <v>0</v>
      </c>
      <c r="K10" s="452">
        <f>transport!K54</f>
        <v>0</v>
      </c>
      <c r="L10" s="452">
        <f>transport!L54</f>
        <v>0</v>
      </c>
      <c r="M10" s="452">
        <f>transport!M54</f>
        <v>32.354435459498667</v>
      </c>
      <c r="N10" s="452">
        <f>transport!N54</f>
        <v>0</v>
      </c>
      <c r="O10" s="452">
        <f>transport!O54</f>
        <v>0</v>
      </c>
      <c r="P10" s="453">
        <f>transport!P54</f>
        <v>0</v>
      </c>
      <c r="Q10" s="451">
        <f t="shared" si="0"/>
        <v>614.56858000029877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561.39388699999995</v>
      </c>
      <c r="C14" s="459"/>
      <c r="D14" s="459">
        <f>'SEAP template'!E25</f>
        <v>957.79709500000001</v>
      </c>
      <c r="E14" s="459"/>
      <c r="F14" s="459"/>
      <c r="G14" s="459"/>
      <c r="H14" s="459"/>
      <c r="I14" s="459"/>
      <c r="J14" s="459"/>
      <c r="K14" s="459"/>
      <c r="L14" s="459"/>
      <c r="M14" s="459"/>
      <c r="N14" s="459"/>
      <c r="O14" s="459"/>
      <c r="P14" s="460"/>
      <c r="Q14" s="451">
        <f t="shared" si="0"/>
        <v>1519.1909820000001</v>
      </c>
    </row>
    <row r="15" spans="1:17" s="463" customFormat="1">
      <c r="A15" s="461" t="s">
        <v>545</v>
      </c>
      <c r="B15" s="462">
        <f ca="1">SUM(B4:B14)</f>
        <v>41554.163045936177</v>
      </c>
      <c r="C15" s="462">
        <f t="shared" ref="C15:Q15" ca="1" si="1">SUM(C4:C14)</f>
        <v>5637.8571428571431</v>
      </c>
      <c r="D15" s="462">
        <f t="shared" ca="1" si="1"/>
        <v>53100.431958356865</v>
      </c>
      <c r="E15" s="462">
        <f t="shared" si="1"/>
        <v>8087.9221056864699</v>
      </c>
      <c r="F15" s="462">
        <f t="shared" ca="1" si="1"/>
        <v>19259.158471630326</v>
      </c>
      <c r="G15" s="462">
        <f t="shared" si="1"/>
        <v>138589.33363527438</v>
      </c>
      <c r="H15" s="462">
        <f t="shared" si="1"/>
        <v>23889.418513932596</v>
      </c>
      <c r="I15" s="462">
        <f t="shared" si="1"/>
        <v>0</v>
      </c>
      <c r="J15" s="462">
        <f t="shared" si="1"/>
        <v>2906.6352456088616</v>
      </c>
      <c r="K15" s="462">
        <f t="shared" si="1"/>
        <v>0</v>
      </c>
      <c r="L15" s="462">
        <f t="shared" ca="1" si="1"/>
        <v>0</v>
      </c>
      <c r="M15" s="462">
        <f t="shared" si="1"/>
        <v>9569.0464285478974</v>
      </c>
      <c r="N15" s="462">
        <f t="shared" ca="1" si="1"/>
        <v>10913.34495527613</v>
      </c>
      <c r="O15" s="462">
        <f t="shared" si="1"/>
        <v>446.26532979682929</v>
      </c>
      <c r="P15" s="462">
        <f t="shared" si="1"/>
        <v>558.16918507537616</v>
      </c>
      <c r="Q15" s="462">
        <f t="shared" ca="1" si="1"/>
        <v>314511.74601797911</v>
      </c>
    </row>
    <row r="17" spans="1:17">
      <c r="A17" s="464" t="s">
        <v>546</v>
      </c>
      <c r="B17" s="781">
        <f ca="1">huishoudens!B10</f>
        <v>0.18311312550240619</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4620.6848154046356</v>
      </c>
      <c r="C22" s="452">
        <f t="shared" ref="C22:C32" ca="1" si="3">C4*$C$17</f>
        <v>0</v>
      </c>
      <c r="D22" s="452">
        <f t="shared" ref="D22:D32" si="4">D4*$D$17</f>
        <v>7870.3759169855603</v>
      </c>
      <c r="E22" s="452">
        <f t="shared" ref="E22:E32" si="5">E4*$E$17</f>
        <v>1657.6681067617026</v>
      </c>
      <c r="F22" s="452">
        <f t="shared" ref="F22:F32" si="6">F4*$F$17</f>
        <v>2767.8720537755307</v>
      </c>
      <c r="G22" s="452">
        <f t="shared" ref="G22:G32" si="7">G4*$G$17</f>
        <v>0</v>
      </c>
      <c r="H22" s="452">
        <f t="shared" ref="H22:H32" si="8">H4*$H$17</f>
        <v>0</v>
      </c>
      <c r="I22" s="452">
        <f t="shared" ref="I22:I32" si="9">I4*$I$17</f>
        <v>0</v>
      </c>
      <c r="J22" s="452">
        <f t="shared" ref="J22:J32" si="10">J4*$J$17</f>
        <v>841.46621775355675</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17758.06711068099</v>
      </c>
    </row>
    <row r="23" spans="1:17">
      <c r="A23" s="451" t="s">
        <v>155</v>
      </c>
      <c r="B23" s="452">
        <f t="shared" ca="1" si="2"/>
        <v>1925.9978826970791</v>
      </c>
      <c r="C23" s="452">
        <f t="shared" ca="1" si="3"/>
        <v>0</v>
      </c>
      <c r="D23" s="452">
        <f t="shared" ca="1" si="4"/>
        <v>2165.8117677318323</v>
      </c>
      <c r="E23" s="452">
        <f t="shared" si="5"/>
        <v>42.687261995467402</v>
      </c>
      <c r="F23" s="452">
        <f t="shared" ca="1" si="6"/>
        <v>310.24580510610343</v>
      </c>
      <c r="G23" s="452">
        <f t="shared" si="7"/>
        <v>0</v>
      </c>
      <c r="H23" s="452">
        <f t="shared" si="8"/>
        <v>0</v>
      </c>
      <c r="I23" s="452">
        <f t="shared" si="9"/>
        <v>0</v>
      </c>
      <c r="J23" s="452">
        <f t="shared" si="10"/>
        <v>4.8626029877770656E-3</v>
      </c>
      <c r="K23" s="452">
        <f t="shared" si="11"/>
        <v>0</v>
      </c>
      <c r="L23" s="452">
        <f t="shared" ca="1" si="12"/>
        <v>0</v>
      </c>
      <c r="M23" s="452">
        <f t="shared" si="13"/>
        <v>0</v>
      </c>
      <c r="N23" s="452">
        <f t="shared" ca="1" si="14"/>
        <v>0</v>
      </c>
      <c r="O23" s="452">
        <f t="shared" si="15"/>
        <v>0</v>
      </c>
      <c r="P23" s="453">
        <f t="shared" si="16"/>
        <v>0</v>
      </c>
      <c r="Q23" s="451">
        <f t="shared" ref="Q23:Q31" ca="1" si="17">SUM(B23:P23)</f>
        <v>4444.7475801334695</v>
      </c>
    </row>
    <row r="24" spans="1:17">
      <c r="A24" s="451" t="s">
        <v>193</v>
      </c>
      <c r="B24" s="452">
        <f t="shared" ca="1" si="2"/>
        <v>184.52785751003779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184.52785751003779</v>
      </c>
    </row>
    <row r="25" spans="1:17">
      <c r="A25" s="451" t="s">
        <v>111</v>
      </c>
      <c r="B25" s="452">
        <f t="shared" ca="1" si="2"/>
        <v>350.04565871375968</v>
      </c>
      <c r="C25" s="452">
        <f t="shared" ca="1" si="3"/>
        <v>1339.8201680672271</v>
      </c>
      <c r="D25" s="452">
        <f t="shared" si="4"/>
        <v>21.535313891157937</v>
      </c>
      <c r="E25" s="452">
        <f t="shared" si="5"/>
        <v>13.543167740268771</v>
      </c>
      <c r="F25" s="452">
        <f t="shared" si="6"/>
        <v>1803.8342970432338</v>
      </c>
      <c r="G25" s="452">
        <f t="shared" si="7"/>
        <v>0</v>
      </c>
      <c r="H25" s="452">
        <f t="shared" si="8"/>
        <v>0</v>
      </c>
      <c r="I25" s="452">
        <f t="shared" si="9"/>
        <v>0</v>
      </c>
      <c r="J25" s="452">
        <f t="shared" si="10"/>
        <v>186.44082566319702</v>
      </c>
      <c r="K25" s="452">
        <f t="shared" si="11"/>
        <v>0</v>
      </c>
      <c r="L25" s="452">
        <f t="shared" si="12"/>
        <v>0</v>
      </c>
      <c r="M25" s="452">
        <f t="shared" si="13"/>
        <v>0</v>
      </c>
      <c r="N25" s="452">
        <f t="shared" si="14"/>
        <v>0</v>
      </c>
      <c r="O25" s="452">
        <f t="shared" si="15"/>
        <v>0</v>
      </c>
      <c r="P25" s="453">
        <f t="shared" si="16"/>
        <v>0</v>
      </c>
      <c r="Q25" s="451">
        <f t="shared" ca="1" si="17"/>
        <v>3715.2194311188441</v>
      </c>
    </row>
    <row r="26" spans="1:17">
      <c r="A26" s="451" t="s">
        <v>625</v>
      </c>
      <c r="B26" s="452">
        <f t="shared" ca="1" si="2"/>
        <v>412.52382545660998</v>
      </c>
      <c r="C26" s="452">
        <f t="shared" ca="1" si="3"/>
        <v>0</v>
      </c>
      <c r="D26" s="452">
        <f t="shared" si="4"/>
        <v>424.41197317591605</v>
      </c>
      <c r="E26" s="452">
        <f t="shared" si="5"/>
        <v>68.181973743093408</v>
      </c>
      <c r="F26" s="452">
        <f t="shared" si="6"/>
        <v>260.24315600042991</v>
      </c>
      <c r="G26" s="452">
        <f t="shared" si="7"/>
        <v>0</v>
      </c>
      <c r="H26" s="452">
        <f t="shared" si="8"/>
        <v>0</v>
      </c>
      <c r="I26" s="452">
        <f t="shared" si="9"/>
        <v>0</v>
      </c>
      <c r="J26" s="452">
        <f t="shared" si="10"/>
        <v>1.0369709257954576</v>
      </c>
      <c r="K26" s="452">
        <f t="shared" si="11"/>
        <v>0</v>
      </c>
      <c r="L26" s="452">
        <f t="shared" si="12"/>
        <v>0</v>
      </c>
      <c r="M26" s="452">
        <f t="shared" si="13"/>
        <v>0</v>
      </c>
      <c r="N26" s="452">
        <f t="shared" si="14"/>
        <v>0</v>
      </c>
      <c r="O26" s="452">
        <f t="shared" si="15"/>
        <v>0</v>
      </c>
      <c r="P26" s="453">
        <f t="shared" si="16"/>
        <v>0</v>
      </c>
      <c r="Q26" s="451">
        <f t="shared" ca="1" si="17"/>
        <v>1166.3978993018447</v>
      </c>
    </row>
    <row r="27" spans="1:17" s="457" customFormat="1">
      <c r="A27" s="455" t="s">
        <v>551</v>
      </c>
      <c r="B27" s="775">
        <f t="shared" ca="1" si="2"/>
        <v>12.534043909322747</v>
      </c>
      <c r="C27" s="456">
        <f t="shared" ca="1" si="3"/>
        <v>0</v>
      </c>
      <c r="D27" s="456">
        <f t="shared" si="4"/>
        <v>50.677270613621651</v>
      </c>
      <c r="E27" s="456">
        <f t="shared" si="5"/>
        <v>53.877807750296647</v>
      </c>
      <c r="F27" s="456">
        <f t="shared" si="6"/>
        <v>0</v>
      </c>
      <c r="G27" s="456">
        <f t="shared" si="7"/>
        <v>36847.900904025868</v>
      </c>
      <c r="H27" s="456">
        <f t="shared" si="8"/>
        <v>5948.4652099692166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42913.455236268324</v>
      </c>
    </row>
    <row r="28" spans="1:17" ht="16.5" customHeight="1">
      <c r="A28" s="451" t="s">
        <v>541</v>
      </c>
      <c r="B28" s="452">
        <f t="shared" ca="1" si="2"/>
        <v>0</v>
      </c>
      <c r="C28" s="452">
        <f t="shared" ca="1" si="3"/>
        <v>0</v>
      </c>
      <c r="D28" s="452">
        <f t="shared" si="4"/>
        <v>0</v>
      </c>
      <c r="E28" s="452">
        <f t="shared" si="5"/>
        <v>0</v>
      </c>
      <c r="F28" s="452">
        <f t="shared" si="6"/>
        <v>0</v>
      </c>
      <c r="G28" s="452">
        <f t="shared" si="7"/>
        <v>155.45117659239364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155.45117659239364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102.79858928651463</v>
      </c>
      <c r="C32" s="452">
        <f t="shared" ca="1" si="3"/>
        <v>0</v>
      </c>
      <c r="D32" s="452">
        <f t="shared" si="4"/>
        <v>193.47501319000003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296.27360247651467</v>
      </c>
    </row>
    <row r="33" spans="1:17" s="463" customFormat="1">
      <c r="A33" s="461" t="s">
        <v>545</v>
      </c>
      <c r="B33" s="462">
        <f ca="1">SUM(B22:B32)</f>
        <v>7609.1126729779589</v>
      </c>
      <c r="C33" s="462">
        <f t="shared" ref="C33:Q33" ca="1" si="19">SUM(C22:C32)</f>
        <v>1339.8201680672271</v>
      </c>
      <c r="D33" s="462">
        <f t="shared" ca="1" si="19"/>
        <v>10726.287255588088</v>
      </c>
      <c r="E33" s="462">
        <f t="shared" si="19"/>
        <v>1835.9583179908286</v>
      </c>
      <c r="F33" s="462">
        <f t="shared" ca="1" si="19"/>
        <v>5142.1953119252976</v>
      </c>
      <c r="G33" s="462">
        <f t="shared" si="19"/>
        <v>37003.352080618264</v>
      </c>
      <c r="H33" s="462">
        <f t="shared" si="19"/>
        <v>5948.4652099692166</v>
      </c>
      <c r="I33" s="462">
        <f t="shared" si="19"/>
        <v>0</v>
      </c>
      <c r="J33" s="462">
        <f t="shared" si="19"/>
        <v>1028.948876945537</v>
      </c>
      <c r="K33" s="462">
        <f t="shared" si="19"/>
        <v>0</v>
      </c>
      <c r="L33" s="462">
        <f t="shared" ca="1" si="19"/>
        <v>0</v>
      </c>
      <c r="M33" s="462">
        <f t="shared" si="19"/>
        <v>0</v>
      </c>
      <c r="N33" s="462">
        <f t="shared" ca="1" si="19"/>
        <v>0</v>
      </c>
      <c r="O33" s="462">
        <f t="shared" si="19"/>
        <v>0</v>
      </c>
      <c r="P33" s="462">
        <f t="shared" si="19"/>
        <v>0</v>
      </c>
      <c r="Q33" s="462">
        <f t="shared" ca="1" si="19"/>
        <v>70634.139894082429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4156.8711036739996</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3264.1921443847978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3946.5</v>
      </c>
      <c r="D8" s="1029">
        <f>'SEAP template'!D76</f>
        <v>4642.9411764705883</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937.87411764705894</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7421.0632480587974</v>
      </c>
      <c r="C10" s="1031">
        <f>SUM(C4:C9)</f>
        <v>3946.5</v>
      </c>
      <c r="D10" s="1031">
        <f t="shared" ref="D10:H10" si="0">SUM(D8:D9)</f>
        <v>4642.9411764705883</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937.87411764705894</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0.18311312550240619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5637.8571428571431</v>
      </c>
      <c r="D17" s="1030">
        <f>'SEAP template'!D87</f>
        <v>6632.7731092436979</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1339.8201680672271</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5637.8571428571431</v>
      </c>
      <c r="D20" s="1031">
        <f t="shared" ref="D20:H20" si="2">SUM(D17:D19)</f>
        <v>6632.7731092436979</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1339.8201680672271</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0.18311312550240619</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0.18311312550240619</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0.18311312550240619</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5285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1885.94</v>
      </c>
      <c r="C14" s="330"/>
      <c r="D14" s="330"/>
      <c r="E14" s="330"/>
      <c r="F14" s="330"/>
    </row>
    <row r="15" spans="1:6">
      <c r="A15" s="1298" t="s">
        <v>183</v>
      </c>
      <c r="B15" s="1299">
        <v>14</v>
      </c>
      <c r="C15" s="330"/>
      <c r="D15" s="330"/>
      <c r="E15" s="330"/>
      <c r="F15" s="330"/>
    </row>
    <row r="16" spans="1:6">
      <c r="A16" s="1298" t="s">
        <v>6</v>
      </c>
      <c r="B16" s="1299">
        <v>458</v>
      </c>
      <c r="C16" s="330"/>
      <c r="D16" s="330"/>
      <c r="E16" s="330"/>
      <c r="F16" s="330"/>
    </row>
    <row r="17" spans="1:6">
      <c r="A17" s="1298" t="s">
        <v>7</v>
      </c>
      <c r="B17" s="1299">
        <v>195</v>
      </c>
      <c r="C17" s="330"/>
      <c r="D17" s="330"/>
      <c r="E17" s="330"/>
      <c r="F17" s="330"/>
    </row>
    <row r="18" spans="1:6">
      <c r="A18" s="1298" t="s">
        <v>8</v>
      </c>
      <c r="B18" s="1299">
        <v>295</v>
      </c>
      <c r="C18" s="330"/>
      <c r="D18" s="330"/>
      <c r="E18" s="330"/>
      <c r="F18" s="330"/>
    </row>
    <row r="19" spans="1:6">
      <c r="A19" s="1298" t="s">
        <v>9</v>
      </c>
      <c r="B19" s="1299">
        <v>471</v>
      </c>
      <c r="C19" s="330"/>
      <c r="D19" s="330"/>
      <c r="E19" s="330"/>
      <c r="F19" s="330"/>
    </row>
    <row r="20" spans="1:6">
      <c r="A20" s="1298" t="s">
        <v>10</v>
      </c>
      <c r="B20" s="1299">
        <v>404</v>
      </c>
      <c r="C20" s="330"/>
      <c r="D20" s="330"/>
      <c r="E20" s="330"/>
      <c r="F20" s="330"/>
    </row>
    <row r="21" spans="1:6">
      <c r="A21" s="1298" t="s">
        <v>11</v>
      </c>
      <c r="B21" s="1299">
        <v>40</v>
      </c>
      <c r="C21" s="330"/>
      <c r="D21" s="330"/>
      <c r="E21" s="330"/>
      <c r="F21" s="330"/>
    </row>
    <row r="22" spans="1:6">
      <c r="A22" s="1298" t="s">
        <v>12</v>
      </c>
      <c r="B22" s="1299">
        <v>1033</v>
      </c>
      <c r="C22" s="330"/>
      <c r="D22" s="330"/>
      <c r="E22" s="330"/>
      <c r="F22" s="330"/>
    </row>
    <row r="23" spans="1:6">
      <c r="A23" s="1298" t="s">
        <v>13</v>
      </c>
      <c r="B23" s="1299">
        <v>0</v>
      </c>
      <c r="C23" s="330"/>
      <c r="D23" s="330"/>
      <c r="E23" s="330"/>
      <c r="F23" s="330"/>
    </row>
    <row r="24" spans="1:6">
      <c r="A24" s="1298" t="s">
        <v>14</v>
      </c>
      <c r="B24" s="1299">
        <v>1</v>
      </c>
      <c r="C24" s="330"/>
      <c r="D24" s="330"/>
      <c r="E24" s="330"/>
      <c r="F24" s="330"/>
    </row>
    <row r="25" spans="1:6">
      <c r="A25" s="1298" t="s">
        <v>15</v>
      </c>
      <c r="B25" s="1299">
        <v>20</v>
      </c>
      <c r="C25" s="330"/>
      <c r="D25" s="330"/>
      <c r="E25" s="330"/>
      <c r="F25" s="330"/>
    </row>
    <row r="26" spans="1:6">
      <c r="A26" s="1298" t="s">
        <v>16</v>
      </c>
      <c r="B26" s="1299">
        <v>32</v>
      </c>
      <c r="C26" s="330"/>
      <c r="D26" s="330"/>
      <c r="E26" s="330"/>
      <c r="F26" s="330"/>
    </row>
    <row r="27" spans="1:6">
      <c r="A27" s="1298" t="s">
        <v>17</v>
      </c>
      <c r="B27" s="1299">
        <v>0</v>
      </c>
      <c r="C27" s="330"/>
      <c r="D27" s="330"/>
      <c r="E27" s="330"/>
      <c r="F27" s="330"/>
    </row>
    <row r="28" spans="1:6" s="43" customFormat="1">
      <c r="A28" s="1300" t="s">
        <v>18</v>
      </c>
      <c r="B28" s="1301">
        <v>19746</v>
      </c>
      <c r="C28" s="336"/>
      <c r="D28" s="336"/>
      <c r="E28" s="336"/>
      <c r="F28" s="336"/>
    </row>
    <row r="29" spans="1:6">
      <c r="A29" s="1300" t="s">
        <v>705</v>
      </c>
      <c r="B29" s="1301">
        <v>330</v>
      </c>
      <c r="C29" s="336"/>
      <c r="D29" s="336"/>
      <c r="E29" s="336"/>
      <c r="F29" s="336"/>
    </row>
    <row r="30" spans="1:6">
      <c r="A30" s="1293" t="s">
        <v>706</v>
      </c>
      <c r="B30" s="1302">
        <v>94</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8753.232</v>
      </c>
    </row>
    <row r="39" spans="1:6">
      <c r="A39" s="1298" t="s">
        <v>29</v>
      </c>
      <c r="B39" s="1298" t="s">
        <v>30</v>
      </c>
      <c r="C39" s="1299">
        <v>2859</v>
      </c>
      <c r="D39" s="1299">
        <v>43195406.890000001</v>
      </c>
      <c r="E39" s="1299">
        <v>4995</v>
      </c>
      <c r="F39" s="1299">
        <v>22247912.920000002</v>
      </c>
    </row>
    <row r="40" spans="1:6">
      <c r="A40" s="1298" t="s">
        <v>29</v>
      </c>
      <c r="B40" s="1298" t="s">
        <v>28</v>
      </c>
      <c r="C40" s="1299">
        <v>0</v>
      </c>
      <c r="D40" s="1299">
        <v>0</v>
      </c>
      <c r="E40" s="1299">
        <v>0</v>
      </c>
      <c r="F40" s="1299">
        <v>0</v>
      </c>
    </row>
    <row r="41" spans="1:6">
      <c r="A41" s="1298" t="s">
        <v>31</v>
      </c>
      <c r="B41" s="1298" t="s">
        <v>32</v>
      </c>
      <c r="C41" s="1299">
        <v>26</v>
      </c>
      <c r="D41" s="1299">
        <v>627923.36899999995</v>
      </c>
      <c r="E41" s="1299">
        <v>108</v>
      </c>
      <c r="F41" s="1299">
        <v>1018068.491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499279.11</v>
      </c>
      <c r="E44" s="1299">
        <v>18</v>
      </c>
      <c r="F44" s="1299">
        <v>797457.53500000003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25</v>
      </c>
      <c r="D48" s="1299">
        <v>908186.96699999995</v>
      </c>
      <c r="E48" s="1299">
        <v>25</v>
      </c>
      <c r="F48" s="1299">
        <v>257493.524</v>
      </c>
    </row>
    <row r="49" spans="1:6">
      <c r="A49" s="1298" t="s">
        <v>31</v>
      </c>
      <c r="B49" s="1298" t="s">
        <v>39</v>
      </c>
      <c r="C49" s="1299">
        <v>0</v>
      </c>
      <c r="D49" s="1299">
        <v>0</v>
      </c>
      <c r="E49" s="1299">
        <v>0</v>
      </c>
      <c r="F49" s="1299">
        <v>0</v>
      </c>
    </row>
    <row r="50" spans="1:6">
      <c r="A50" s="1298" t="s">
        <v>31</v>
      </c>
      <c r="B50" s="1298" t="s">
        <v>40</v>
      </c>
      <c r="C50" s="1299">
        <v>3</v>
      </c>
      <c r="D50" s="1299">
        <v>293933.58299999998</v>
      </c>
      <c r="E50" s="1299">
        <v>5</v>
      </c>
      <c r="F50" s="1299">
        <v>179816.364</v>
      </c>
    </row>
    <row r="51" spans="1:6">
      <c r="A51" s="1298" t="s">
        <v>41</v>
      </c>
      <c r="B51" s="1298" t="s">
        <v>42</v>
      </c>
      <c r="C51" s="1299">
        <v>13</v>
      </c>
      <c r="D51" s="1299">
        <v>12398383.119999999</v>
      </c>
      <c r="E51" s="1299">
        <v>98</v>
      </c>
      <c r="F51" s="1299">
        <v>1844638.35</v>
      </c>
    </row>
    <row r="52" spans="1:6">
      <c r="A52" s="1298" t="s">
        <v>41</v>
      </c>
      <c r="B52" s="1298" t="s">
        <v>28</v>
      </c>
      <c r="C52" s="1299">
        <v>4</v>
      </c>
      <c r="D52" s="1299">
        <v>220602.19099999999</v>
      </c>
      <c r="E52" s="1299">
        <v>7</v>
      </c>
      <c r="F52" s="1299">
        <v>66997.736999999994</v>
      </c>
    </row>
    <row r="53" spans="1:6">
      <c r="A53" s="1298" t="s">
        <v>43</v>
      </c>
      <c r="B53" s="1298" t="s">
        <v>44</v>
      </c>
      <c r="C53" s="1299">
        <v>67</v>
      </c>
      <c r="D53" s="1299">
        <v>957797.09499999997</v>
      </c>
      <c r="E53" s="1299">
        <v>173</v>
      </c>
      <c r="F53" s="1299">
        <v>561393.88699999999</v>
      </c>
    </row>
    <row r="54" spans="1:6">
      <c r="A54" s="1298" t="s">
        <v>45</v>
      </c>
      <c r="B54" s="1298" t="s">
        <v>46</v>
      </c>
      <c r="C54" s="1299">
        <v>0</v>
      </c>
      <c r="D54" s="1299">
        <v>0</v>
      </c>
      <c r="E54" s="1299">
        <v>1</v>
      </c>
      <c r="F54" s="1299">
        <v>1007726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v>
      </c>
      <c r="D57" s="1299">
        <v>570692.429</v>
      </c>
      <c r="E57" s="1299">
        <v>35</v>
      </c>
      <c r="F57" s="1299">
        <v>627452.27300000004</v>
      </c>
    </row>
    <row r="58" spans="1:6">
      <c r="A58" s="1298" t="s">
        <v>48</v>
      </c>
      <c r="B58" s="1298" t="s">
        <v>50</v>
      </c>
      <c r="C58" s="1299">
        <v>13</v>
      </c>
      <c r="D58" s="1299">
        <v>321327.72499999998</v>
      </c>
      <c r="E58" s="1299">
        <v>21</v>
      </c>
      <c r="F58" s="1299">
        <v>134166.693</v>
      </c>
    </row>
    <row r="59" spans="1:6">
      <c r="A59" s="1298" t="s">
        <v>48</v>
      </c>
      <c r="B59" s="1298" t="s">
        <v>51</v>
      </c>
      <c r="C59" s="1299">
        <v>51</v>
      </c>
      <c r="D59" s="1299">
        <v>1890932.7509999999</v>
      </c>
      <c r="E59" s="1299">
        <v>127</v>
      </c>
      <c r="F59" s="1299">
        <v>4636320.602</v>
      </c>
    </row>
    <row r="60" spans="1:6">
      <c r="A60" s="1298" t="s">
        <v>48</v>
      </c>
      <c r="B60" s="1298" t="s">
        <v>52</v>
      </c>
      <c r="C60" s="1299">
        <v>38</v>
      </c>
      <c r="D60" s="1299">
        <v>1200300.422</v>
      </c>
      <c r="E60" s="1299">
        <v>57</v>
      </c>
      <c r="F60" s="1299">
        <v>899974.83100000001</v>
      </c>
    </row>
    <row r="61" spans="1:6">
      <c r="A61" s="1298" t="s">
        <v>48</v>
      </c>
      <c r="B61" s="1298" t="s">
        <v>53</v>
      </c>
      <c r="C61" s="1299">
        <v>57</v>
      </c>
      <c r="D61" s="1299">
        <v>2480278.11</v>
      </c>
      <c r="E61" s="1299">
        <v>162</v>
      </c>
      <c r="F61" s="1299">
        <v>1982981.003</v>
      </c>
    </row>
    <row r="62" spans="1:6">
      <c r="A62" s="1298" t="s">
        <v>48</v>
      </c>
      <c r="B62" s="1298" t="s">
        <v>54</v>
      </c>
      <c r="C62" s="1299">
        <v>28</v>
      </c>
      <c r="D62" s="1299">
        <v>2073977.389</v>
      </c>
      <c r="E62" s="1299">
        <v>62</v>
      </c>
      <c r="F62" s="1299">
        <v>627691.13600000006</v>
      </c>
    </row>
    <row r="63" spans="1:6">
      <c r="A63" s="1298" t="s">
        <v>48</v>
      </c>
      <c r="B63" s="1298" t="s">
        <v>28</v>
      </c>
      <c r="C63" s="1299">
        <v>76</v>
      </c>
      <c r="D63" s="1299">
        <v>3349232.2319999998</v>
      </c>
      <c r="E63" s="1299">
        <v>96</v>
      </c>
      <c r="F63" s="1299">
        <v>1609490.074</v>
      </c>
    </row>
    <row r="64" spans="1:6">
      <c r="A64" s="1298" t="s">
        <v>55</v>
      </c>
      <c r="B64" s="1298" t="s">
        <v>56</v>
      </c>
      <c r="C64" s="1299">
        <v>0</v>
      </c>
      <c r="D64" s="1299">
        <v>0</v>
      </c>
      <c r="E64" s="1299">
        <v>0</v>
      </c>
      <c r="F64" s="1299">
        <v>0</v>
      </c>
    </row>
    <row r="65" spans="1:6">
      <c r="A65" s="1298" t="s">
        <v>55</v>
      </c>
      <c r="B65" s="1298" t="s">
        <v>28</v>
      </c>
      <c r="C65" s="1299">
        <v>5</v>
      </c>
      <c r="D65" s="1299">
        <v>130879.538</v>
      </c>
      <c r="E65" s="1299">
        <v>4</v>
      </c>
      <c r="F65" s="1299">
        <v>116208.037</v>
      </c>
    </row>
    <row r="66" spans="1:6">
      <c r="A66" s="1298" t="s">
        <v>55</v>
      </c>
      <c r="B66" s="1298" t="s">
        <v>57</v>
      </c>
      <c r="C66" s="1299">
        <v>0</v>
      </c>
      <c r="D66" s="1299">
        <v>0</v>
      </c>
      <c r="E66" s="1299">
        <v>4</v>
      </c>
      <c r="F66" s="1299">
        <v>48674.116000000002</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122691.39200000001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35196961</v>
      </c>
      <c r="E73" s="450"/>
      <c r="F73" s="330"/>
    </row>
    <row r="74" spans="1:6">
      <c r="A74" s="1298" t="s">
        <v>63</v>
      </c>
      <c r="B74" s="1298" t="s">
        <v>647</v>
      </c>
      <c r="C74" s="1312" t="s">
        <v>649</v>
      </c>
      <c r="D74" s="1313">
        <v>4473693</v>
      </c>
      <c r="E74" s="450"/>
      <c r="F74" s="330"/>
    </row>
    <row r="75" spans="1:6">
      <c r="A75" s="1298" t="s">
        <v>64</v>
      </c>
      <c r="B75" s="1298" t="s">
        <v>646</v>
      </c>
      <c r="C75" s="1312" t="s">
        <v>650</v>
      </c>
      <c r="D75" s="1313">
        <v>28123780</v>
      </c>
      <c r="E75" s="450"/>
      <c r="F75" s="330"/>
    </row>
    <row r="76" spans="1:6">
      <c r="A76" s="1298" t="s">
        <v>64</v>
      </c>
      <c r="B76" s="1298" t="s">
        <v>647</v>
      </c>
      <c r="C76" s="1312" t="s">
        <v>651</v>
      </c>
      <c r="D76" s="1313">
        <v>2094103</v>
      </c>
      <c r="E76" s="450"/>
      <c r="F76" s="330"/>
    </row>
    <row r="77" spans="1:6">
      <c r="A77" s="1298" t="s">
        <v>65</v>
      </c>
      <c r="B77" s="1298" t="s">
        <v>646</v>
      </c>
      <c r="C77" s="1312" t="s">
        <v>652</v>
      </c>
      <c r="D77" s="1313">
        <v>79801311</v>
      </c>
      <c r="E77" s="450"/>
      <c r="F77" s="330"/>
    </row>
    <row r="78" spans="1:6">
      <c r="A78" s="1293" t="s">
        <v>65</v>
      </c>
      <c r="B78" s="1293" t="s">
        <v>647</v>
      </c>
      <c r="C78" s="1293" t="s">
        <v>653</v>
      </c>
      <c r="D78" s="1314">
        <v>19322216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168704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4156.8711036739996</v>
      </c>
      <c r="C90" s="330"/>
      <c r="D90" s="330"/>
      <c r="E90" s="330"/>
      <c r="F90" s="330"/>
    </row>
    <row r="91" spans="1:6">
      <c r="A91" s="1298" t="s">
        <v>67</v>
      </c>
      <c r="B91" s="1299">
        <v>2986.131896431893</v>
      </c>
      <c r="C91" s="330"/>
      <c r="D91" s="330"/>
      <c r="E91" s="330"/>
      <c r="F91" s="330"/>
    </row>
    <row r="92" spans="1:6">
      <c r="A92" s="1293" t="s">
        <v>68</v>
      </c>
      <c r="B92" s="1294">
        <v>278.06024795290472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1184</v>
      </c>
      <c r="C97" s="330"/>
      <c r="D97" s="330"/>
      <c r="E97" s="330"/>
      <c r="F97" s="330"/>
    </row>
    <row r="98" spans="1:6">
      <c r="A98" s="1298" t="s">
        <v>71</v>
      </c>
      <c r="B98" s="1299">
        <v>0</v>
      </c>
      <c r="C98" s="330"/>
      <c r="D98" s="330"/>
      <c r="E98" s="330"/>
      <c r="F98" s="330"/>
    </row>
    <row r="99" spans="1:6">
      <c r="A99" s="1298" t="s">
        <v>72</v>
      </c>
      <c r="B99" s="1299">
        <v>71</v>
      </c>
      <c r="C99" s="330"/>
      <c r="D99" s="330"/>
      <c r="E99" s="330"/>
      <c r="F99" s="330"/>
    </row>
    <row r="100" spans="1:6">
      <c r="A100" s="1298" t="s">
        <v>73</v>
      </c>
      <c r="B100" s="1299">
        <v>746</v>
      </c>
      <c r="C100" s="330"/>
      <c r="D100" s="330"/>
      <c r="E100" s="330"/>
      <c r="F100" s="330"/>
    </row>
    <row r="101" spans="1:6">
      <c r="A101" s="1298" t="s">
        <v>74</v>
      </c>
      <c r="B101" s="1299">
        <v>80</v>
      </c>
      <c r="C101" s="330"/>
      <c r="D101" s="330"/>
      <c r="E101" s="330"/>
      <c r="F101" s="330"/>
    </row>
    <row r="102" spans="1:6">
      <c r="A102" s="1298" t="s">
        <v>75</v>
      </c>
      <c r="B102" s="1299">
        <v>62</v>
      </c>
      <c r="C102" s="330"/>
      <c r="D102" s="330"/>
      <c r="E102" s="330"/>
      <c r="F102" s="330"/>
    </row>
    <row r="103" spans="1:6">
      <c r="A103" s="1298" t="s">
        <v>76</v>
      </c>
      <c r="B103" s="1299">
        <v>348</v>
      </c>
      <c r="C103" s="330"/>
      <c r="D103" s="330"/>
      <c r="E103" s="330"/>
      <c r="F103" s="330"/>
    </row>
    <row r="104" spans="1:6">
      <c r="A104" s="1298" t="s">
        <v>77</v>
      </c>
      <c r="B104" s="1299">
        <v>2007</v>
      </c>
      <c r="C104" s="330"/>
      <c r="D104" s="330"/>
      <c r="E104" s="330"/>
      <c r="F104" s="330"/>
    </row>
    <row r="105" spans="1:6">
      <c r="A105" s="1293" t="s">
        <v>78</v>
      </c>
      <c r="B105" s="1302">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32</v>
      </c>
      <c r="C123" s="1299">
        <v>35</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184</v>
      </c>
      <c r="C129" s="330"/>
      <c r="D129" s="330"/>
      <c r="E129" s="330"/>
      <c r="F129" s="330"/>
    </row>
    <row r="130" spans="1:6">
      <c r="A130" s="1298" t="s">
        <v>294</v>
      </c>
      <c r="B130" s="1299">
        <v>2</v>
      </c>
      <c r="C130" s="330"/>
      <c r="D130" s="330"/>
      <c r="E130" s="330"/>
      <c r="F130" s="330"/>
    </row>
    <row r="131" spans="1:6">
      <c r="A131" s="1298" t="s">
        <v>295</v>
      </c>
      <c r="B131" s="1299">
        <v>1</v>
      </c>
      <c r="C131" s="330"/>
      <c r="D131" s="330"/>
      <c r="E131" s="330"/>
      <c r="F131" s="330"/>
    </row>
    <row r="132" spans="1:6">
      <c r="A132" s="1293" t="s">
        <v>296</v>
      </c>
      <c r="B132" s="1294">
        <v>16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41554.163045936177</v>
      </c>
      <c r="C3" s="43" t="s">
        <v>169</v>
      </c>
      <c r="D3" s="43"/>
      <c r="E3" s="154"/>
      <c r="F3" s="43"/>
      <c r="G3" s="43"/>
      <c r="H3" s="43"/>
      <c r="I3" s="43"/>
      <c r="J3" s="43"/>
      <c r="K3" s="96"/>
    </row>
    <row r="4" spans="1:11">
      <c r="A4" s="358" t="s">
        <v>170</v>
      </c>
      <c r="B4" s="49">
        <f>IF(ISERROR('SEAP template'!B78+'SEAP template'!C78),0,'SEAP template'!B78+'SEAP template'!C78)</f>
        <v>11367.563248058797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937.87411764705894</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0.18311312550240619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1339.8201680672271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5637.8571428571431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1007.726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1007.726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0.18311312550240619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184.52785751003779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22247.912920000002</v>
      </c>
      <c r="C5" s="17">
        <f>IF(ISERROR('Eigen informatie GS &amp; warmtenet'!B59),0,'Eigen informatie GS &amp; warmtenet'!B59)</f>
        <v>0</v>
      </c>
      <c r="D5" s="30">
        <f>(SUM(HH_hh_gas_kWh,HH_rest_gas_kWh)/1000)*0.902</f>
        <v>38962.25701478</v>
      </c>
      <c r="E5" s="17">
        <f>B46*B57</f>
        <v>7302.5026729590418</v>
      </c>
      <c r="F5" s="17">
        <f>B51*B62</f>
        <v>10366.56199915929</v>
      </c>
      <c r="G5" s="18"/>
      <c r="H5" s="17"/>
      <c r="I5" s="17"/>
      <c r="J5" s="17">
        <f>B50*B61+C50*C61</f>
        <v>2377.0232139930981</v>
      </c>
      <c r="K5" s="17"/>
      <c r="L5" s="17"/>
      <c r="M5" s="17"/>
      <c r="N5" s="17">
        <f>B48*B59+C48*C59</f>
        <v>10266.349771792236</v>
      </c>
      <c r="O5" s="17">
        <f>B69*B70*B71</f>
        <v>436.47080826514696</v>
      </c>
      <c r="P5" s="17">
        <f>B77*B78*B79/1000-B77*B78*B79/1000/B80</f>
        <v>505.63004676888113</v>
      </c>
    </row>
    <row r="6" spans="1:16">
      <c r="A6" s="16" t="s">
        <v>611</v>
      </c>
      <c r="B6" s="783">
        <f>kWh_PV_kleiner_dan_10kW</f>
        <v>2986.131896431893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25234.044816431895</v>
      </c>
      <c r="C8" s="21">
        <f>C5</f>
        <v>0</v>
      </c>
      <c r="D8" s="21">
        <f>D5</f>
        <v>38962.25701478</v>
      </c>
      <c r="E8" s="21">
        <f>E5</f>
        <v>7302.5026729590418</v>
      </c>
      <c r="F8" s="21">
        <f>F5</f>
        <v>10366.56199915929</v>
      </c>
      <c r="G8" s="21"/>
      <c r="H8" s="21"/>
      <c r="I8" s="21"/>
      <c r="J8" s="21">
        <f>J5</f>
        <v>2377.0232139930981</v>
      </c>
      <c r="K8" s="21"/>
      <c r="L8" s="21">
        <f>L5</f>
        <v>0</v>
      </c>
      <c r="M8" s="21">
        <f>M5</f>
        <v>0</v>
      </c>
      <c r="N8" s="21">
        <f>N5</f>
        <v>10266.349771792236</v>
      </c>
      <c r="O8" s="21">
        <f>O5</f>
        <v>436.47080826514696</v>
      </c>
      <c r="P8" s="21">
        <f>P5</f>
        <v>505.63004676888113</v>
      </c>
    </row>
    <row r="9" spans="1:16">
      <c r="B9" s="19"/>
      <c r="C9" s="19"/>
      <c r="D9" s="258"/>
      <c r="E9" s="19"/>
      <c r="F9" s="19"/>
      <c r="G9" s="19"/>
      <c r="H9" s="19"/>
      <c r="I9" s="19"/>
      <c r="J9" s="19"/>
      <c r="K9" s="19"/>
      <c r="L9" s="19"/>
      <c r="M9" s="19"/>
      <c r="N9" s="19"/>
      <c r="O9" s="19"/>
      <c r="P9" s="19"/>
    </row>
    <row r="10" spans="1:16">
      <c r="A10" s="24" t="s">
        <v>213</v>
      </c>
      <c r="B10" s="25">
        <f ca="1">'EF ele_warmte'!B12</f>
        <v>0.18311312550240619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4620.6848154046356</v>
      </c>
      <c r="C12" s="23">
        <f ca="1">C10*C8</f>
        <v>0</v>
      </c>
      <c r="D12" s="23">
        <f>D8*D10</f>
        <v>7870.3759169855603</v>
      </c>
      <c r="E12" s="23">
        <f>E10*E8</f>
        <v>1657.6681067617026</v>
      </c>
      <c r="F12" s="23">
        <f>F10*F8</f>
        <v>2767.8720537755307</v>
      </c>
      <c r="G12" s="23"/>
      <c r="H12" s="23"/>
      <c r="I12" s="23"/>
      <c r="J12" s="23">
        <f>J10*J8</f>
        <v>841.46621775355675</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1184</v>
      </c>
      <c r="C18" s="166" t="s">
        <v>110</v>
      </c>
      <c r="D18" s="228"/>
      <c r="E18" s="15"/>
    </row>
    <row r="19" spans="1:7">
      <c r="A19" s="171" t="s">
        <v>71</v>
      </c>
      <c r="B19" s="37">
        <f>aantalw2001_ander</f>
        <v>0</v>
      </c>
      <c r="C19" s="166" t="s">
        <v>110</v>
      </c>
      <c r="D19" s="229"/>
      <c r="E19" s="15"/>
    </row>
    <row r="20" spans="1:7">
      <c r="A20" s="171" t="s">
        <v>72</v>
      </c>
      <c r="B20" s="37">
        <f>aantalw2001_propaan</f>
        <v>71</v>
      </c>
      <c r="C20" s="167">
        <f>IF(ISERROR(B20/SUM($B$20,$B$21,$B$22)*100),0,B20/SUM($B$20,$B$21,$B$22)*100)</f>
        <v>7.9152731326644368</v>
      </c>
      <c r="D20" s="229"/>
      <c r="E20" s="15"/>
    </row>
    <row r="21" spans="1:7">
      <c r="A21" s="171" t="s">
        <v>73</v>
      </c>
      <c r="B21" s="37">
        <f>aantalw2001_elektriciteit</f>
        <v>746</v>
      </c>
      <c r="C21" s="167">
        <f>IF(ISERROR(B21/SUM($B$20,$B$21,$B$22)*100),0,B21/SUM($B$20,$B$21,$B$22)*100)</f>
        <v>83.166109253065784</v>
      </c>
      <c r="D21" s="229"/>
      <c r="E21" s="15"/>
    </row>
    <row r="22" spans="1:7">
      <c r="A22" s="171" t="s">
        <v>74</v>
      </c>
      <c r="B22" s="37">
        <f>aantalw2001_hout</f>
        <v>80</v>
      </c>
      <c r="C22" s="167">
        <f>IF(ISERROR(B22/SUM($B$20,$B$21,$B$22)*100),0,B22/SUM($B$20,$B$21,$B$22)*100)</f>
        <v>8.9186176142697882</v>
      </c>
      <c r="D22" s="229"/>
      <c r="E22" s="15"/>
    </row>
    <row r="23" spans="1:7">
      <c r="A23" s="171" t="s">
        <v>75</v>
      </c>
      <c r="B23" s="37">
        <f>aantalw2001_niet_gespec</f>
        <v>62</v>
      </c>
      <c r="C23" s="166" t="s">
        <v>110</v>
      </c>
      <c r="D23" s="228"/>
      <c r="E23" s="15"/>
    </row>
    <row r="24" spans="1:7">
      <c r="A24" s="171" t="s">
        <v>76</v>
      </c>
      <c r="B24" s="37">
        <f>aantalw2001_steenkool</f>
        <v>348</v>
      </c>
      <c r="C24" s="166" t="s">
        <v>110</v>
      </c>
      <c r="D24" s="229"/>
      <c r="E24" s="15"/>
    </row>
    <row r="25" spans="1:7">
      <c r="A25" s="171" t="s">
        <v>77</v>
      </c>
      <c r="B25" s="37">
        <f>aantalw2001_stookolie</f>
        <v>2007</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818</v>
      </c>
      <c r="B28" s="37">
        <f>aantalHuishoudens</f>
        <v>5285</v>
      </c>
      <c r="C28" s="36"/>
      <c r="D28" s="228"/>
    </row>
    <row r="29" spans="1:7" s="15" customFormat="1">
      <c r="A29" s="230" t="s">
        <v>819</v>
      </c>
      <c r="B29" s="37">
        <f>SUM(HH_hh_gas_aantal,HH_rest_gas_aantal)</f>
        <v>2859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2859</v>
      </c>
      <c r="C32" s="167">
        <f>IF(ISERROR(B32/SUM($B$32,$B$34,$B$35,$B$36,$B$38,$B$39)*100),0,B32/SUM($B$32,$B$34,$B$35,$B$36,$B$38,$B$39)*100)</f>
        <v>54.592323849532164</v>
      </c>
      <c r="D32" s="233"/>
      <c r="G32" s="15"/>
    </row>
    <row r="33" spans="1:7">
      <c r="A33" s="171" t="s">
        <v>71</v>
      </c>
      <c r="B33" s="34" t="s">
        <v>110</v>
      </c>
      <c r="C33" s="167"/>
      <c r="D33" s="233"/>
      <c r="G33" s="15"/>
    </row>
    <row r="34" spans="1:7">
      <c r="A34" s="171" t="s">
        <v>72</v>
      </c>
      <c r="B34" s="33">
        <f>IF((($B$28-$B$32-$B$39-$B$77-$B$38)*C20/100)&lt;0,0,($B$28-$B$32-$B$39-$B$77-$B$38)*C20/100)</f>
        <v>134.40133779264212</v>
      </c>
      <c r="C34" s="167">
        <f>IF(ISERROR(B34/SUM($B$32,$B$34,$B$35,$B$36,$B$38,$B$39)*100),0,B34/SUM($B$32,$B$34,$B$35,$B$36,$B$38,$B$39)*100)</f>
        <v>2.5663803282918103</v>
      </c>
      <c r="D34" s="233"/>
      <c r="G34" s="15"/>
    </row>
    <row r="35" spans="1:7">
      <c r="A35" s="171" t="s">
        <v>73</v>
      </c>
      <c r="B35" s="33">
        <f>IF((($B$28-$B$32-$B$39-$B$77-$B$38)*C21/100)&lt;0,0,($B$28-$B$32-$B$39-$B$77-$B$38)*C21/100)</f>
        <v>1412.1605351170572</v>
      </c>
      <c r="C35" s="167">
        <f>IF(ISERROR(B35/SUM($B$32,$B$34,$B$35,$B$36,$B$38,$B$39)*100),0,B35/SUM($B$32,$B$34,$B$35,$B$36,$B$38,$B$39)*100)</f>
        <v>26.965066547967481</v>
      </c>
      <c r="D35" s="233"/>
      <c r="G35" s="15"/>
    </row>
    <row r="36" spans="1:7">
      <c r="A36" s="171" t="s">
        <v>74</v>
      </c>
      <c r="B36" s="33">
        <f>IF((($B$28-$B$32-$B$39-$B$77-$B$38)*C22/100)&lt;0,0,($B$28-$B$32-$B$39-$B$77-$B$38)*C22/100)</f>
        <v>151.43812709030101</v>
      </c>
      <c r="C36" s="167">
        <f>IF(ISERROR(B36/SUM($B$32,$B$34,$B$35,$B$36,$B$38,$B$39)*100),0,B36/SUM($B$32,$B$34,$B$35,$B$36,$B$38,$B$39)*100)</f>
        <v>2.8916961445541527</v>
      </c>
      <c r="D36" s="233"/>
      <c r="G36" s="15"/>
    </row>
    <row r="37" spans="1:7">
      <c r="A37" s="171" t="s">
        <v>75</v>
      </c>
      <c r="B37" s="34" t="s">
        <v>110</v>
      </c>
      <c r="C37" s="167"/>
      <c r="D37" s="173"/>
      <c r="G37" s="15"/>
    </row>
    <row r="38" spans="1:7">
      <c r="A38" s="171" t="s">
        <v>76</v>
      </c>
      <c r="B38" s="33">
        <f>IF((B24-(B29-B18)*0.1)&lt;0,0,B24-(B29-B18)*0.1)</f>
        <v>180.5</v>
      </c>
      <c r="C38" s="167">
        <f>IF(ISERROR(B38/SUM($B$32,$B$34,$B$35,$B$36,$B$38,$B$39)*100),0,B38/SUM($B$32,$B$34,$B$35,$B$36,$B$38,$B$39)*100)</f>
        <v>3.4466297498567875</v>
      </c>
      <c r="D38" s="234"/>
      <c r="G38" s="15"/>
    </row>
    <row r="39" spans="1:7">
      <c r="A39" s="171" t="s">
        <v>77</v>
      </c>
      <c r="B39" s="33">
        <f>IF((B25-(B29-B18))&lt;0,0,B25-(B29-B18)*0.9)</f>
        <v>499.5</v>
      </c>
      <c r="C39" s="167">
        <f>IF(ISERROR(B39/SUM($B$32,$B$34,$B$35,$B$36,$B$38,$B$39)*100),0,B39/SUM($B$32,$B$34,$B$35,$B$36,$B$38,$B$39)*100)</f>
        <v>9.5379033797975925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2859</v>
      </c>
      <c r="C44" s="34" t="s">
        <v>110</v>
      </c>
      <c r="D44" s="174"/>
    </row>
    <row r="45" spans="1:7">
      <c r="A45" s="171" t="s">
        <v>71</v>
      </c>
      <c r="B45" s="33" t="str">
        <f t="shared" si="0"/>
        <v>-</v>
      </c>
      <c r="C45" s="34" t="s">
        <v>110</v>
      </c>
      <c r="D45" s="174"/>
    </row>
    <row r="46" spans="1:7">
      <c r="A46" s="171" t="s">
        <v>72</v>
      </c>
      <c r="B46" s="33">
        <f t="shared" si="0"/>
        <v>134.40133779264212</v>
      </c>
      <c r="C46" s="34" t="s">
        <v>110</v>
      </c>
      <c r="D46" s="174"/>
    </row>
    <row r="47" spans="1:7">
      <c r="A47" s="171" t="s">
        <v>73</v>
      </c>
      <c r="B47" s="33">
        <f t="shared" si="0"/>
        <v>1412.1605351170572</v>
      </c>
      <c r="C47" s="34" t="s">
        <v>110</v>
      </c>
      <c r="D47" s="174"/>
    </row>
    <row r="48" spans="1:7">
      <c r="A48" s="171" t="s">
        <v>74</v>
      </c>
      <c r="B48" s="33">
        <f t="shared" si="0"/>
        <v>151.43812709030101</v>
      </c>
      <c r="C48" s="33">
        <f>B48*10</f>
        <v>1514.3812709030101</v>
      </c>
      <c r="D48" s="234"/>
    </row>
    <row r="49" spans="1:6">
      <c r="A49" s="171" t="s">
        <v>75</v>
      </c>
      <c r="B49" s="33" t="str">
        <f t="shared" si="0"/>
        <v>-</v>
      </c>
      <c r="C49" s="34" t="s">
        <v>110</v>
      </c>
      <c r="D49" s="234"/>
    </row>
    <row r="50" spans="1:6">
      <c r="A50" s="171" t="s">
        <v>76</v>
      </c>
      <c r="B50" s="33">
        <f t="shared" si="0"/>
        <v>180.5</v>
      </c>
      <c r="C50" s="33">
        <f>B50*2</f>
        <v>361</v>
      </c>
      <c r="D50" s="234"/>
    </row>
    <row r="51" spans="1:6">
      <c r="A51" s="171" t="s">
        <v>77</v>
      </c>
      <c r="B51" s="33">
        <f t="shared" si="0"/>
        <v>499.5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10518.076611999999</v>
      </c>
      <c r="C5" s="17">
        <f>IF(ISERROR('Eigen informatie GS &amp; warmtenet'!B60),0,'Eigen informatie GS &amp; warmtenet'!B60)</f>
        <v>0</v>
      </c>
      <c r="D5" s="30">
        <f>SUM(D6:D12)</f>
        <v>10721.840434316002</v>
      </c>
      <c r="E5" s="17">
        <f>SUM(E6:E12)</f>
        <v>188.04961231483438</v>
      </c>
      <c r="F5" s="17">
        <f>SUM(F6:F12)</f>
        <v>1161.969307513496</v>
      </c>
      <c r="G5" s="18"/>
      <c r="H5" s="17"/>
      <c r="I5" s="17"/>
      <c r="J5" s="17">
        <f>SUM(J6:J12)</f>
        <v>1.3736166632138603E-2</v>
      </c>
      <c r="K5" s="17"/>
      <c r="L5" s="17"/>
      <c r="M5" s="17"/>
      <c r="N5" s="17">
        <f>SUM(N6:N12)</f>
        <v>542.44626123048943</v>
      </c>
      <c r="O5" s="17">
        <f>B38*B39*B40</f>
        <v>9.7945215316823084</v>
      </c>
      <c r="P5" s="17">
        <f>B46*B47*B48/1000-B46*B47*B48/1000/B49</f>
        <v>52.539138306495019</v>
      </c>
      <c r="R5" s="32"/>
    </row>
    <row r="6" spans="1:18">
      <c r="A6" s="32" t="s">
        <v>53</v>
      </c>
      <c r="B6" s="37">
        <f>B26</f>
        <v>1982.9810030000001</v>
      </c>
      <c r="C6" s="33"/>
      <c r="D6" s="37">
        <f>IF(ISERROR(TER_kantoor_gas_kWh/1000),0,TER_kantoor_gas_kWh/1000)*0.902</f>
        <v>2237.2108552199998</v>
      </c>
      <c r="E6" s="33">
        <f>$C$26*'E Balans VL '!I12/100/3.6*1000000</f>
        <v>15.956412337342083</v>
      </c>
      <c r="F6" s="33">
        <f>$C$26*('E Balans VL '!L12+'E Balans VL '!N12)/100/3.6*1000000</f>
        <v>242.44028790904565</v>
      </c>
      <c r="G6" s="34"/>
      <c r="H6" s="33"/>
      <c r="I6" s="33"/>
      <c r="J6" s="33">
        <f>$C$26*('E Balans VL '!D12+'E Balans VL '!E12)/100/3.6*1000000</f>
        <v>0</v>
      </c>
      <c r="K6" s="33"/>
      <c r="L6" s="33"/>
      <c r="M6" s="33"/>
      <c r="N6" s="33">
        <f>$C$26*'E Balans VL '!Y12/100/3.6*1000000</f>
        <v>1.0657546378673357</v>
      </c>
      <c r="O6" s="33"/>
      <c r="P6" s="33"/>
      <c r="R6" s="32"/>
    </row>
    <row r="7" spans="1:18">
      <c r="A7" s="32" t="s">
        <v>52</v>
      </c>
      <c r="B7" s="37">
        <f t="shared" ref="B7:B12" si="0">B27</f>
        <v>899.97483099999999</v>
      </c>
      <c r="C7" s="33"/>
      <c r="D7" s="37">
        <f>IF(ISERROR(TER_horeca_gas_kWh/1000),0,TER_horeca_gas_kWh/1000)*0.902</f>
        <v>1082.6709806440001</v>
      </c>
      <c r="E7" s="33">
        <f>$C$27*'E Balans VL '!I9/100/3.6*1000000</f>
        <v>9.6635197331171145</v>
      </c>
      <c r="F7" s="33">
        <f>$C$27*('E Balans VL '!L9+'E Balans VL '!N9)/100/3.6*1000000</f>
        <v>108.24514895618046</v>
      </c>
      <c r="G7" s="34"/>
      <c r="H7" s="33"/>
      <c r="I7" s="33"/>
      <c r="J7" s="33">
        <f>$C$27*('E Balans VL '!D9+'E Balans VL '!E9)/100/3.6*1000000</f>
        <v>0</v>
      </c>
      <c r="K7" s="33"/>
      <c r="L7" s="33"/>
      <c r="M7" s="33"/>
      <c r="N7" s="33">
        <f>$C$27*'E Balans VL '!Y9/100/3.6*1000000</f>
        <v>0.13492446753904391</v>
      </c>
      <c r="O7" s="33"/>
      <c r="P7" s="33"/>
      <c r="R7" s="32"/>
    </row>
    <row r="8" spans="1:18">
      <c r="A8" s="6" t="s">
        <v>51</v>
      </c>
      <c r="B8" s="37">
        <f t="shared" si="0"/>
        <v>4636.3206019999998</v>
      </c>
      <c r="C8" s="33"/>
      <c r="D8" s="37">
        <f>IF(ISERROR(TER_handel_gas_kWh/1000),0,TER_handel_gas_kWh/1000)*0.902</f>
        <v>1705.6213414019999</v>
      </c>
      <c r="E8" s="33">
        <f>$C$28*'E Balans VL '!I13/100/3.6*1000000</f>
        <v>124.4246509998496</v>
      </c>
      <c r="F8" s="33">
        <f>$C$28*('E Balans VL '!L13+'E Balans VL '!N13)/100/3.6*1000000</f>
        <v>442.44788051626813</v>
      </c>
      <c r="G8" s="34"/>
      <c r="H8" s="33"/>
      <c r="I8" s="33"/>
      <c r="J8" s="33">
        <f>$C$28*('E Balans VL '!D13+'E Balans VL '!E13)/100/3.6*1000000</f>
        <v>0</v>
      </c>
      <c r="K8" s="33"/>
      <c r="L8" s="33"/>
      <c r="M8" s="33"/>
      <c r="N8" s="33">
        <f>$C$28*'E Balans VL '!Y13/100/3.6*1000000</f>
        <v>1.8378902033852564</v>
      </c>
      <c r="O8" s="33"/>
      <c r="P8" s="33"/>
      <c r="R8" s="32"/>
    </row>
    <row r="9" spans="1:18">
      <c r="A9" s="32" t="s">
        <v>50</v>
      </c>
      <c r="B9" s="37">
        <f t="shared" si="0"/>
        <v>134.16669300000001</v>
      </c>
      <c r="C9" s="33"/>
      <c r="D9" s="37">
        <f>IF(ISERROR(TER_gezond_gas_kWh/1000),0,TER_gezond_gas_kWh/1000)*0.902</f>
        <v>289.83760795000001</v>
      </c>
      <c r="E9" s="33">
        <f>$C$29*'E Balans VL '!I10/100/3.6*1000000</f>
        <v>0.25147206925427767</v>
      </c>
      <c r="F9" s="33">
        <f>$C$29*('E Balans VL '!L10+'E Balans VL '!N10)/100/3.6*1000000</f>
        <v>11.02972634134675</v>
      </c>
      <c r="G9" s="34"/>
      <c r="H9" s="33"/>
      <c r="I9" s="33"/>
      <c r="J9" s="33">
        <f>$C$29*('E Balans VL '!D10+'E Balans VL '!E10)/100/3.6*1000000</f>
        <v>0</v>
      </c>
      <c r="K9" s="33"/>
      <c r="L9" s="33"/>
      <c r="M9" s="33"/>
      <c r="N9" s="33">
        <f>$C$29*'E Balans VL '!Y10/100/3.6*1000000</f>
        <v>1.0439169742764354</v>
      </c>
      <c r="O9" s="33"/>
      <c r="P9" s="33"/>
      <c r="R9" s="32"/>
    </row>
    <row r="10" spans="1:18">
      <c r="A10" s="32" t="s">
        <v>49</v>
      </c>
      <c r="B10" s="37">
        <f t="shared" si="0"/>
        <v>627.45227299999999</v>
      </c>
      <c r="C10" s="33"/>
      <c r="D10" s="37">
        <f>IF(ISERROR(TER_ander_gas_kWh/1000),0,TER_ander_gas_kWh/1000)*0.902</f>
        <v>514.76457095799992</v>
      </c>
      <c r="E10" s="33">
        <f>$C$30*'E Balans VL '!I14/100/3.6*1000000</f>
        <v>0.96722403670514479</v>
      </c>
      <c r="F10" s="33">
        <f>$C$30*('E Balans VL '!L14+'E Balans VL '!N14)/100/3.6*1000000</f>
        <v>97.412138600973236</v>
      </c>
      <c r="G10" s="34"/>
      <c r="H10" s="33"/>
      <c r="I10" s="33"/>
      <c r="J10" s="33">
        <f>$C$30*('E Balans VL '!D14+'E Balans VL '!E14)/100/3.6*1000000</f>
        <v>1.0651664060902816E-2</v>
      </c>
      <c r="K10" s="33"/>
      <c r="L10" s="33"/>
      <c r="M10" s="33"/>
      <c r="N10" s="33">
        <f>$C$30*'E Balans VL '!Y14/100/3.6*1000000</f>
        <v>415.10231412240114</v>
      </c>
      <c r="O10" s="33"/>
      <c r="P10" s="33"/>
      <c r="R10" s="32"/>
    </row>
    <row r="11" spans="1:18">
      <c r="A11" s="32" t="s">
        <v>54</v>
      </c>
      <c r="B11" s="37">
        <f t="shared" si="0"/>
        <v>627.69113600000003</v>
      </c>
      <c r="C11" s="33"/>
      <c r="D11" s="37">
        <f>IF(ISERROR(TER_onderwijs_gas_kWh/1000),0,TER_onderwijs_gas_kWh/1000)*0.902</f>
        <v>1870.7276048780002</v>
      </c>
      <c r="E11" s="33">
        <f>$C$31*'E Balans VL '!I11/100/3.6*1000000</f>
        <v>16.010411133881597</v>
      </c>
      <c r="F11" s="33">
        <f>$C$31*('E Balans VL '!L11+'E Balans VL '!N11)/100/3.6*1000000</f>
        <v>75.48576715795862</v>
      </c>
      <c r="G11" s="34"/>
      <c r="H11" s="33"/>
      <c r="I11" s="33"/>
      <c r="J11" s="33">
        <f>$C$31*('E Balans VL '!D11+'E Balans VL '!E11)/100/3.6*1000000</f>
        <v>0</v>
      </c>
      <c r="K11" s="33"/>
      <c r="L11" s="33"/>
      <c r="M11" s="33"/>
      <c r="N11" s="33">
        <f>$C$31*'E Balans VL '!Y11/100/3.6*1000000</f>
        <v>1.3959697706683103</v>
      </c>
      <c r="O11" s="33"/>
      <c r="P11" s="33"/>
      <c r="R11" s="32"/>
    </row>
    <row r="12" spans="1:18">
      <c r="A12" s="32" t="s">
        <v>259</v>
      </c>
      <c r="B12" s="37">
        <f t="shared" si="0"/>
        <v>1609.490074</v>
      </c>
      <c r="C12" s="33"/>
      <c r="D12" s="37">
        <f>IF(ISERROR(TER_rest_gas_kWh/1000),0,TER_rest_gas_kWh/1000)*0.902</f>
        <v>3021.0074732640001</v>
      </c>
      <c r="E12" s="33">
        <f>$C$32*'E Balans VL '!I8/100/3.6*1000000</f>
        <v>20.775922004684521</v>
      </c>
      <c r="F12" s="33">
        <f>$C$32*('E Balans VL '!L8+'E Balans VL '!N8)/100/3.6*1000000</f>
        <v>184.90835803172308</v>
      </c>
      <c r="G12" s="34"/>
      <c r="H12" s="33"/>
      <c r="I12" s="33"/>
      <c r="J12" s="33">
        <f>$C$32*('E Balans VL '!D8+'E Balans VL '!E8)/100/3.6*1000000</f>
        <v>3.0845025712357881E-3</v>
      </c>
      <c r="K12" s="33"/>
      <c r="L12" s="33"/>
      <c r="M12" s="33"/>
      <c r="N12" s="33">
        <f>$C$32*'E Balans VL '!Y8/100/3.6*1000000</f>
        <v>121.86549105435191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10518.076611999999</v>
      </c>
      <c r="C16" s="21">
        <f t="shared" ca="1" si="1"/>
        <v>0</v>
      </c>
      <c r="D16" s="21">
        <f t="shared" ca="1" si="1"/>
        <v>10721.840434316002</v>
      </c>
      <c r="E16" s="21">
        <f t="shared" si="1"/>
        <v>188.04961231483438</v>
      </c>
      <c r="F16" s="21">
        <f t="shared" ca="1" si="1"/>
        <v>1161.969307513496</v>
      </c>
      <c r="G16" s="21">
        <f t="shared" si="1"/>
        <v>0</v>
      </c>
      <c r="H16" s="21">
        <f t="shared" si="1"/>
        <v>0</v>
      </c>
      <c r="I16" s="21">
        <f t="shared" si="1"/>
        <v>0</v>
      </c>
      <c r="J16" s="21">
        <f t="shared" si="1"/>
        <v>1.3736166632138603E-2</v>
      </c>
      <c r="K16" s="21">
        <f t="shared" si="1"/>
        <v>0</v>
      </c>
      <c r="L16" s="21">
        <f t="shared" ca="1" si="1"/>
        <v>0</v>
      </c>
      <c r="M16" s="21">
        <f t="shared" si="1"/>
        <v>0</v>
      </c>
      <c r="N16" s="21">
        <f t="shared" ca="1" si="1"/>
        <v>542.44626123048943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0.18311312550240619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1925.9978826970791</v>
      </c>
      <c r="C20" s="23">
        <f t="shared" ref="C20:P20" ca="1" si="2">C16*C18</f>
        <v>0</v>
      </c>
      <c r="D20" s="23">
        <f t="shared" ca="1" si="2"/>
        <v>2165.8117677318323</v>
      </c>
      <c r="E20" s="23">
        <f t="shared" si="2"/>
        <v>42.687261995467402</v>
      </c>
      <c r="F20" s="23">
        <f t="shared" ca="1" si="2"/>
        <v>310.24580510610343</v>
      </c>
      <c r="G20" s="23">
        <f t="shared" si="2"/>
        <v>0</v>
      </c>
      <c r="H20" s="23">
        <f t="shared" si="2"/>
        <v>0</v>
      </c>
      <c r="I20" s="23">
        <f t="shared" si="2"/>
        <v>0</v>
      </c>
      <c r="J20" s="23">
        <f t="shared" si="2"/>
        <v>4.8626029877770656E-3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1982.9810030000001</v>
      </c>
      <c r="C26" s="39">
        <f>IF(ISERROR(B26*3.6/1000000/'E Balans VL '!Z12*100),0,B26*3.6/1000000/'E Balans VL '!Z12*100)</f>
        <v>4.2067127759360716E-2</v>
      </c>
      <c r="D26" s="237" t="s">
        <v>708</v>
      </c>
      <c r="F26" s="6"/>
    </row>
    <row r="27" spans="1:18">
      <c r="A27" s="231" t="s">
        <v>52</v>
      </c>
      <c r="B27" s="33">
        <f>IF(ISERROR(TER_horeca_ele_kWh/1000),0,TER_horeca_ele_kWh/1000)</f>
        <v>899.97483099999999</v>
      </c>
      <c r="C27" s="39">
        <f>IF(ISERROR(B27*3.6/1000000/'E Balans VL '!Z9*100),0,B27*3.6/1000000/'E Balans VL '!Z9*100)</f>
        <v>6.7776077207242075E-2</v>
      </c>
      <c r="D27" s="237" t="s">
        <v>708</v>
      </c>
      <c r="F27" s="6"/>
    </row>
    <row r="28" spans="1:18">
      <c r="A28" s="171" t="s">
        <v>51</v>
      </c>
      <c r="B28" s="33">
        <f>IF(ISERROR(TER_handel_ele_kWh/1000),0,TER_handel_ele_kWh/1000)</f>
        <v>4636.3206019999998</v>
      </c>
      <c r="C28" s="39">
        <f>IF(ISERROR(B28*3.6/1000000/'E Balans VL '!Z13*100),0,B28*3.6/1000000/'E Balans VL '!Z13*100)</f>
        <v>0.13457595931044319</v>
      </c>
      <c r="D28" s="237" t="s">
        <v>708</v>
      </c>
      <c r="F28" s="6"/>
    </row>
    <row r="29" spans="1:18">
      <c r="A29" s="231" t="s">
        <v>50</v>
      </c>
      <c r="B29" s="33">
        <f>IF(ISERROR(TER_gezond_ele_kWh/1000),0,TER_gezond_ele_kWh/1000)</f>
        <v>134.16669300000001</v>
      </c>
      <c r="C29" s="39">
        <f>IF(ISERROR(B29*3.6/1000000/'E Balans VL '!Z10*100),0,B29*3.6/1000000/'E Balans VL '!Z10*100)</f>
        <v>1.3530870989348074E-2</v>
      </c>
      <c r="D29" s="237" t="s">
        <v>708</v>
      </c>
      <c r="F29" s="6"/>
    </row>
    <row r="30" spans="1:18">
      <c r="A30" s="231" t="s">
        <v>49</v>
      </c>
      <c r="B30" s="33">
        <f>IF(ISERROR(TER_ander_ele_kWh/1000),0,TER_ander_ele_kWh/1000)</f>
        <v>627.45227299999999</v>
      </c>
      <c r="C30" s="39">
        <f>IF(ISERROR(B30*3.6/1000000/'E Balans VL '!Z14*100),0,B30*3.6/1000000/'E Balans VL '!Z14*100)</f>
        <v>4.5530222424676629E-2</v>
      </c>
      <c r="D30" s="237" t="s">
        <v>708</v>
      </c>
      <c r="F30" s="6"/>
    </row>
    <row r="31" spans="1:18">
      <c r="A31" s="231" t="s">
        <v>54</v>
      </c>
      <c r="B31" s="33">
        <f>IF(ISERROR(TER_onderwijs_ele_kWh/1000),0,TER_onderwijs_ele_kWh/1000)</f>
        <v>627.69113600000003</v>
      </c>
      <c r="C31" s="39">
        <f>IF(ISERROR(B31*3.6/1000000/'E Balans VL '!Z11*100),0,B31*3.6/1000000/'E Balans VL '!Z11*100)</f>
        <v>0.17891753453326023</v>
      </c>
      <c r="D31" s="237" t="s">
        <v>708</v>
      </c>
    </row>
    <row r="32" spans="1:18">
      <c r="A32" s="231" t="s">
        <v>259</v>
      </c>
      <c r="B32" s="33">
        <f>IF(ISERROR(TER_rest_ele_kWh/1000),0,TER_rest_ele_kWh/1000)</f>
        <v>1609.490074</v>
      </c>
      <c r="C32" s="39">
        <f>IF(ISERROR(B32*3.6/1000000/'E Balans VL '!Z8*100),0,B32*3.6/1000000/'E Balans VL '!Z8*100)</f>
        <v>1.3184614848428587E-2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2252.8359140000002</v>
      </c>
      <c r="C5" s="17">
        <f>IF(ISERROR('Eigen informatie GS &amp; warmtenet'!B61),0,'Eigen informatie GS &amp; warmtenet'!B61)</f>
        <v>0</v>
      </c>
      <c r="D5" s="30">
        <f>SUM(D6:D15)</f>
        <v>2101.0493721580001</v>
      </c>
      <c r="E5" s="17">
        <f>SUM(E6:E15)</f>
        <v>300.36111781098418</v>
      </c>
      <c r="F5" s="17">
        <f>SUM(F6:F15)</f>
        <v>974.69346816640416</v>
      </c>
      <c r="G5" s="18"/>
      <c r="H5" s="17"/>
      <c r="I5" s="17"/>
      <c r="J5" s="17">
        <f>SUM(J6:J15)</f>
        <v>2.9292964005521402</v>
      </c>
      <c r="K5" s="17"/>
      <c r="L5" s="17"/>
      <c r="M5" s="17"/>
      <c r="N5" s="17">
        <f>SUM(N6:N15)</f>
        <v>104.54892225340478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797.45753500000001</v>
      </c>
      <c r="C8" s="33"/>
      <c r="D8" s="37">
        <f>IF( ISERROR(IND_metaal_Gas_kWH/1000),0,IND_metaal_Gas_kWH/1000)*0.902</f>
        <v>450.34975722000001</v>
      </c>
      <c r="E8" s="33">
        <f>C30*'E Balans VL '!I18/100/3.6*1000000</f>
        <v>5.7530964070168702</v>
      </c>
      <c r="F8" s="33">
        <f>C30*'E Balans VL '!L18/100/3.6*1000000+C30*'E Balans VL '!N18/100/3.6*1000000</f>
        <v>75.424778724079005</v>
      </c>
      <c r="G8" s="34"/>
      <c r="H8" s="33"/>
      <c r="I8" s="33"/>
      <c r="J8" s="40">
        <f>C30*'E Balans VL '!D18/100/3.6*1000000+C30*'E Balans VL '!E18/100/3.6*1000000</f>
        <v>0.80208742288672574</v>
      </c>
      <c r="K8" s="33"/>
      <c r="L8" s="33"/>
      <c r="M8" s="33"/>
      <c r="N8" s="33">
        <f>C30*'E Balans VL '!Y18/100/3.6*1000000</f>
        <v>10.081973106738191</v>
      </c>
      <c r="O8" s="33"/>
      <c r="P8" s="33"/>
      <c r="R8" s="32"/>
    </row>
    <row r="9" spans="1:18">
      <c r="A9" s="6" t="s">
        <v>32</v>
      </c>
      <c r="B9" s="37">
        <f t="shared" si="0"/>
        <v>1018.068491</v>
      </c>
      <c r="C9" s="33"/>
      <c r="D9" s="37">
        <f>IF( ISERROR(IND_andere_gas_kWh/1000),0,IND_andere_gas_kWh/1000)*0.902</f>
        <v>566.38687883800003</v>
      </c>
      <c r="E9" s="33">
        <f>C31*'E Balans VL '!I19/100/3.6*1000000</f>
        <v>282.12039213732692</v>
      </c>
      <c r="F9" s="33">
        <f>C31*'E Balans VL '!L19/100/3.6*1000000+C31*'E Balans VL '!N19/100/3.6*1000000</f>
        <v>843.77736540376497</v>
      </c>
      <c r="G9" s="34"/>
      <c r="H9" s="33"/>
      <c r="I9" s="33"/>
      <c r="J9" s="40">
        <f>C31*'E Balans VL '!D19/100/3.6*1000000+C31*'E Balans VL '!E19/100/3.6*1000000</f>
        <v>0</v>
      </c>
      <c r="K9" s="33"/>
      <c r="L9" s="33"/>
      <c r="M9" s="33"/>
      <c r="N9" s="33">
        <f>C31*'E Balans VL '!Y19/100/3.6*1000000</f>
        <v>73.899320120887921</v>
      </c>
      <c r="O9" s="33"/>
      <c r="P9" s="33"/>
      <c r="R9" s="32"/>
    </row>
    <row r="10" spans="1:18">
      <c r="A10" s="6" t="s">
        <v>40</v>
      </c>
      <c r="B10" s="37">
        <f t="shared" si="0"/>
        <v>179.81636399999999</v>
      </c>
      <c r="C10" s="33"/>
      <c r="D10" s="37">
        <f>IF( ISERROR(IND_voed_gas_kWh/1000),0,IND_voed_gas_kWh/1000)*0.902</f>
        <v>265.12809186600003</v>
      </c>
      <c r="E10" s="33">
        <f>C32*'E Balans VL '!I20/100/3.6*1000000</f>
        <v>0.31833587198745444</v>
      </c>
      <c r="F10" s="33">
        <f>C32*'E Balans VL '!L20/100/3.6*1000000+C32*'E Balans VL '!N20/100/3.6*1000000</f>
        <v>9.7116773541384251</v>
      </c>
      <c r="G10" s="34"/>
      <c r="H10" s="33"/>
      <c r="I10" s="33"/>
      <c r="J10" s="40">
        <f>C32*'E Balans VL '!D20/100/3.6*1000000+C32*'E Balans VL '!E20/100/3.6*1000000</f>
        <v>0</v>
      </c>
      <c r="K10" s="33"/>
      <c r="L10" s="33"/>
      <c r="M10" s="33"/>
      <c r="N10" s="33">
        <f>C32*'E Balans VL '!Y20/100/3.6*1000000</f>
        <v>10.448704023084092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257.49352399999998</v>
      </c>
      <c r="C15" s="33"/>
      <c r="D15" s="37">
        <f>IF( ISERROR(IND_rest_gas_kWh/1000),0,IND_rest_gas_kWh/1000)*0.902</f>
        <v>819.18464423399996</v>
      </c>
      <c r="E15" s="33">
        <f>C37*'E Balans VL '!I15/100/3.6*1000000</f>
        <v>12.169293394652934</v>
      </c>
      <c r="F15" s="33">
        <f>C37*'E Balans VL '!L15/100/3.6*1000000+C37*'E Balans VL '!N15/100/3.6*1000000</f>
        <v>45.779646684421799</v>
      </c>
      <c r="G15" s="34"/>
      <c r="H15" s="33"/>
      <c r="I15" s="33"/>
      <c r="J15" s="40">
        <f>C37*'E Balans VL '!D15/100/3.6*1000000+C37*'E Balans VL '!E15/100/3.6*1000000</f>
        <v>2.1272089776654144</v>
      </c>
      <c r="K15" s="33"/>
      <c r="L15" s="33"/>
      <c r="M15" s="33"/>
      <c r="N15" s="33">
        <f>C37*'E Balans VL '!Y15/100/3.6*1000000</f>
        <v>10.118925002694574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2252.8359140000002</v>
      </c>
      <c r="C18" s="21">
        <f>C5+C16</f>
        <v>0</v>
      </c>
      <c r="D18" s="21">
        <f>MAX((D5+D16),0)</f>
        <v>2101.0493721580001</v>
      </c>
      <c r="E18" s="21">
        <f>MAX((E5+E16),0)</f>
        <v>300.36111781098418</v>
      </c>
      <c r="F18" s="21">
        <f>MAX((F5+F16),0)</f>
        <v>974.69346816640416</v>
      </c>
      <c r="G18" s="21"/>
      <c r="H18" s="21"/>
      <c r="I18" s="21"/>
      <c r="J18" s="21">
        <f>MAX((J5+J16),0)</f>
        <v>2.9292964005521402</v>
      </c>
      <c r="K18" s="21"/>
      <c r="L18" s="21">
        <f>MAX((L5+L16),0)</f>
        <v>0</v>
      </c>
      <c r="M18" s="21"/>
      <c r="N18" s="21">
        <f>MAX((N5+N16),0)</f>
        <v>104.54892225340478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0.18311312550240619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412.52382545660998</v>
      </c>
      <c r="C22" s="23">
        <f ca="1">C18*C20</f>
        <v>0</v>
      </c>
      <c r="D22" s="23">
        <f>D18*D20</f>
        <v>424.41197317591605</v>
      </c>
      <c r="E22" s="23">
        <f>E18*E20</f>
        <v>68.181973743093408</v>
      </c>
      <c r="F22" s="23">
        <f>F18*F20</f>
        <v>260.24315600042991</v>
      </c>
      <c r="G22" s="23"/>
      <c r="H22" s="23"/>
      <c r="I22" s="23"/>
      <c r="J22" s="23">
        <f>J18*J20</f>
        <v>1.0369709257954576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797.45753500000001</v>
      </c>
      <c r="C30" s="39">
        <f>IF(ISERROR(B30*3.6/1000000/'E Balans VL '!Z18*100),0,B30*3.6/1000000/'E Balans VL '!Z18*100)</f>
        <v>4.6035979184545092E-2</v>
      </c>
      <c r="D30" s="237" t="s">
        <v>708</v>
      </c>
    </row>
    <row r="31" spans="1:18">
      <c r="A31" s="6" t="s">
        <v>32</v>
      </c>
      <c r="B31" s="37">
        <f>IF( ISERROR(IND_ander_ele_kWh/1000),0,IND_ander_ele_kWh/1000)</f>
        <v>1018.068491</v>
      </c>
      <c r="C31" s="39">
        <f>IF(ISERROR(B31*3.6/1000000/'E Balans VL '!Z19*100),0,B31*3.6/1000000/'E Balans VL '!Z19*100)</f>
        <v>5.1205545156063369E-2</v>
      </c>
      <c r="D31" s="237" t="s">
        <v>708</v>
      </c>
    </row>
    <row r="32" spans="1:18">
      <c r="A32" s="171" t="s">
        <v>40</v>
      </c>
      <c r="B32" s="37">
        <f>IF( ISERROR(IND_voed_ele_kWh/1000),0,IND_voed_ele_kWh/1000)</f>
        <v>179.81636399999999</v>
      </c>
      <c r="C32" s="39">
        <f>IF(ISERROR(B32*3.6/1000000/'E Balans VL '!Z20*100),0,B32*3.6/1000000/'E Balans VL '!Z20*100)</f>
        <v>5.9889527153792416E-3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257.49352399999998</v>
      </c>
      <c r="C37" s="39">
        <f>IF(ISERROR(B37*3.6/1000000/'E Balans VL '!Z15*100),0,B37*3.6/1000000/'E Balans VL '!Z15*100)</f>
        <v>2.0091536370227541E-3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1911.6360870000001</v>
      </c>
      <c r="C5" s="17">
        <f>'Eigen informatie GS &amp; warmtenet'!B62</f>
        <v>0</v>
      </c>
      <c r="D5" s="30">
        <f>IF(ISERROR(SUM(LB_lb_gas_kWh,LB_rest_gas_kWh)/1000),0,SUM(LB_lb_gas_kWh,LB_rest_gas_kWh)/1000)*0.902</f>
        <v>11382.324750521999</v>
      </c>
      <c r="E5" s="17">
        <f>B17*'E Balans VL '!I25/3.6*1000000/100</f>
        <v>59.661531895457138</v>
      </c>
      <c r="F5" s="17">
        <f>B17*('E Balans VL '!L25/3.6*1000000+'E Balans VL '!N25/3.6*1000000)/100</f>
        <v>6755.9336967911377</v>
      </c>
      <c r="G5" s="18"/>
      <c r="H5" s="17"/>
      <c r="I5" s="17"/>
      <c r="J5" s="17">
        <f>('E Balans VL '!D25+'E Balans VL '!E25)/3.6*1000000*landbouw!B17/100</f>
        <v>526.66899904857917</v>
      </c>
      <c r="K5" s="17"/>
      <c r="L5" s="17">
        <f>L6*(-1)</f>
        <v>0</v>
      </c>
      <c r="M5" s="17"/>
      <c r="N5" s="17">
        <f>N6*(-1)</f>
        <v>0</v>
      </c>
      <c r="O5" s="17"/>
      <c r="P5" s="17"/>
      <c r="R5" s="32"/>
    </row>
    <row r="6" spans="1:18">
      <c r="A6" s="16" t="s">
        <v>478</v>
      </c>
      <c r="B6" s="17" t="s">
        <v>210</v>
      </c>
      <c r="C6" s="17">
        <f>'lokale energieproductie'!O39+'lokale energieproductie'!O32</f>
        <v>5637.8571428571431</v>
      </c>
      <c r="D6" s="308">
        <f>('lokale energieproductie'!P32+'lokale energieproductie'!P39)*(-1)</f>
        <v>-11275.714285714286</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1911.6360870000001</v>
      </c>
      <c r="C8" s="21">
        <f>C5+C6</f>
        <v>5637.8571428571431</v>
      </c>
      <c r="D8" s="21">
        <f>MAX((D5+D6),0)</f>
        <v>106.61046480771256</v>
      </c>
      <c r="E8" s="21">
        <f>MAX((E5+E6),0)</f>
        <v>59.661531895457138</v>
      </c>
      <c r="F8" s="21">
        <f>MAX((F5+F6),0)</f>
        <v>6755.9336967911377</v>
      </c>
      <c r="G8" s="21"/>
      <c r="H8" s="21"/>
      <c r="I8" s="21"/>
      <c r="J8" s="21">
        <f>MAX((J5+J6),0)</f>
        <v>526.66899904857917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0.18311312550240619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350.04565871375968</v>
      </c>
      <c r="C12" s="23">
        <f ca="1">C8*C10</f>
        <v>1339.8201680672271</v>
      </c>
      <c r="D12" s="23">
        <f>D8*D10</f>
        <v>21.535313891157937</v>
      </c>
      <c r="E12" s="23">
        <f>E8*E10</f>
        <v>13.543167740268771</v>
      </c>
      <c r="F12" s="23">
        <f>F8*F10</f>
        <v>1803.8342970432338</v>
      </c>
      <c r="G12" s="23"/>
      <c r="H12" s="23"/>
      <c r="I12" s="23"/>
      <c r="J12" s="23">
        <f>J8*J10</f>
        <v>186.44082566319702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0.28417840823808538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149.57790207912058</v>
      </c>
      <c r="C26" s="247">
        <f>B26*'GWP N2O_CH4'!B5</f>
        <v>3141.1359436615321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28.872134594355256</v>
      </c>
      <c r="C27" s="247">
        <f>B27*'GWP N2O_CH4'!B5</f>
        <v>606.31482648146039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1.753353444232387</v>
      </c>
      <c r="C28" s="247">
        <f>B28*'GWP N2O_CH4'!B4</f>
        <v>543.53956771204003</v>
      </c>
      <c r="D28" s="50"/>
    </row>
    <row r="29" spans="1:4">
      <c r="A29" s="41" t="s">
        <v>276</v>
      </c>
      <c r="B29" s="247">
        <f>B34*'ha_N2O bodem landbouw'!B4</f>
        <v>12.733600265179399</v>
      </c>
      <c r="C29" s="247">
        <f>B29*'GWP N2O_CH4'!B4</f>
        <v>3947.4160822056137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2.7922492748360113E-3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2.4641902621540344E-4</v>
      </c>
      <c r="C5" s="437" t="s">
        <v>210</v>
      </c>
      <c r="D5" s="422">
        <f>SUM(D6:D11)</f>
        <v>9.0315927826256398E-4</v>
      </c>
      <c r="E5" s="422">
        <f>SUM(E6:E11)</f>
        <v>8.5444981454214941E-4</v>
      </c>
      <c r="F5" s="435" t="s">
        <v>210</v>
      </c>
      <c r="G5" s="422">
        <f>SUM(G6:G11)</f>
        <v>0.49682563016664083</v>
      </c>
      <c r="H5" s="422">
        <f>SUM(H6:H11)</f>
        <v>8.6001906650157348E-2</v>
      </c>
      <c r="I5" s="437" t="s">
        <v>210</v>
      </c>
      <c r="J5" s="437" t="s">
        <v>210</v>
      </c>
      <c r="K5" s="437" t="s">
        <v>210</v>
      </c>
      <c r="L5" s="437" t="s">
        <v>210</v>
      </c>
      <c r="M5" s="422">
        <f>SUM(M6:M11)</f>
        <v>3.4332091175118241E-2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6.0600031470772449E-5</v>
      </c>
      <c r="C6" s="423"/>
      <c r="D6" s="890">
        <f>vkm_GW_PW*SUMIFS(TableVerdeelsleutelVkm[CNG],TableVerdeelsleutelVkm[Voertuigtype],"Lichte voertuigen")*SUMIFS(TableECFTransport[EnergieConsumptieFactor (PJ per km)],TableECFTransport[Index],CONCATENATE($A6,"_CNG_CNG"))</f>
        <v>1.95217087094309E-4</v>
      </c>
      <c r="E6" s="890">
        <f>vkm_GW_PW*SUMIFS(TableVerdeelsleutelVkm[LPG],TableVerdeelsleutelVkm[Voertuigtype],"Lichte voertuigen")*SUMIFS(TableECFTransport[EnergieConsumptieFactor (PJ per km)],TableECFTransport[Index],CONCATENATE($A6,"_LPG_LPG"))</f>
        <v>1.6694508624619887E-4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5.3931516513072021E-2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1.8287846486939648E-2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4.3195616405948337E-3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4.2470405417910938E-2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6.072886638498551E-7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2.4480963654103364E-3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4.8421849632901004E-5</v>
      </c>
      <c r="C8" s="423"/>
      <c r="D8" s="425">
        <f>vkm_NGW_PW*SUMIFS(TableVerdeelsleutelVkm[CNG],TableVerdeelsleutelVkm[Voertuigtype],"Lichte voertuigen")*SUMIFS(TableECFTransport[EnergieConsumptieFactor (PJ per km)],TableECFTransport[Index],CONCATENATE($A8,"_CNG_CNG"))</f>
        <v>2.642848018852856E-4</v>
      </c>
      <c r="E8" s="425">
        <f>vkm_NGW_PW*SUMIFS(TableVerdeelsleutelVkm[LPG],TableVerdeelsleutelVkm[Voertuigtype],"Lichte voertuigen")*SUMIFS(TableECFTransport[EnergieConsumptieFactor (PJ per km)],TableECFTransport[Index],CONCATENATE($A8,"_LPG_LPG"))</f>
        <v>2.1474696128334902E-4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6.4825689254643507E-2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2.4344288537096869E-2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5.3485252827725283E-3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2.5591789982661328E-2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4.6397549200487098E-7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1.4751788476043122E-3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1.3739714511172996E-4</v>
      </c>
      <c r="C10" s="423"/>
      <c r="D10" s="425">
        <f>vkm_SW_PW*SUMIFS(TableVerdeelsleutelVkm[CNG],TableVerdeelsleutelVkm[Voertuigtype],"Lichte voertuigen")*SUMIFS(TableECFTransport[EnergieConsumptieFactor (PJ per km)],TableECFTransport[Index],CONCATENATE($A10,"_CNG_CNG"))</f>
        <v>4.4365738928296938E-4</v>
      </c>
      <c r="E10" s="425">
        <f>vkm_SW_PW*SUMIFS(TableVerdeelsleutelVkm[LPG],TableVerdeelsleutelVkm[Voertuigtype],"Lichte voertuigen")*SUMIFS(TableECFTransport[EnergieConsumptieFactor (PJ per km)],TableECFTransport[Index],CONCATENATE($A10,"_LPG_LPG"))</f>
        <v>4.7275776701260152E-4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0.13607621481696253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4.3366042950913383E-2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1.0714973210765808E-2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0.17393001418139051</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2.6574110515789946E-6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1.0025755827970422E-2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68.449729504278736</v>
      </c>
      <c r="C14" s="21"/>
      <c r="D14" s="21">
        <f t="shared" ref="D14:M14" si="0">((D5)*10^9/3600)+D12</f>
        <v>250.87757729515667</v>
      </c>
      <c r="E14" s="21">
        <f t="shared" si="0"/>
        <v>237.34717070615261</v>
      </c>
      <c r="F14" s="21"/>
      <c r="G14" s="21">
        <f t="shared" si="0"/>
        <v>138007.11949073357</v>
      </c>
      <c r="H14" s="21">
        <f t="shared" si="0"/>
        <v>23889.418513932596</v>
      </c>
      <c r="I14" s="21"/>
      <c r="J14" s="21"/>
      <c r="K14" s="21"/>
      <c r="L14" s="21"/>
      <c r="M14" s="21">
        <f t="shared" si="0"/>
        <v>9536.6919930883996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0.18311312550240619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12.534043909322747</v>
      </c>
      <c r="C18" s="23"/>
      <c r="D18" s="23">
        <f t="shared" ref="D18:M18" si="1">D14*D16</f>
        <v>50.677270613621651</v>
      </c>
      <c r="E18" s="23">
        <f t="shared" si="1"/>
        <v>53.877807750296647</v>
      </c>
      <c r="F18" s="23"/>
      <c r="G18" s="23">
        <f t="shared" si="1"/>
        <v>36847.900904025868</v>
      </c>
      <c r="H18" s="23">
        <f t="shared" si="1"/>
        <v>5948.4652099692166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2.0959709203468803E-3</v>
      </c>
      <c r="H50" s="319">
        <f t="shared" si="2"/>
        <v>0</v>
      </c>
      <c r="I50" s="319">
        <f t="shared" si="2"/>
        <v>0</v>
      </c>
      <c r="J50" s="319">
        <f t="shared" si="2"/>
        <v>0</v>
      </c>
      <c r="K50" s="319">
        <f t="shared" si="2"/>
        <v>0</v>
      </c>
      <c r="L50" s="319">
        <f t="shared" si="2"/>
        <v>0</v>
      </c>
      <c r="M50" s="319">
        <f t="shared" si="2"/>
        <v>1.1647596765419519E-4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2.0959709203468803E-3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1.1647596765419519E-4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582.21414454080013</v>
      </c>
      <c r="H54" s="21">
        <f t="shared" si="3"/>
        <v>0</v>
      </c>
      <c r="I54" s="21">
        <f t="shared" si="3"/>
        <v>0</v>
      </c>
      <c r="J54" s="21">
        <f t="shared" si="3"/>
        <v>0</v>
      </c>
      <c r="K54" s="21">
        <f t="shared" si="3"/>
        <v>0</v>
      </c>
      <c r="L54" s="21">
        <f t="shared" si="3"/>
        <v>0</v>
      </c>
      <c r="M54" s="21">
        <f t="shared" si="3"/>
        <v>32.354435459498667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0.18311312550240619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155.45117659239364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4156.8711036739996</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3264.1921443847978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3946.5</v>
      </c>
      <c r="C8" s="548">
        <f>B48</f>
        <v>4642.9411764705883</v>
      </c>
      <c r="D8" s="549"/>
      <c r="E8" s="549">
        <f>E48</f>
        <v>0</v>
      </c>
      <c r="F8" s="550"/>
      <c r="G8" s="551"/>
      <c r="H8" s="549">
        <f>I48</f>
        <v>0</v>
      </c>
      <c r="I8" s="549">
        <f>G48+F48</f>
        <v>0</v>
      </c>
      <c r="J8" s="549">
        <f>H48+D48+C48</f>
        <v>0</v>
      </c>
      <c r="K8" s="549"/>
      <c r="L8" s="549"/>
      <c r="M8" s="549"/>
      <c r="N8" s="552"/>
      <c r="O8" s="553">
        <f>C8*$C$12+D8*$D$12+E8*$E$12+F8*$F$12+G8*$G$12+H8*$H$12+I8*$I$12+J8*$J$12</f>
        <v>937.87411764705894</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11367.563248058797</v>
      </c>
      <c r="C10" s="563">
        <f t="shared" ref="C10:L10" si="0">SUM(C8:C9)</f>
        <v>4642.9411764705883</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937.87411764705894</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5637.8571428571431</v>
      </c>
      <c r="C17" s="579">
        <f>B49</f>
        <v>6632.7731092436979</v>
      </c>
      <c r="D17" s="580"/>
      <c r="E17" s="580">
        <f>E49</f>
        <v>0</v>
      </c>
      <c r="F17" s="581"/>
      <c r="G17" s="582"/>
      <c r="H17" s="579">
        <f>I49</f>
        <v>0</v>
      </c>
      <c r="I17" s="580">
        <f>G49+F49</f>
        <v>0</v>
      </c>
      <c r="J17" s="580">
        <f>H49+D49+C49</f>
        <v>0</v>
      </c>
      <c r="K17" s="580"/>
      <c r="L17" s="580"/>
      <c r="M17" s="580"/>
      <c r="N17" s="972"/>
      <c r="O17" s="583">
        <f>C17*$C$22+E17*$E$22+H17*$H$22+I17*$I$22+J17*$J$22+D17*$D$22+F17*$F$22+G17*$G$22+K17*$K$22+L17*$L$22</f>
        <v>1339.8201680672271</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5637.8571428571431</v>
      </c>
      <c r="C20" s="562">
        <f>SUM(C17:C19)</f>
        <v>6632.7731092436979</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1339.8201680672271</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42010</v>
      </c>
      <c r="C28" s="791">
        <v>9270</v>
      </c>
      <c r="D28" s="640" t="s">
        <v>888</v>
      </c>
      <c r="E28" s="639" t="s">
        <v>889</v>
      </c>
      <c r="F28" s="639" t="s">
        <v>890</v>
      </c>
      <c r="G28" s="639" t="s">
        <v>891</v>
      </c>
      <c r="H28" s="639" t="s">
        <v>892</v>
      </c>
      <c r="I28" s="639" t="s">
        <v>889</v>
      </c>
      <c r="J28" s="790">
        <v>40081</v>
      </c>
      <c r="K28" s="790">
        <v>40084</v>
      </c>
      <c r="L28" s="639" t="s">
        <v>893</v>
      </c>
      <c r="M28" s="639">
        <v>877</v>
      </c>
      <c r="N28" s="639">
        <v>3946.5</v>
      </c>
      <c r="O28" s="639">
        <v>5637.8571428571431</v>
      </c>
      <c r="P28" s="639">
        <v>11275.714285714286</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877</v>
      </c>
      <c r="N29" s="597">
        <f>SUM(N28:N28)</f>
        <v>3946.5</v>
      </c>
      <c r="O29" s="597">
        <f>SUM(O28:O28)</f>
        <v>5637.8571428571431</v>
      </c>
      <c r="P29" s="597">
        <f>SUM(P28:P28)</f>
        <v>11275.714285714286</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877</v>
      </c>
      <c r="N32" s="602">
        <f>SUMIF($Z$28:$Z$28,"landbouw",N28:N28)</f>
        <v>3946.5</v>
      </c>
      <c r="O32" s="602">
        <f>SUMIF($Z$28:$Z$28,"landbouw",O28:O28)</f>
        <v>5637.8571428571431</v>
      </c>
      <c r="P32" s="602">
        <f>SUMIF($Z$28:$Z$28,"landbouw",P28:P28)</f>
        <v>11275.714285714286</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4642.9411764705883</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6632.7731092436979</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2020-06-20T15:35:09Z</dcterms:modified>
</cp:coreProperties>
</file>