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<sst xmlns="http://schemas.openxmlformats.org/spreadsheetml/2006/main" count="2402" uniqueCount="888">
  <si>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</si>
  <si>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</si>
  <si>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</si>
  <si>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</si>
  <si>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</si>
  <si>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</si>
  <si>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</si>
  <si>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</si>
  <si>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</si>
  <si>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</si>
  <si>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</si>
  <si>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</si>
  <si>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</si>
  <si>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</si>
  <si>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</si>
  <si>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</si>
  <si>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</si>
  <si>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</si>
  <si>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</si>
  <si>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</si>
  <si>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</si>
  <si>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</si>
  <si>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</si>
  <si>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</si>
  <si>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</si>
  <si>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</si>
  <si>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</si>
  <si>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</si>
  <si>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</si>
  <si>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</si>
  <si>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</si>
  <si>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</si>
  <si>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</si>
  <si>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</si>
  <si>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</si>
  <si>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</si>
  <si>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</si>
  <si>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</si>
  <si>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</si>
  <si>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</si>
  <si>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</si>
  <si>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</si>
  <si>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</si>
  <si>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</si>
  <si>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</si>
  <si>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</si>
  <si>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</si>
  <si>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</si>
  <si>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</si>
  <si>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</si>
  <si>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</si>
  <si>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</si>
  <si>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</si>
  <si>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</si>
  <si>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</si>
  <si>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</si>
  <si>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</si>
  <si>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</si>
  <si>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</si>
  <si>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</si>
  <si>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</si>
  <si>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</si>
  <si>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</si>
  <si>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</si>
  <si>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</si>
  <si>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</si>
  <si>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</si>
  <si>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</si>
  <si>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</si>
  <si>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</si>
  <si>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</si>
  <si>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</si>
  <si>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</si>
  <si>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</si>
  <si>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</si>
  <si>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</si>
  <si>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</si>
  <si>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</si>
  <si>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</si>
  <si>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</si>
  <si>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</si>
  <si>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</si>
  <si>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</si>
  <si>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</si>
  <si>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</si>
  <si>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</si>
  <si>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</si>
  <si>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</si>
  <si>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</si>
  <si>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</si>
  <si>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</si>
  <si>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</si>
  <si>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</si>
  <si>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</si>
  <si>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</si>
  <si>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</si>
  <si>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</si>
  <si>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</si>
  <si>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</si>
  <si>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</si>
  <si>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</si>
  <si>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</si>
  <si>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</si>
  <si>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</si>
  <si>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</si>
  <si>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</si>
  <si>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</si>
  <si>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</si>
  <si>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</si>
  <si>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</si>
  <si>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</si>
  <si>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</si>
  <si>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</si>
  <si>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</si>
  <si>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</si>
  <si>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</si>
  <si>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</si>
  <si>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</si>
  <si>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</si>
  <si>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</si>
  <si>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</si>
  <si>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</si>
  <si>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</si>
  <si>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</si>
  <si>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</si>
  <si>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</si>
  <si>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</si>
  <si>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</si>
  <si>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</si>
  <si>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</si>
  <si>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</si>
  <si>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</si>
  <si>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</si>
  <si>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</si>
  <si>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</si>
  <si>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</si>
  <si>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</si>
  <si>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</si>
  <si>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</si>
  <si>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</si>
  <si>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</si>
  <si>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</si>
  <si>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</si>
  <si>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</si>
  <si>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</si>
  <si>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</si>
  <si>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</si>
  <si>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</si>
  <si>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</si>
  <si>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</si>
  <si>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</si>
  <si>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</si>
  <si>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</si>
  <si>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</si>
  <si>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</si>
  <si>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</si>
  <si>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</si>
  <si>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</si>
  <si>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</si>
  <si>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</si>
  <si>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</si>
  <si>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</si>
  <si>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</si>
  <si>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</si>
  <si>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</si>
  <si>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</si>
  <si>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</si>
  <si>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</si>
  <si>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</si>
  <si>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</si>
  <si>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</si>
  <si>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</si>
  <si>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</si>
  <si>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</si>
  <si>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</si>
  <si>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</si>
  <si>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</si>
  <si>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</si>
  <si>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</si>
  <si>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</si>
  <si>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</si>
  <si>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</si>
  <si>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</si>
  <si>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</si>
  <si>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</si>
  <si>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</si>
  <si>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</si>
  <si>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</si>
  <si>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</si>
  <si>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</si>
  <si>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</si>
  <si>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</si>
  <si>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</si>
  <si>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</si>
  <si>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</si>
  <si>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</si>
  <si>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</si>
  <si>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</si>
  <si>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</si>
  <si>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</si>
  <si>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</si>
  <si>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</si>
  <si>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</si>
  <si>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</si>
  <si>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</si>
  <si>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</si>
  <si>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</si>
  <si>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</si>
  <si>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</si>
  <si>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</si>
  <si>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</si>
  <si>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</si>
  <si>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</si>
  <si>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</si>
  <si>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</si>
  <si>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</si>
  <si>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</si>
  <si>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</si>
  <si>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</si>
  <si>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</si>
  <si>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</si>
  <si>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</si>
  <si>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</si>
  <si>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</si>
  <si>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</si>
  <si>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</si>
  <si>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</si>
  <si>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</si>
  <si>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</si>
  <si>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</si>
  <si>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</si>
  <si>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</si>
  <si>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</si>
  <si>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</si>
  <si>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</si>
  <si>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</si>
  <si>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</si>
  <si>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</si>
  <si>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</si>
  <si>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</si>
  <si>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</si>
  <si>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</si>
  <si>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</si>
  <si>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</si>
  <si>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</si>
  <si>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</si>
  <si>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</si>
  <si>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</si>
  <si>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</si>
  <si>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</si>
  <si>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</si>
  <si>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</si>
  <si>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</si>
  <si>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</si>
  <si>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</si>
  <si>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</si>
  <si>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</si>
  <si>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</si>
  <si>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</si>
  <si>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</si>
  <si>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</si>
  <si>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</si>
  <si>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</si>
  <si>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</si>
  <si>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</si>
  <si>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</si>
  <si>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</si>
  <si>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</si>
  <si>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</si>
  <si>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</si>
  <si>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</si>
  <si>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</si>
  <si>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</si>
  <si>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</si>
  <si>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</si>
  <si>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</si>
  <si>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</si>
  <si>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</si>
  <si>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</si>
  <si>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</si>
  <si>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</si>
  <si>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</si>
  <si>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</si>
  <si>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</si>
  <si>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</si>
  <si>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</si>
  <si>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</si>
  <si>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</si>
  <si>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</si>
  <si>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</si>
  <si>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</si>
  <si>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</si>
  <si>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</si>
  <si>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</si>
  <si>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</si>
  <si>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</si>
  <si>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</si>
  <si>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</si>
  <si>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</si>
  <si>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</si>
  <si>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</si>
  <si>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</si>
  <si>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</si>
  <si>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</si>
  <si>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</si>
  <si>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</si>
  <si>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</si>
  <si>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</si>
  <si>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</si>
  <si>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</si>
  <si>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</si>
  <si>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</si>
  <si>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</si>
  <si>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</si>
  <si>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</si>
  <si>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</si>
  <si>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</si>
  <si>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</si>
  <si>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</si>
  <si>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</si>
  <si>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</si>
  <si>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</si>
  <si>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</si>
  <si>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</si>
  <si>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</si>
  <si>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</si>
  <si>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</si>
  <si>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</si>
  <si>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</si>
  <si>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</si>
  <si>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</si>
  <si>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</si>
  <si>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</si>
  <si>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</si>
  <si>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</si>
  <si>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</si>
  <si>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</si>
  <si>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</si>
  <si>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</si>
  <si>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</si>
  <si>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</si>
  <si>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</si>
  <si>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</si>
  <si>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</si>
  <si>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</si>
  <si>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</si>
  <si>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</si>
  <si>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</si>
  <si>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</si>
  <si>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</si>
  <si>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</si>
  <si>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</si>
  <si>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</si>
  <si>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</si>
  <si>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</si>
  <si>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</si>
  <si>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</si>
  <si>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</si>
  <si>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</si>
  <si>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</si>
  <si>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</si>
  <si>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</si>
  <si>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</si>
  <si>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</si>
  <si>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</si>
  <si>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</si>
  <si>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</si>
  <si>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</si>
  <si>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</si>
  <si>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</si>
  <si>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</si>
  <si>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</si>
  <si>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</si>
  <si>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</si>
  <si>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</si>
  <si>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</si>
  <si>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</si>
  <si>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</si>
  <si>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</si>
  <si>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</si>
  <si>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</si>
  <si>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</si>
  <si>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</si>
  <si>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</si>
  <si>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</si>
  <si>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</si>
  <si>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</si>
  <si>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</si>
  <si>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</si>
  <si>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</si>
  <si>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</si>
  <si>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</si>
  <si>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</si>
  <si>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</si>
  <si>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</si>
  <si>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</si>
  <si>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</si>
  <si>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</si>
  <si>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</si>
  <si>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</si>
  <si>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</si>
  <si>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</si>
  <si>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</si>
  <si>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</si>
  <si>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</si>
  <si>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</si>
  <si>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</si>
  <si>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</si>
  <si>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</si>
  <si>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</si>
  <si>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</si>
  <si>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</si>
  <si>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</si>
  <si>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</si>
  <si>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</si>
  <si>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</si>
  <si>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</si>
  <si>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</si>
  <si>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</si>
  <si>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</si>
  <si>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</si>
  <si>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</si>
  <si>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</si>
  <si>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</si>
  <si>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</si>
  <si>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</si>
  <si>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</si>
  <si>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</si>
  <si>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</si>
  <si>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</si>
  <si>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</si>
  <si>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</si>
  <si>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</si>
  <si>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</si>
  <si>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</si>
  <si>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</si>
  <si>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</si>
  <si>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</si>
  <si>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</si>
  <si>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</si>
  <si>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</si>
  <si>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</si>
  <si>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</si>
  <si>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</si>
  <si>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</si>
  <si>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</si>
  <si>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</si>
  <si>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</si>
  <si>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</si>
  <si>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</si>
  <si>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</si>
  <si>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</si>
  <si>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</si>
  <si>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</si>
  <si>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</si>
  <si>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</si>
  <si>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</si>
  <si>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</si>
  <si>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</si>
  <si>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</si>
  <si>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</si>
  <si>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</si>
  <si>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</si>
  <si>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</si>
  <si>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</si>
  <si>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</si>
  <si>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</si>
  <si>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</si>
  <si>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</si>
  <si>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</si>
  <si>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</si>
  <si>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</si>
  <si>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</si>
  <si>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</si>
  <si>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</si>
  <si>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</si>
  <si>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</si>
  <si>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</si>
  <si>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</si>
  <si>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</si>
  <si>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</si>
  <si>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</si>
  <si>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</si>
  <si>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</si>
  <si>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</si>
  <si>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</si>
  <si>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</si>
  <si>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</si>
  <si>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</si>
  <si>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</si>
  <si>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</si>
  <si>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</si>
  <si>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</si>
  <si>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</si>
  <si>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</si>
  <si>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</si>
  <si>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</si>
  <si>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</si>
  <si>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</si>
  <si>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</si>
  <si>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</si>
  <si>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</si>
  <si>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</si>
  <si>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</si>
  <si>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</si>
  <si>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</si>
  <si>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</si>
  <si>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</si>
  <si>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</si>
  <si>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</si>
  <si>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</si>
  <si>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</si>
  <si>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</si>
  <si>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</si>
  <si>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</si>
  <si>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</si>
  <si>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</si>
  <si>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</si>
  <si>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</si>
  <si>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</si>
  <si>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</si>
  <si>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</si>
  <si>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</si>
  <si>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</si>
  <si>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</si>
  <si>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</si>
  <si>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</si>
  <si>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</si>
  <si>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</si>
  <si>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</si>
  <si>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</si>
  <si>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</si>
  <si>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</si>
  <si>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</si>
  <si>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</si>
  <si>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</si>
  <si>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</si>
  <si>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</si>
  <si>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</si>
  <si>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</si>
  <si>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</si>
  <si>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</si>
  <si>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</si>
  <si>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</si>
  <si>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</si>
  <si>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</si>
  <si>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</si>
  <si>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</si>
  <si>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</si>
  <si>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</si>
  <si>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</si>
  <si>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</si>
  <si>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</si>
  <si>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</si>
  <si>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</si>
  <si>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</si>
  <si>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</si>
  <si>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</si>
  <si>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</si>
  <si>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</si>
  <si>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</si>
  <si>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</si>
  <si>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</si>
  <si>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</si>
  <si>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</si>
  <si>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</si>
  <si>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</si>
  <si>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</si>
  <si>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</si>
  <si>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</si>
  <si>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</si>
  <si>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</si>
  <si>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</si>
  <si>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</si>
  <si>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</si>
  <si>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</si>
  <si>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</si>
  <si>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</si>
  <si>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</si>
  <si>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</si>
  <si>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</si>
  <si>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</si>
  <si>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</si>
  <si>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</si>
  <si>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</si>
  <si>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</si>
  <si>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</si>
  <si>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</si>
  <si>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</si>
  <si>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</si>
  <si>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</si>
  <si>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</si>
  <si>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</si>
  <si>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</si>
  <si>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</si>
  <si>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</si>
  <si>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</si>
  <si>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</si>
  <si>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</si>
  <si>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</si>
  <si>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</si>
  <si>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</si>
  <si>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</si>
  <si>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</si>
  <si>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</si>
  <si>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</si>
  <si>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</si>
  <si>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</si>
  <si>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</si>
  <si>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</si>
  <si>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</si>
  <si>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</si>
  <si>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</si>
  <si>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</si>
  <si>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</si>
  <si>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</si>
  <si>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</si>
  <si>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</si>
  <si>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</si>
  <si>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</si>
  <si>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</si>
  <si>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</si>
  <si>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</si>
  <si>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</si>
  <si>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</si>
  <si>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</si>
  <si>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</si>
  <si>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</si>
  <si>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</si>
  <si>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</si>
  <si>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</si>
  <si>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</si>
  <si>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</si>
  <si>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</si>
  <si>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</si>
  <si>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</si>
  <si>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</si>
  <si>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</si>
  <si>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</si>
  <si>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</si>
  <si>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</si>
  <si>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</si>
  <si>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</si>
  <si>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</si>
  <si>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</si>
  <si>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</si>
  <si>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</si>
  <si>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</si>
  <si>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</si>
  <si>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</si>
  <si>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</si>
  <si>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</si>
  <si>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</si>
  <si>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</si>
  <si>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</si>
  <si>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</si>
  <si>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</si>
  <si>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</si>
  <si>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</si>
  <si>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</si>
  <si>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</si>
  <si>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</si>
  <si>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</si>
  <si>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</si>
  <si>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</si>
  <si>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</si>
  <si>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</si>
  <si>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</si>
  <si>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</si>
  <si>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</si>
  <si>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</si>
  <si>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</si>
  <si>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</si>
  <si>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</si>
  <si>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</si>
  <si>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</si>
  <si>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</si>
  <si>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</si>
  <si>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</si>
  <si>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</si>
  <si>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</si>
  <si>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</si>
  <si>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</si>
  <si>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</si>
  <si>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</si>
  <si>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</si>
  <si>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</si>
  <si>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</si>
  <si>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</si>
  <si>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</si>
  <si>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</si>
  <si>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</si>
  <si>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</si>
  <si>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</si>
  <si>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</si>
  <si>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</si>
  <si>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</si>
  <si>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</si>
  <si>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</si>
  <si>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</si>
  <si>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</si>
  <si>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</si>
  <si>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</si>
  <si>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</si>
  <si>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</si>
  <si>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</si>
  <si>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</si>
  <si>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</si>
  <si>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</si>
  <si>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</si>
  <si>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</si>
  <si>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</si>
  <si>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</si>
  <si>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</si>
  <si>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</si>
  <si>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</si>
  <si>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</si>
  <si>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</si>
  <si>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</si>
  <si>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</si>
  <si>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</si>
  <si>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</si>
  <si>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</si>
  <si>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</si>
  <si>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</si>
  <si>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</si>
  <si>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</si>
  <si>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</si>
  <si>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</si>
  <si>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</si>
  <si>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</si>
  <si>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</si>
  <si>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</si>
  <si>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</si>
  <si>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</si>
  <si>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</si>
  <si>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</si>
  <si>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</si>
  <si>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</si>
  <si>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</si>
  <si>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</si>
  <si>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</si>
  <si>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</si>
  <si>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</si>
  <si>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</si>
  <si>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</si>
  <si>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</si>
  <si>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</si>
  <si>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</si>
  <si>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</si>
  <si>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</si>
  <si>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</si>
  <si>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</si>
  <si>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</si>
  <si>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</si>
  <si>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</si>
  <si>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</si>
  <si>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</si>
  <si>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</si>
  <si>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</si>
  <si>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</si>
  <si>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</si>
  <si>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</si>
  <si>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</si>
  <si>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</si>
  <si>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</si>
  <si>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</si>
  <si>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</si>
  <si>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</si>
  <si>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</si>
  <si>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</si>
  <si>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</si>
  <si>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</si>
  <si>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</si>
  <si>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</si>
  <si>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</si>
  <si>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</si>
  <si>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</si>
  <si>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</si>
  <si>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</si>
  <si>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</si>
  <si>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</si>
  <si>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</si>
  <si>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</si>
  <si>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</si>
  <si>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</si>
  <si>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</si>
  <si>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</si>
  <si>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</si>
  <si>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</si>
  <si>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</si>
  <si>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</si>
  <si>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</si>
  <si>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</si>
  <si>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</si>
  <si>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</si>
  <si>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</si>
  <si>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</si>
  <si>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</si>
  <si>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</si>
  <si>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</si>
  <si>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</si>
  <si>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</si>
  <si>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</si>
  <si>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</si>
  <si>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</si>
  <si>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</si>
  <si>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</si>
  <si>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</si>
  <si>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</si>
  <si>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</si>
  <si>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</si>
  <si>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</si>
  <si>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</si>
  <si>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</si>
  <si>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</si>
  <si>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</si>
  <si>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</si>
  <si>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</si>
  <si>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</si>
  <si>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</si>
  <si>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</si>
  <si>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</si>
  <si>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</si>
  <si>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</si>
  <si>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</si>
  <si>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</si>
  <si>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</si>
  <si>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</si>
  <si>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</si>
  <si>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</si>
  <si>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</si>
  <si>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</si>
  <si>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</si>
  <si>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</si>
  <si>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</si>
  <si>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</si>
  <si>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</si>
  <si>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</si>
  <si>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</si>
  <si>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</si>
  <si>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</si>
  <si>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</si>
  <si>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</si>
  <si>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</si>
  <si>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</si>
  <si>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</si>
  <si>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</si>
  <si>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</si>
  <si>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</si>
  <si>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</si>
  <si>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</si>
  <si>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</si>
  <si>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</si>
  <si>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</si>
  <si>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</si>
  <si>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</si>
  <si>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</si>
  <si>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</si>
  <si>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</si>
  <si>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</si>
  <si>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</si>
  <si>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</si>
  <si>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</si>
  <si>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</si>
  <si>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</si>
  <si>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</si>
  <si>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</si>
  <si>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</si>
  <si>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</si>
  <si>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</si>
  <si>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</si>
  <si>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</si>
  <si>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</si>
  <si>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</si>
  <si>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</si>
  <si>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</si>
  <si>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</si>
  <si>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</si>
  <si>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</si>
  <si>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</si>
  <si>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</si>
  <si>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</si>
  <si>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</si>
  <si>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</si>
  <si>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41082</t>
  </si>
  <si>
    <t>ERPE-MERE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</si>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</sst>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169881.63079747092</c:v>
                </c:pt>
                <c:pt idx="1">
                  <c:v>40867.146483575678</c:v>
                </c:pt>
                <c:pt idx="2">
                  <c:v>1350.9949999999999</c:v>
                </c:pt>
                <c:pt idx="3">
                  <c:v>7160.1099143199954</c:v>
                </c:pt>
                <c:pt idx="4">
                  <c:v>68971.3905994097</c:v>
                </c:pt>
                <c:pt idx="5">
                  <c:v>288409.34582220833</c:v>
                </c:pt>
                <c:pt idx="6">
                  <c:v>1115.1587022814601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169881.63079747092</c:v>
                </c:pt>
                <c:pt idx="1">
                  <c:v>40867.146483575678</c:v>
                </c:pt>
                <c:pt idx="2">
                  <c:v>1350.9949999999999</c:v>
                </c:pt>
                <c:pt idx="3">
                  <c:v>7160.1099143199954</c:v>
                </c:pt>
                <c:pt idx="4">
                  <c:v>68971.3905994097</c:v>
                </c:pt>
                <c:pt idx="5">
                  <c:v>288409.34582220833</c:v>
                </c:pt>
                <c:pt idx="6">
                  <c:v>1115.1587022814601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34257.117025947329</c:v>
                </c:pt>
                <c:pt idx="1">
                  <c:v>8122.9418094861439</c:v>
                </c:pt>
                <c:pt idx="2">
                  <c:v>272.712784107353</c:v>
                </c:pt>
                <c:pt idx="3">
                  <c:v>1726.3856673782541</c:v>
                </c:pt>
                <c:pt idx="4">
                  <c:v>14137.281812751646</c:v>
                </c:pt>
                <c:pt idx="5">
                  <c:v>71821.266041929921</c:v>
                </c:pt>
                <c:pt idx="6">
                  <c:v>282.07223408137054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34257.117025947329</c:v>
                </c:pt>
                <c:pt idx="1">
                  <c:v>8122.9418094861439</c:v>
                </c:pt>
                <c:pt idx="2">
                  <c:v>272.712784107353</c:v>
                </c:pt>
                <c:pt idx="3">
                  <c:v>1726.3856673782541</c:v>
                </c:pt>
                <c:pt idx="4">
                  <c:v>14137.281812751646</c:v>
                </c:pt>
                <c:pt idx="5">
                  <c:v>71821.266041929921</c:v>
                </c:pt>
                <c:pt idx="6">
                  <c:v>282.07223408137054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41082</v>
      </c>
      <c r="B6" s="390"/>
      <c r="C6" s="391"/>
    </row>
    <row r="7" spans="1:7" s="388" customFormat="1" ht="15.75" customHeight="1">
      <c r="A7" s="392" t="str">
        <f>txtMunicipality</f>
        <v>ERPE-MERE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0.20186069090363254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0.20186069090363254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8440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1511.12</v>
      </c>
      <c r="C14" s="330"/>
      <c r="D14" s="330"/>
      <c r="E14" s="330"/>
      <c r="F14" s="330"/>
    </row>
    <row r="15" spans="1:6">
      <c r="A15" s="1298" t="s">
        <v>183</v>
      </c>
      <c r="B15" s="1299">
        <v>14</v>
      </c>
      <c r="C15" s="330"/>
      <c r="D15" s="330"/>
      <c r="E15" s="330"/>
      <c r="F15" s="330"/>
    </row>
    <row r="16" spans="1:6">
      <c r="A16" s="1298" t="s">
        <v>6</v>
      </c>
      <c r="B16" s="1299">
        <v>528</v>
      </c>
      <c r="C16" s="330"/>
      <c r="D16" s="330"/>
      <c r="E16" s="330"/>
      <c r="F16" s="330"/>
    </row>
    <row r="17" spans="1:6">
      <c r="A17" s="1298" t="s">
        <v>7</v>
      </c>
      <c r="B17" s="1299">
        <v>533</v>
      </c>
      <c r="C17" s="330"/>
      <c r="D17" s="330"/>
      <c r="E17" s="330"/>
      <c r="F17" s="330"/>
    </row>
    <row r="18" spans="1:6">
      <c r="A18" s="1298" t="s">
        <v>8</v>
      </c>
      <c r="B18" s="1299">
        <v>766</v>
      </c>
      <c r="C18" s="330"/>
      <c r="D18" s="330"/>
      <c r="E18" s="330"/>
      <c r="F18" s="330"/>
    </row>
    <row r="19" spans="1:6">
      <c r="A19" s="1298" t="s">
        <v>9</v>
      </c>
      <c r="B19" s="1299">
        <v>697</v>
      </c>
      <c r="C19" s="330"/>
      <c r="D19" s="330"/>
      <c r="E19" s="330"/>
      <c r="F19" s="330"/>
    </row>
    <row r="20" spans="1:6">
      <c r="A20" s="1298" t="s">
        <v>10</v>
      </c>
      <c r="B20" s="1299">
        <v>512</v>
      </c>
      <c r="C20" s="330"/>
      <c r="D20" s="330"/>
      <c r="E20" s="330"/>
      <c r="F20" s="330"/>
    </row>
    <row r="21" spans="1:6">
      <c r="A21" s="1298" t="s">
        <v>11</v>
      </c>
      <c r="B21" s="1299">
        <v>616</v>
      </c>
      <c r="C21" s="330"/>
      <c r="D21" s="330"/>
      <c r="E21" s="330"/>
      <c r="F21" s="330"/>
    </row>
    <row r="22" spans="1:6">
      <c r="A22" s="1298" t="s">
        <v>12</v>
      </c>
      <c r="B22" s="1299">
        <v>3312</v>
      </c>
      <c r="C22" s="330"/>
      <c r="D22" s="330"/>
      <c r="E22" s="330"/>
      <c r="F22" s="330"/>
    </row>
    <row r="23" spans="1:6">
      <c r="A23" s="1298" t="s">
        <v>13</v>
      </c>
      <c r="B23" s="1299">
        <v>23</v>
      </c>
      <c r="C23" s="330"/>
      <c r="D23" s="330"/>
      <c r="E23" s="330"/>
      <c r="F23" s="330"/>
    </row>
    <row r="24" spans="1:6">
      <c r="A24" s="1298" t="s">
        <v>14</v>
      </c>
      <c r="B24" s="1299">
        <v>2</v>
      </c>
      <c r="C24" s="330"/>
      <c r="D24" s="330"/>
      <c r="E24" s="330"/>
      <c r="F24" s="330"/>
    </row>
    <row r="25" spans="1:6">
      <c r="A25" s="1298" t="s">
        <v>15</v>
      </c>
      <c r="B25" s="1299">
        <v>224</v>
      </c>
      <c r="C25" s="330"/>
      <c r="D25" s="330"/>
      <c r="E25" s="330"/>
      <c r="F25" s="330"/>
    </row>
    <row r="26" spans="1:6">
      <c r="A26" s="1298" t="s">
        <v>16</v>
      </c>
      <c r="B26" s="1299">
        <v>149</v>
      </c>
      <c r="C26" s="330"/>
      <c r="D26" s="330"/>
      <c r="E26" s="330"/>
      <c r="F26" s="330"/>
    </row>
    <row r="27" spans="1:6">
      <c r="A27" s="1298" t="s">
        <v>17</v>
      </c>
      <c r="B27" s="1299">
        <v>0</v>
      </c>
      <c r="C27" s="330"/>
      <c r="D27" s="330"/>
      <c r="E27" s="330"/>
      <c r="F27" s="330"/>
    </row>
    <row r="28" spans="1:6" s="43" customFormat="1">
      <c r="A28" s="1300" t="s">
        <v>18</v>
      </c>
      <c r="B28" s="1301">
        <v>24528</v>
      </c>
      <c r="C28" s="336"/>
      <c r="D28" s="336"/>
      <c r="E28" s="336"/>
      <c r="F28" s="336"/>
    </row>
    <row r="29" spans="1:6">
      <c r="A29" s="1300" t="s">
        <v>705</v>
      </c>
      <c r="B29" s="1301">
        <v>125</v>
      </c>
      <c r="C29" s="336"/>
      <c r="D29" s="336"/>
      <c r="E29" s="336"/>
      <c r="F29" s="336"/>
    </row>
    <row r="30" spans="1:6">
      <c r="A30" s="1293" t="s">
        <v>706</v>
      </c>
      <c r="B30" s="1302">
        <v>16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6</v>
      </c>
      <c r="D36" s="1299">
        <v>448618.22100000002</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3837</v>
      </c>
      <c r="D39" s="1299">
        <v>57835580.609999999</v>
      </c>
      <c r="E39" s="1299">
        <v>8124</v>
      </c>
      <c r="F39" s="1299">
        <v>33935674.780000001</v>
      </c>
    </row>
    <row r="40" spans="1:6">
      <c r="A40" s="1298" t="s">
        <v>29</v>
      </c>
      <c r="B40" s="1298" t="s">
        <v>28</v>
      </c>
      <c r="C40" s="1299">
        <v>0</v>
      </c>
      <c r="D40" s="1299">
        <v>0</v>
      </c>
      <c r="E40" s="1299">
        <v>0</v>
      </c>
      <c r="F40" s="1299">
        <v>0</v>
      </c>
    </row>
    <row r="41" spans="1:6">
      <c r="A41" s="1298" t="s">
        <v>31</v>
      </c>
      <c r="B41" s="1298" t="s">
        <v>32</v>
      </c>
      <c r="C41" s="1299">
        <v>44</v>
      </c>
      <c r="D41" s="1299">
        <v>976485.66599999997</v>
      </c>
      <c r="E41" s="1299">
        <v>184</v>
      </c>
      <c r="F41" s="1299">
        <v>2855961.2940000002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398001.47499999998</v>
      </c>
      <c r="E44" s="1299">
        <v>26</v>
      </c>
      <c r="F44" s="1299">
        <v>562474.946</v>
      </c>
    </row>
    <row r="45" spans="1:6">
      <c r="A45" s="1298" t="s">
        <v>31</v>
      </c>
      <c r="B45" s="1298" t="s">
        <v>36</v>
      </c>
      <c r="C45" s="1299">
        <v>0</v>
      </c>
      <c r="D45" s="1299">
        <v>0</v>
      </c>
      <c r="E45" s="1299">
        <v>3</v>
      </c>
      <c r="F45" s="1299">
        <v>83881.994000000006</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11465271.84</v>
      </c>
    </row>
    <row r="48" spans="1:6">
      <c r="A48" s="1298" t="s">
        <v>31</v>
      </c>
      <c r="B48" s="1298" t="s">
        <v>28</v>
      </c>
      <c r="C48" s="1299">
        <v>31</v>
      </c>
      <c r="D48" s="1299">
        <v>10596586.33</v>
      </c>
      <c r="E48" s="1299">
        <v>37</v>
      </c>
      <c r="F48" s="1299">
        <v>4543364.1579999998</v>
      </c>
    </row>
    <row r="49" spans="1:6">
      <c r="A49" s="1298" t="s">
        <v>31</v>
      </c>
      <c r="B49" s="1298" t="s">
        <v>39</v>
      </c>
      <c r="C49" s="1299">
        <v>0</v>
      </c>
      <c r="D49" s="1299">
        <v>0</v>
      </c>
      <c r="E49" s="1299">
        <v>0</v>
      </c>
      <c r="F49" s="1299">
        <v>0</v>
      </c>
    </row>
    <row r="50" spans="1:6">
      <c r="A50" s="1298" t="s">
        <v>31</v>
      </c>
      <c r="B50" s="1298" t="s">
        <v>40</v>
      </c>
      <c r="C50" s="1299">
        <v>9</v>
      </c>
      <c r="D50" s="1299">
        <v>13699446.060000001</v>
      </c>
      <c r="E50" s="1299">
        <v>17</v>
      </c>
      <c r="F50" s="1299">
        <v>18121323.77</v>
      </c>
    </row>
    <row r="51" spans="1:6">
      <c r="A51" s="1298" t="s">
        <v>41</v>
      </c>
      <c r="B51" s="1298" t="s">
        <v>42</v>
      </c>
      <c r="C51" s="1299">
        <v>3</v>
      </c>
      <c r="D51" s="1299">
        <v>92837.116999999998</v>
      </c>
      <c r="E51" s="1299">
        <v>50</v>
      </c>
      <c r="F51" s="1299">
        <v>941864.15899999999</v>
      </c>
    </row>
    <row r="52" spans="1:6">
      <c r="A52" s="1298" t="s">
        <v>41</v>
      </c>
      <c r="B52" s="1298" t="s">
        <v>28</v>
      </c>
      <c r="C52" s="1299">
        <v>1</v>
      </c>
      <c r="D52" s="1299">
        <v>2324499.2769999998</v>
      </c>
      <c r="E52" s="1299">
        <v>8</v>
      </c>
      <c r="F52" s="1299">
        <v>86817.942999999999</v>
      </c>
    </row>
    <row r="53" spans="1:6">
      <c r="A53" s="1298" t="s">
        <v>43</v>
      </c>
      <c r="B53" s="1298" t="s">
        <v>44</v>
      </c>
      <c r="C53" s="1299">
        <v>91</v>
      </c>
      <c r="D53" s="1299">
        <v>1672640.7420000001</v>
      </c>
      <c r="E53" s="1299">
        <v>269</v>
      </c>
      <c r="F53" s="1299">
        <v>943855.46100000001</v>
      </c>
    </row>
    <row r="54" spans="1:6">
      <c r="A54" s="1298" t="s">
        <v>45</v>
      </c>
      <c r="B54" s="1298" t="s">
        <v>46</v>
      </c>
      <c r="C54" s="1299">
        <v>0</v>
      </c>
      <c r="D54" s="1299">
        <v>0</v>
      </c>
      <c r="E54" s="1299">
        <v>1</v>
      </c>
      <c r="F54" s="1299">
        <v>1350995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30</v>
      </c>
      <c r="D57" s="1299">
        <v>747660.37100000004</v>
      </c>
      <c r="E57" s="1299">
        <v>110</v>
      </c>
      <c r="F57" s="1299">
        <v>1490267.7290000001</v>
      </c>
    </row>
    <row r="58" spans="1:6">
      <c r="A58" s="1298" t="s">
        <v>48</v>
      </c>
      <c r="B58" s="1298" t="s">
        <v>50</v>
      </c>
      <c r="C58" s="1299">
        <v>47</v>
      </c>
      <c r="D58" s="1299">
        <v>6507898.9800000004</v>
      </c>
      <c r="E58" s="1299">
        <v>112</v>
      </c>
      <c r="F58" s="1299">
        <v>2165914.0249999999</v>
      </c>
    </row>
    <row r="59" spans="1:6">
      <c r="A59" s="1298" t="s">
        <v>48</v>
      </c>
      <c r="B59" s="1298" t="s">
        <v>51</v>
      </c>
      <c r="C59" s="1299">
        <v>95</v>
      </c>
      <c r="D59" s="1299">
        <v>7123135.034</v>
      </c>
      <c r="E59" s="1299">
        <v>250</v>
      </c>
      <c r="F59" s="1299">
        <v>6013262.727</v>
      </c>
    </row>
    <row r="60" spans="1:6">
      <c r="A60" s="1298" t="s">
        <v>48</v>
      </c>
      <c r="B60" s="1298" t="s">
        <v>52</v>
      </c>
      <c r="C60" s="1299">
        <v>34</v>
      </c>
      <c r="D60" s="1299">
        <v>1131108.973</v>
      </c>
      <c r="E60" s="1299">
        <v>79</v>
      </c>
      <c r="F60" s="1299">
        <v>1501092.56</v>
      </c>
    </row>
    <row r="61" spans="1:6">
      <c r="A61" s="1298" t="s">
        <v>48</v>
      </c>
      <c r="B61" s="1298" t="s">
        <v>53</v>
      </c>
      <c r="C61" s="1299">
        <v>93</v>
      </c>
      <c r="D61" s="1299">
        <v>3539437.611</v>
      </c>
      <c r="E61" s="1299">
        <v>288</v>
      </c>
      <c r="F61" s="1299">
        <v>3979193.236</v>
      </c>
    </row>
    <row r="62" spans="1:6">
      <c r="A62" s="1298" t="s">
        <v>48</v>
      </c>
      <c r="B62" s="1298" t="s">
        <v>54</v>
      </c>
      <c r="C62" s="1299">
        <v>5</v>
      </c>
      <c r="D62" s="1299">
        <v>583929.22900000005</v>
      </c>
      <c r="E62" s="1299">
        <v>14</v>
      </c>
      <c r="F62" s="1299">
        <v>265532.38</v>
      </c>
    </row>
    <row r="63" spans="1:6">
      <c r="A63" s="1298" t="s">
        <v>48</v>
      </c>
      <c r="B63" s="1298" t="s">
        <v>28</v>
      </c>
      <c r="C63" s="1299">
        <v>69</v>
      </c>
      <c r="D63" s="1299">
        <v>2393464.202</v>
      </c>
      <c r="E63" s="1299">
        <v>85</v>
      </c>
      <c r="F63" s="1299">
        <v>2115613.7459999998</v>
      </c>
    </row>
    <row r="64" spans="1:6">
      <c r="A64" s="1298" t="s">
        <v>55</v>
      </c>
      <c r="B64" s="1298" t="s">
        <v>56</v>
      </c>
      <c r="C64" s="1299">
        <v>0</v>
      </c>
      <c r="D64" s="1299">
        <v>0</v>
      </c>
      <c r="E64" s="1299">
        <v>0</v>
      </c>
      <c r="F64" s="1299">
        <v>0</v>
      </c>
    </row>
    <row r="65" spans="1:6">
      <c r="A65" s="1298" t="s">
        <v>55</v>
      </c>
      <c r="B65" s="1298" t="s">
        <v>28</v>
      </c>
      <c r="C65" s="1299">
        <v>1</v>
      </c>
      <c r="D65" s="1299">
        <v>17500.186000000002</v>
      </c>
      <c r="E65" s="1299">
        <v>0</v>
      </c>
      <c r="F65" s="1299">
        <v>0</v>
      </c>
    </row>
    <row r="66" spans="1:6">
      <c r="A66" s="1298" t="s">
        <v>55</v>
      </c>
      <c r="B66" s="1298" t="s">
        <v>57</v>
      </c>
      <c r="C66" s="1299">
        <v>0</v>
      </c>
      <c r="D66" s="1299">
        <v>0</v>
      </c>
      <c r="E66" s="1299">
        <v>14</v>
      </c>
      <c r="F66" s="1299">
        <v>274846.20799999998</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13798.041999999999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60264688</v>
      </c>
      <c r="E73" s="450"/>
      <c r="F73" s="330"/>
    </row>
    <row r="74" spans="1:6">
      <c r="A74" s="1298" t="s">
        <v>63</v>
      </c>
      <c r="B74" s="1298" t="s">
        <v>647</v>
      </c>
      <c r="C74" s="1312" t="s">
        <v>649</v>
      </c>
      <c r="D74" s="1313">
        <v>6379018</v>
      </c>
      <c r="E74" s="450"/>
      <c r="F74" s="330"/>
    </row>
    <row r="75" spans="1:6">
      <c r="A75" s="1298" t="s">
        <v>64</v>
      </c>
      <c r="B75" s="1298" t="s">
        <v>646</v>
      </c>
      <c r="C75" s="1312" t="s">
        <v>650</v>
      </c>
      <c r="D75" s="1313">
        <v>41935134</v>
      </c>
      <c r="E75" s="450"/>
      <c r="F75" s="330"/>
    </row>
    <row r="76" spans="1:6">
      <c r="A76" s="1298" t="s">
        <v>64</v>
      </c>
      <c r="B76" s="1298" t="s">
        <v>647</v>
      </c>
      <c r="C76" s="1312" t="s">
        <v>651</v>
      </c>
      <c r="D76" s="1313">
        <v>2577340</v>
      </c>
      <c r="E76" s="450"/>
      <c r="F76" s="330"/>
    </row>
    <row r="77" spans="1:6">
      <c r="A77" s="1298" t="s">
        <v>65</v>
      </c>
      <c r="B77" s="1298" t="s">
        <v>646</v>
      </c>
      <c r="C77" s="1312" t="s">
        <v>652</v>
      </c>
      <c r="D77" s="1313">
        <v>185574627</v>
      </c>
      <c r="E77" s="450"/>
      <c r="F77" s="330"/>
    </row>
    <row r="78" spans="1:6">
      <c r="A78" s="1293" t="s">
        <v>65</v>
      </c>
      <c r="B78" s="1293" t="s">
        <v>647</v>
      </c>
      <c r="C78" s="1293" t="s">
        <v>653</v>
      </c>
      <c r="D78" s="1314">
        <v>23397750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306120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5311.2813795343609</v>
      </c>
      <c r="C91" s="330"/>
      <c r="D91" s="330"/>
      <c r="E91" s="330"/>
      <c r="F91" s="330"/>
    </row>
    <row r="92" spans="1:6">
      <c r="A92" s="1293" t="s">
        <v>68</v>
      </c>
      <c r="B92" s="1294">
        <v>3164.6850193034511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829</v>
      </c>
      <c r="C97" s="330"/>
      <c r="D97" s="330"/>
      <c r="E97" s="330"/>
      <c r="F97" s="330"/>
    </row>
    <row r="98" spans="1:6">
      <c r="A98" s="1298" t="s">
        <v>71</v>
      </c>
      <c r="B98" s="1299">
        <v>1</v>
      </c>
      <c r="C98" s="330"/>
      <c r="D98" s="330"/>
      <c r="E98" s="330"/>
      <c r="F98" s="330"/>
    </row>
    <row r="99" spans="1:6">
      <c r="A99" s="1298" t="s">
        <v>72</v>
      </c>
      <c r="B99" s="1299">
        <v>208</v>
      </c>
      <c r="C99" s="330"/>
      <c r="D99" s="330"/>
      <c r="E99" s="330"/>
      <c r="F99" s="330"/>
    </row>
    <row r="100" spans="1:6">
      <c r="A100" s="1298" t="s">
        <v>73</v>
      </c>
      <c r="B100" s="1299">
        <v>1005</v>
      </c>
      <c r="C100" s="330"/>
      <c r="D100" s="330"/>
      <c r="E100" s="330"/>
      <c r="F100" s="330"/>
    </row>
    <row r="101" spans="1:6">
      <c r="A101" s="1298" t="s">
        <v>74</v>
      </c>
      <c r="B101" s="1299">
        <v>123</v>
      </c>
      <c r="C101" s="330"/>
      <c r="D101" s="330"/>
      <c r="E101" s="330"/>
      <c r="F101" s="330"/>
    </row>
    <row r="102" spans="1:6">
      <c r="A102" s="1298" t="s">
        <v>75</v>
      </c>
      <c r="B102" s="1299">
        <v>133</v>
      </c>
      <c r="C102" s="330"/>
      <c r="D102" s="330"/>
      <c r="E102" s="330"/>
      <c r="F102" s="330"/>
    </row>
    <row r="103" spans="1:6">
      <c r="A103" s="1298" t="s">
        <v>76</v>
      </c>
      <c r="B103" s="1299">
        <v>495</v>
      </c>
      <c r="C103" s="330"/>
      <c r="D103" s="330"/>
      <c r="E103" s="330"/>
      <c r="F103" s="330"/>
    </row>
    <row r="104" spans="1:6">
      <c r="A104" s="1298" t="s">
        <v>77</v>
      </c>
      <c r="B104" s="1299">
        <v>4513</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27</v>
      </c>
      <c r="C123" s="1299">
        <v>34</v>
      </c>
      <c r="D123" s="330"/>
      <c r="E123" s="330"/>
      <c r="F123" s="330"/>
    </row>
    <row r="124" spans="1:6" s="43" customFormat="1">
      <c r="A124" s="1300" t="s">
        <v>88</v>
      </c>
      <c r="B124" s="1321">
        <v>3</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171</v>
      </c>
      <c r="C129" s="330"/>
      <c r="D129" s="330"/>
      <c r="E129" s="330"/>
      <c r="F129" s="330"/>
    </row>
    <row r="130" spans="1:6">
      <c r="A130" s="1298" t="s">
        <v>294</v>
      </c>
      <c r="B130" s="1299">
        <v>4</v>
      </c>
      <c r="C130" s="330"/>
      <c r="D130" s="330"/>
      <c r="E130" s="330"/>
      <c r="F130" s="330"/>
    </row>
    <row r="131" spans="1:6">
      <c r="A131" s="1298" t="s">
        <v>295</v>
      </c>
      <c r="B131" s="1299">
        <v>0</v>
      </c>
      <c r="C131" s="330"/>
      <c r="D131" s="330"/>
      <c r="E131" s="330"/>
      <c r="F131" s="330"/>
    </row>
    <row r="132" spans="1:6">
      <c r="A132" s="1293" t="s">
        <v>296</v>
      </c>
      <c r="B132" s="1294">
        <v>29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97871.274491234304</v>
      </c>
      <c r="C3" s="43" t="s">
        <v>169</v>
      </c>
      <c r="D3" s="43"/>
      <c r="E3" s="154"/>
      <c r="F3" s="43"/>
      <c r="G3" s="43"/>
      <c r="H3" s="43"/>
      <c r="I3" s="43"/>
      <c r="J3" s="43"/>
      <c r="K3" s="96"/>
    </row>
    <row r="4" spans="1:11">
      <c r="A4" s="358" t="s">
        <v>170</v>
      </c>
      <c r="B4" s="49">
        <f>IF(ISERROR('SEAP template'!B78+'SEAP template'!C78),0,'SEAP template'!B78+'SEAP template'!C78)</f>
        <v>8475.9663988378124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0.20186069090363254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1350.9949999999999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1350.9949999999999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0.20186069090363254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272.712784107353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33935.674780000001</v>
      </c>
      <c r="C5" s="17">
        <f>IF(ISERROR('Eigen informatie GS &amp; warmtenet'!B59),0,'Eigen informatie GS &amp; warmtenet'!B59)</f>
        <v>0</v>
      </c>
      <c r="D5" s="30">
        <f>(SUM(HH_hh_gas_kWh,HH_rest_gas_kWh)/1000)*0.902</f>
        <v>52167.693710219995</v>
      </c>
      <c r="E5" s="17">
        <f>B46*B57</f>
        <v>21519.992559040686</v>
      </c>
      <c r="F5" s="17">
        <f>B51*B62</f>
        <v>37477.352668832522</v>
      </c>
      <c r="G5" s="18"/>
      <c r="H5" s="17"/>
      <c r="I5" s="17"/>
      <c r="J5" s="17">
        <f>B50*B61+C50*C61</f>
        <v>2557.4399343903583</v>
      </c>
      <c r="K5" s="17"/>
      <c r="L5" s="17"/>
      <c r="M5" s="17"/>
      <c r="N5" s="17">
        <f>B48*B59+C48*C59</f>
        <v>15878.028856667042</v>
      </c>
      <c r="O5" s="17">
        <f>B69*B70*B71</f>
        <v>412.6633096325026</v>
      </c>
      <c r="P5" s="17">
        <f>B77*B78*B79/1000-B77*B78*B79/1000/B80</f>
        <v>621.50359915341642</v>
      </c>
    </row>
    <row r="6" spans="1:16">
      <c r="A6" s="16" t="s">
        <v>611</v>
      </c>
      <c r="B6" s="783">
        <f>kWh_PV_kleiner_dan_10kW</f>
        <v>5311.2813795343609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39246.956159534362</v>
      </c>
      <c r="C8" s="21">
        <f>C5</f>
        <v>0</v>
      </c>
      <c r="D8" s="21">
        <f>D5</f>
        <v>52167.693710219995</v>
      </c>
      <c r="E8" s="21">
        <f>E5</f>
        <v>21519.992559040686</v>
      </c>
      <c r="F8" s="21">
        <f>F5</f>
        <v>37477.352668832522</v>
      </c>
      <c r="G8" s="21"/>
      <c r="H8" s="21"/>
      <c r="I8" s="21"/>
      <c r="J8" s="21">
        <f>J5</f>
        <v>2557.4399343903583</v>
      </c>
      <c r="K8" s="21"/>
      <c r="L8" s="21">
        <f>L5</f>
        <v>0</v>
      </c>
      <c r="M8" s="21">
        <f>M5</f>
        <v>0</v>
      </c>
      <c r="N8" s="21">
        <f>N5</f>
        <v>15878.028856667042</v>
      </c>
      <c r="O8" s="21">
        <f>O5</f>
        <v>412.6633096325026</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0.20186069090363254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7922.4176862281829</v>
      </c>
      <c r="C12" s="23">
        <f ca="1">C10*C8</f>
        <v>0</v>
      </c>
      <c r="D12" s="23">
        <f>D8*D10</f>
        <v>10537.874129464441</v>
      </c>
      <c r="E12" s="23">
        <f>E10*E8</f>
        <v>4885.0383109022359</v>
      </c>
      <c r="F12" s="23">
        <f>F10*F8</f>
        <v>10006.453162578284</v>
      </c>
      <c r="G12" s="23"/>
      <c r="H12" s="23"/>
      <c r="I12" s="23"/>
      <c r="J12" s="23">
        <f>J10*J8</f>
        <v>905.33373677418683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829</v>
      </c>
      <c r="C18" s="166" t="s">
        <v>110</v>
      </c>
      <c r="D18" s="228"/>
      <c r="E18" s="15"/>
    </row>
    <row r="19" spans="1:7">
      <c r="A19" s="171" t="s">
        <v>71</v>
      </c>
      <c r="B19" s="37">
        <f>aantalw2001_ander</f>
        <v>1</v>
      </c>
      <c r="C19" s="166" t="s">
        <v>110</v>
      </c>
      <c r="D19" s="229"/>
      <c r="E19" s="15"/>
    </row>
    <row r="20" spans="1:7">
      <c r="A20" s="171" t="s">
        <v>72</v>
      </c>
      <c r="B20" s="37">
        <f>aantalw2001_propaan</f>
        <v>208</v>
      </c>
      <c r="C20" s="167">
        <f>IF(ISERROR(B20/SUM($B$20,$B$21,$B$22)*100),0,B20/SUM($B$20,$B$21,$B$22)*100)</f>
        <v>15.568862275449103</v>
      </c>
      <c r="D20" s="229"/>
      <c r="E20" s="15"/>
    </row>
    <row r="21" spans="1:7">
      <c r="A21" s="171" t="s">
        <v>73</v>
      </c>
      <c r="B21" s="37">
        <f>aantalw2001_elektriciteit</f>
        <v>1005</v>
      </c>
      <c r="C21" s="167">
        <f>IF(ISERROR(B21/SUM($B$20,$B$21,$B$22)*100),0,B21/SUM($B$20,$B$21,$B$22)*100)</f>
        <v>75.224550898203589</v>
      </c>
      <c r="D21" s="229"/>
      <c r="E21" s="15"/>
    </row>
    <row r="22" spans="1:7">
      <c r="A22" s="171" t="s">
        <v>74</v>
      </c>
      <c r="B22" s="37">
        <f>aantalw2001_hout</f>
        <v>123</v>
      </c>
      <c r="C22" s="167">
        <f>IF(ISERROR(B22/SUM($B$20,$B$21,$B$22)*100),0,B22/SUM($B$20,$B$21,$B$22)*100)</f>
        <v>9.206586826347305</v>
      </c>
      <c r="D22" s="229"/>
      <c r="E22" s="15"/>
    </row>
    <row r="23" spans="1:7">
      <c r="A23" s="171" t="s">
        <v>75</v>
      </c>
      <c r="B23" s="37">
        <f>aantalw2001_niet_gespec</f>
        <v>133</v>
      </c>
      <c r="C23" s="166" t="s">
        <v>110</v>
      </c>
      <c r="D23" s="228"/>
      <c r="E23" s="15"/>
    </row>
    <row r="24" spans="1:7">
      <c r="A24" s="171" t="s">
        <v>76</v>
      </c>
      <c r="B24" s="37">
        <f>aantalw2001_steenkool</f>
        <v>495</v>
      </c>
      <c r="C24" s="166" t="s">
        <v>110</v>
      </c>
      <c r="D24" s="229"/>
      <c r="E24" s="15"/>
    </row>
    <row r="25" spans="1:7">
      <c r="A25" s="171" t="s">
        <v>77</v>
      </c>
      <c r="B25" s="37">
        <f>aantalw2001_stookolie</f>
        <v>4513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8440</v>
      </c>
      <c r="C28" s="36"/>
      <c r="D28" s="228"/>
    </row>
    <row r="29" spans="1:7" s="15" customFormat="1">
      <c r="A29" s="230" t="s">
        <v>819</v>
      </c>
      <c r="B29" s="37">
        <f>SUM(HH_hh_gas_aantal,HH_rest_gas_aantal)</f>
        <v>3837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3837</v>
      </c>
      <c r="C32" s="167">
        <f>IF(ISERROR(B32/SUM($B$32,$B$34,$B$35,$B$36,$B$38,$B$39)*100),0,B32/SUM($B$32,$B$34,$B$35,$B$36,$B$38,$B$39)*100)</f>
        <v>45.782126237919101</v>
      </c>
      <c r="D32" s="233"/>
      <c r="G32" s="15"/>
    </row>
    <row r="33" spans="1:7">
      <c r="A33" s="171" t="s">
        <v>71</v>
      </c>
      <c r="B33" s="34" t="s">
        <v>110</v>
      </c>
      <c r="C33" s="167"/>
      <c r="D33" s="233"/>
      <c r="G33" s="15"/>
    </row>
    <row r="34" spans="1:7">
      <c r="A34" s="171" t="s">
        <v>72</v>
      </c>
      <c r="B34" s="33">
        <f>IF((($B$28-$B$32-$B$39-$B$77-$B$38)*C20/100)&lt;0,0,($B$28-$B$32-$B$39-$B$77-$B$38)*C20/100)</f>
        <v>396.07185628742525</v>
      </c>
      <c r="C34" s="167">
        <f>IF(ISERROR(B34/SUM($B$32,$B$34,$B$35,$B$36,$B$38,$B$39)*100),0,B34/SUM($B$32,$B$34,$B$35,$B$36,$B$38,$B$39)*100)</f>
        <v>4.7258305248469776</v>
      </c>
      <c r="D34" s="233"/>
      <c r="G34" s="15"/>
    </row>
    <row r="35" spans="1:7">
      <c r="A35" s="171" t="s">
        <v>73</v>
      </c>
      <c r="B35" s="33">
        <f>IF((($B$28-$B$32-$B$39-$B$77-$B$38)*C21/100)&lt;0,0,($B$28-$B$32-$B$39-$B$77-$B$38)*C21/100)</f>
        <v>1913.7125748502995</v>
      </c>
      <c r="C35" s="167">
        <f>IF(ISERROR(B35/SUM($B$32,$B$34,$B$35,$B$36,$B$38,$B$39)*100),0,B35/SUM($B$32,$B$34,$B$35,$B$36,$B$38,$B$39)*100)</f>
        <v>22.833940757073133</v>
      </c>
      <c r="D35" s="233"/>
      <c r="G35" s="15"/>
    </row>
    <row r="36" spans="1:7">
      <c r="A36" s="171" t="s">
        <v>74</v>
      </c>
      <c r="B36" s="33">
        <f>IF((($B$28-$B$32-$B$39-$B$77-$B$38)*C22/100)&lt;0,0,($B$28-$B$32-$B$39-$B$77-$B$38)*C22/100)</f>
        <v>234.21556886227546</v>
      </c>
      <c r="C36" s="167">
        <f>IF(ISERROR(B36/SUM($B$32,$B$34,$B$35,$B$36,$B$38,$B$39)*100),0,B36/SUM($B$32,$B$34,$B$35,$B$36,$B$38,$B$39)*100)</f>
        <v>2.7946017045970106</v>
      </c>
      <c r="D36" s="233"/>
      <c r="G36" s="15"/>
    </row>
    <row r="37" spans="1:7">
      <c r="A37" s="171" t="s">
        <v>75</v>
      </c>
      <c r="B37" s="34" t="s">
        <v>110</v>
      </c>
      <c r="C37" s="167"/>
      <c r="D37" s="173"/>
      <c r="G37" s="15"/>
    </row>
    <row r="38" spans="1:7">
      <c r="A38" s="171" t="s">
        <v>76</v>
      </c>
      <c r="B38" s="33">
        <f>IF((B24-(B29-B18)*0.1)&lt;0,0,B24-(B29-B18)*0.1)</f>
        <v>194.2</v>
      </c>
      <c r="C38" s="167">
        <f>IF(ISERROR(B38/SUM($B$32,$B$34,$B$35,$B$36,$B$38,$B$39)*100),0,B38/SUM($B$32,$B$34,$B$35,$B$36,$B$38,$B$39)*100)</f>
        <v>2.3171459253072424</v>
      </c>
      <c r="D38" s="234"/>
      <c r="G38" s="15"/>
    </row>
    <row r="39" spans="1:7">
      <c r="A39" s="171" t="s">
        <v>77</v>
      </c>
      <c r="B39" s="33">
        <f>IF((B25-(B29-B18))&lt;0,0,B25-(B29-B18)*0.9)</f>
        <v>1805.7999999999997</v>
      </c>
      <c r="C39" s="167">
        <f>IF(ISERROR(B39/SUM($B$32,$B$34,$B$35,$B$36,$B$38,$B$39)*100),0,B39/SUM($B$32,$B$34,$B$35,$B$36,$B$38,$B$39)*100)</f>
        <v>21.546354850256531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3837</v>
      </c>
      <c r="C44" s="34" t="s">
        <v>110</v>
      </c>
      <c r="D44" s="174"/>
    </row>
    <row r="45" spans="1:7">
      <c r="A45" s="171" t="s">
        <v>71</v>
      </c>
      <c r="B45" s="33" t="str">
        <f t="shared" si="0"/>
        <v>-</v>
      </c>
      <c r="C45" s="34" t="s">
        <v>110</v>
      </c>
      <c r="D45" s="174"/>
    </row>
    <row r="46" spans="1:7">
      <c r="A46" s="171" t="s">
        <v>72</v>
      </c>
      <c r="B46" s="33">
        <f t="shared" si="0"/>
        <v>396.07185628742525</v>
      </c>
      <c r="C46" s="34" t="s">
        <v>110</v>
      </c>
      <c r="D46" s="174"/>
    </row>
    <row r="47" spans="1:7">
      <c r="A47" s="171" t="s">
        <v>73</v>
      </c>
      <c r="B47" s="33">
        <f t="shared" si="0"/>
        <v>1913.7125748502995</v>
      </c>
      <c r="C47" s="34" t="s">
        <v>110</v>
      </c>
      <c r="D47" s="174"/>
    </row>
    <row r="48" spans="1:7">
      <c r="A48" s="171" t="s">
        <v>74</v>
      </c>
      <c r="B48" s="33">
        <f t="shared" si="0"/>
        <v>234.21556886227546</v>
      </c>
      <c r="C48" s="33">
        <f>B48*10</f>
        <v>2342.1556886227545</v>
      </c>
      <c r="D48" s="234"/>
    </row>
    <row r="49" spans="1:6">
      <c r="A49" s="171" t="s">
        <v>75</v>
      </c>
      <c r="B49" s="33" t="str">
        <f t="shared" si="0"/>
        <v>-</v>
      </c>
      <c r="C49" s="34" t="s">
        <v>110</v>
      </c>
      <c r="D49" s="234"/>
    </row>
    <row r="50" spans="1:6">
      <c r="A50" s="171" t="s">
        <v>76</v>
      </c>
      <c r="B50" s="33">
        <f t="shared" si="0"/>
        <v>194.2</v>
      </c>
      <c r="C50" s="33">
        <f>B50*2</f>
        <v>388.4</v>
      </c>
      <c r="D50" s="234"/>
    </row>
    <row r="51" spans="1:6">
      <c r="A51" s="171" t="s">
        <v>77</v>
      </c>
      <c r="B51" s="33">
        <f t="shared" si="0"/>
        <v>1805.7999999999997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17530.876403000002</v>
      </c>
      <c r="C5" s="17">
        <f>IF(ISERROR('Eigen informatie GS &amp; warmtenet'!B60),0,'Eigen informatie GS &amp; warmtenet'!B60)</f>
        <v>0</v>
      </c>
      <c r="D5" s="30">
        <f>SUM(D6:D12)</f>
        <v>19868.024228800001</v>
      </c>
      <c r="E5" s="17">
        <f>SUM(E6:E12)</f>
        <v>249.95384522222423</v>
      </c>
      <c r="F5" s="17">
        <f>SUM(F6:F12)</f>
        <v>1925.3040392103071</v>
      </c>
      <c r="G5" s="18"/>
      <c r="H5" s="17"/>
      <c r="I5" s="17"/>
      <c r="J5" s="17">
        <f>SUM(J6:J12)</f>
        <v>2.9353328183497739E-2</v>
      </c>
      <c r="K5" s="17"/>
      <c r="L5" s="17"/>
      <c r="M5" s="17"/>
      <c r="N5" s="17">
        <f>SUM(N6:N12)</f>
        <v>1168.2912943386002</v>
      </c>
      <c r="O5" s="17">
        <f>B38*B39*B40</f>
        <v>19.589043063364617</v>
      </c>
      <c r="P5" s="17">
        <f>B46*B47*B48/1000-B46*B47*B48/1000/B49</f>
        <v>105.07827661299004</v>
      </c>
      <c r="R5" s="32"/>
    </row>
    <row r="6" spans="1:18">
      <c r="A6" s="32" t="s">
        <v>53</v>
      </c>
      <c r="B6" s="37">
        <f>B26</f>
        <v>3979.1932360000001</v>
      </c>
      <c r="C6" s="33"/>
      <c r="D6" s="37">
        <f>IF(ISERROR(TER_kantoor_gas_kWh/1000),0,TER_kantoor_gas_kWh/1000)*0.902</f>
        <v>3192.5727251220001</v>
      </c>
      <c r="E6" s="33">
        <f>$C$26*'E Balans VL '!I12/100/3.6*1000000</f>
        <v>32.019292140227606</v>
      </c>
      <c r="F6" s="33">
        <f>$C$26*('E Balans VL '!L12+'E Balans VL '!N12)/100/3.6*1000000</f>
        <v>486.49823287367451</v>
      </c>
      <c r="G6" s="34"/>
      <c r="H6" s="33"/>
      <c r="I6" s="33"/>
      <c r="J6" s="33">
        <f>$C$26*('E Balans VL '!D12+'E Balans VL '!E12)/100/3.6*1000000</f>
        <v>0</v>
      </c>
      <c r="K6" s="33"/>
      <c r="L6" s="33"/>
      <c r="M6" s="33"/>
      <c r="N6" s="33">
        <f>$C$26*'E Balans VL '!Y12/100/3.6*1000000</f>
        <v>2.1386204102921162</v>
      </c>
      <c r="O6" s="33"/>
      <c r="P6" s="33"/>
      <c r="R6" s="32"/>
    </row>
    <row r="7" spans="1:18">
      <c r="A7" s="32" t="s">
        <v>52</v>
      </c>
      <c r="B7" s="37">
        <f t="shared" ref="B7:B12" si="0">B27</f>
        <v>1501.09256</v>
      </c>
      <c r="C7" s="33"/>
      <c r="D7" s="37">
        <f>IF(ISERROR(TER_horeca_gas_kWh/1000),0,TER_horeca_gas_kWh/1000)*0.902</f>
        <v>1020.2602936460002</v>
      </c>
      <c r="E7" s="33">
        <f>$C$27*'E Balans VL '!I9/100/3.6*1000000</f>
        <v>16.118048055496434</v>
      </c>
      <c r="F7" s="33">
        <f>$C$27*('E Balans VL '!L9+'E Balans VL '!N9)/100/3.6*1000000</f>
        <v>180.54503543579011</v>
      </c>
      <c r="G7" s="34"/>
      <c r="H7" s="33"/>
      <c r="I7" s="33"/>
      <c r="J7" s="33">
        <f>$C$27*('E Balans VL '!D9+'E Balans VL '!E9)/100/3.6*1000000</f>
        <v>0</v>
      </c>
      <c r="K7" s="33"/>
      <c r="L7" s="33"/>
      <c r="M7" s="33"/>
      <c r="N7" s="33">
        <f>$C$27*'E Balans VL '!Y9/100/3.6*1000000</f>
        <v>0.2250441983580542</v>
      </c>
      <c r="O7" s="33"/>
      <c r="P7" s="33"/>
      <c r="R7" s="32"/>
    </row>
    <row r="8" spans="1:18">
      <c r="A8" s="6" t="s">
        <v>51</v>
      </c>
      <c r="B8" s="37">
        <f t="shared" si="0"/>
        <v>6013.2627270000003</v>
      </c>
      <c r="C8" s="33"/>
      <c r="D8" s="37">
        <f>IF(ISERROR(TER_handel_gas_kWh/1000),0,TER_handel_gas_kWh/1000)*0.902</f>
        <v>6425.067800668</v>
      </c>
      <c r="E8" s="33">
        <f>$C$28*'E Balans VL '!I13/100/3.6*1000000</f>
        <v>161.3775621674273</v>
      </c>
      <c r="F8" s="33">
        <f>$C$28*('E Balans VL '!L13+'E Balans VL '!N13)/100/3.6*1000000</f>
        <v>573.85059769182567</v>
      </c>
      <c r="G8" s="34"/>
      <c r="H8" s="33"/>
      <c r="I8" s="33"/>
      <c r="J8" s="33">
        <f>$C$28*('E Balans VL '!D13+'E Balans VL '!E13)/100/3.6*1000000</f>
        <v>0</v>
      </c>
      <c r="K8" s="33"/>
      <c r="L8" s="33"/>
      <c r="M8" s="33"/>
      <c r="N8" s="33">
        <f>$C$28*'E Balans VL '!Y13/100/3.6*1000000</f>
        <v>2.3837257180980025</v>
      </c>
      <c r="O8" s="33"/>
      <c r="P8" s="33"/>
      <c r="R8" s="32"/>
    </row>
    <row r="9" spans="1:18">
      <c r="A9" s="32" t="s">
        <v>50</v>
      </c>
      <c r="B9" s="37">
        <f t="shared" si="0"/>
        <v>2165.914025</v>
      </c>
      <c r="C9" s="33"/>
      <c r="D9" s="37">
        <f>IF(ISERROR(TER_gezond_gas_kWh/1000),0,TER_gezond_gas_kWh/1000)*0.902</f>
        <v>5870.1248799600007</v>
      </c>
      <c r="E9" s="33">
        <f>$C$29*'E Balans VL '!I10/100/3.6*1000000</f>
        <v>4.0596281350812697</v>
      </c>
      <c r="F9" s="33">
        <f>$C$29*('E Balans VL '!L10+'E Balans VL '!N10)/100/3.6*1000000</f>
        <v>178.05789529771641</v>
      </c>
      <c r="G9" s="34"/>
      <c r="H9" s="33"/>
      <c r="I9" s="33"/>
      <c r="J9" s="33">
        <f>$C$29*('E Balans VL '!D10+'E Balans VL '!E10)/100/3.6*1000000</f>
        <v>0</v>
      </c>
      <c r="K9" s="33"/>
      <c r="L9" s="33"/>
      <c r="M9" s="33"/>
      <c r="N9" s="33">
        <f>$C$29*'E Balans VL '!Y10/100/3.6*1000000</f>
        <v>16.852427118561351</v>
      </c>
      <c r="O9" s="33"/>
      <c r="P9" s="33"/>
      <c r="R9" s="32"/>
    </row>
    <row r="10" spans="1:18">
      <c r="A10" s="32" t="s">
        <v>49</v>
      </c>
      <c r="B10" s="37">
        <f t="shared" si="0"/>
        <v>1490.2677290000001</v>
      </c>
      <c r="C10" s="33"/>
      <c r="D10" s="37">
        <f>IF(ISERROR(TER_ander_gas_kWh/1000),0,TER_ander_gas_kWh/1000)*0.902</f>
        <v>674.3896546420001</v>
      </c>
      <c r="E10" s="33">
        <f>$C$30*'E Balans VL '!I14/100/3.6*1000000</f>
        <v>2.2972628049030739</v>
      </c>
      <c r="F10" s="33">
        <f>$C$30*('E Balans VL '!L14+'E Balans VL '!N14)/100/3.6*1000000</f>
        <v>231.36447633827549</v>
      </c>
      <c r="G10" s="34"/>
      <c r="H10" s="33"/>
      <c r="I10" s="33"/>
      <c r="J10" s="33">
        <f>$C$30*('E Balans VL '!D14+'E Balans VL '!E14)/100/3.6*1000000</f>
        <v>2.52988663730804E-2</v>
      </c>
      <c r="K10" s="33"/>
      <c r="L10" s="33"/>
      <c r="M10" s="33"/>
      <c r="N10" s="33">
        <f>$C$30*'E Balans VL '!Y14/100/3.6*1000000</f>
        <v>985.91336678421055</v>
      </c>
      <c r="O10" s="33"/>
      <c r="P10" s="33"/>
      <c r="R10" s="32"/>
    </row>
    <row r="11" spans="1:18">
      <c r="A11" s="32" t="s">
        <v>54</v>
      </c>
      <c r="B11" s="37">
        <f t="shared" si="0"/>
        <v>265.53237999999999</v>
      </c>
      <c r="C11" s="33"/>
      <c r="D11" s="37">
        <f>IF(ISERROR(TER_onderwijs_gas_kWh/1000),0,TER_onderwijs_gas_kWh/1000)*0.902</f>
        <v>526.70416455800012</v>
      </c>
      <c r="E11" s="33">
        <f>$C$31*'E Balans VL '!I11/100/3.6*1000000</f>
        <v>6.7728892911402809</v>
      </c>
      <c r="F11" s="33">
        <f>$C$31*('E Balans VL '!L11+'E Balans VL '!N11)/100/3.6*1000000</f>
        <v>31.932767980936703</v>
      </c>
      <c r="G11" s="34"/>
      <c r="H11" s="33"/>
      <c r="I11" s="33"/>
      <c r="J11" s="33">
        <f>$C$31*('E Balans VL '!D11+'E Balans VL '!E11)/100/3.6*1000000</f>
        <v>0</v>
      </c>
      <c r="K11" s="33"/>
      <c r="L11" s="33"/>
      <c r="M11" s="33"/>
      <c r="N11" s="33">
        <f>$C$31*'E Balans VL '!Y11/100/3.6*1000000</f>
        <v>0.59053753407410015</v>
      </c>
      <c r="O11" s="33"/>
      <c r="P11" s="33"/>
      <c r="R11" s="32"/>
    </row>
    <row r="12" spans="1:18">
      <c r="A12" s="32" t="s">
        <v>259</v>
      </c>
      <c r="B12" s="37">
        <f t="shared" si="0"/>
        <v>2115.613746</v>
      </c>
      <c r="C12" s="33"/>
      <c r="D12" s="37">
        <f>IF(ISERROR(TER_rest_gas_kWh/1000),0,TER_rest_gas_kWh/1000)*0.902</f>
        <v>2158.9047102040004</v>
      </c>
      <c r="E12" s="33">
        <f>$C$32*'E Balans VL '!I8/100/3.6*1000000</f>
        <v>27.30916262794824</v>
      </c>
      <c r="F12" s="33">
        <f>$C$32*('E Balans VL '!L8+'E Balans VL '!N8)/100/3.6*1000000</f>
        <v>243.05503359208839</v>
      </c>
      <c r="G12" s="34"/>
      <c r="H12" s="33"/>
      <c r="I12" s="33"/>
      <c r="J12" s="33">
        <f>$C$32*('E Balans VL '!D8+'E Balans VL '!E8)/100/3.6*1000000</f>
        <v>4.0544618104173397E-3</v>
      </c>
      <c r="K12" s="33"/>
      <c r="L12" s="33"/>
      <c r="M12" s="33"/>
      <c r="N12" s="33">
        <f>$C$32*'E Balans VL '!Y8/100/3.6*1000000</f>
        <v>160.1875725750061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17530.876403000002</v>
      </c>
      <c r="C16" s="21">
        <f t="shared" ca="1" si="1"/>
        <v>0</v>
      </c>
      <c r="D16" s="21">
        <f t="shared" ca="1" si="1"/>
        <v>19868.024228800001</v>
      </c>
      <c r="E16" s="21">
        <f t="shared" si="1"/>
        <v>249.95384522222423</v>
      </c>
      <c r="F16" s="21">
        <f t="shared" ca="1" si="1"/>
        <v>1925.3040392103071</v>
      </c>
      <c r="G16" s="21">
        <f t="shared" si="1"/>
        <v>0</v>
      </c>
      <c r="H16" s="21">
        <f t="shared" si="1"/>
        <v>0</v>
      </c>
      <c r="I16" s="21">
        <f t="shared" si="1"/>
        <v>0</v>
      </c>
      <c r="J16" s="21">
        <f t="shared" si="1"/>
        <v>2.9353328183497739E-2</v>
      </c>
      <c r="K16" s="21">
        <f t="shared" si="1"/>
        <v>0</v>
      </c>
      <c r="L16" s="21">
        <f t="shared" ca="1" si="1"/>
        <v>0</v>
      </c>
      <c r="M16" s="21">
        <f t="shared" si="1"/>
        <v>0</v>
      </c>
      <c r="N16" s="21">
        <f t="shared" ca="1" si="1"/>
        <v>1168.2912943386002</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0.20186069090363254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3538.7948228557689</v>
      </c>
      <c r="C20" s="23">
        <f t="shared" ref="C20:P20" ca="1" si="2">C16*C18</f>
        <v>0</v>
      </c>
      <c r="D20" s="23">
        <f t="shared" ca="1" si="2"/>
        <v>4013.3408942176006</v>
      </c>
      <c r="E20" s="23">
        <f t="shared" si="2"/>
        <v>56.739522865444904</v>
      </c>
      <c r="F20" s="23">
        <f t="shared" ca="1" si="2"/>
        <v>514.05617846915197</v>
      </c>
      <c r="G20" s="23">
        <f t="shared" si="2"/>
        <v>0</v>
      </c>
      <c r="H20" s="23">
        <f t="shared" si="2"/>
        <v>0</v>
      </c>
      <c r="I20" s="23">
        <f t="shared" si="2"/>
        <v>0</v>
      </c>
      <c r="J20" s="23">
        <f t="shared" si="2"/>
        <v>1.03910781769582E-2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3979.1932360000001</v>
      </c>
      <c r="C26" s="39">
        <f>IF(ISERROR(B26*3.6/1000000/'E Balans VL '!Z12*100),0,B26*3.6/1000000/'E Balans VL '!Z12*100)</f>
        <v>8.4414943957986044E-2</v>
      </c>
      <c r="D26" s="237" t="s">
        <v>708</v>
      </c>
      <c r="F26" s="6"/>
    </row>
    <row r="27" spans="1:18">
      <c r="A27" s="231" t="s">
        <v>52</v>
      </c>
      <c r="B27" s="33">
        <f>IF(ISERROR(TER_horeca_ele_kWh/1000),0,TER_horeca_ele_kWh/1000)</f>
        <v>1501.09256</v>
      </c>
      <c r="C27" s="39">
        <f>IF(ISERROR(B27*3.6/1000000/'E Balans VL '!Z9*100),0,B27*3.6/1000000/'E Balans VL '!Z9*100)</f>
        <v>0.11304556720628631</v>
      </c>
      <c r="D27" s="237" t="s">
        <v>708</v>
      </c>
      <c r="F27" s="6"/>
    </row>
    <row r="28" spans="1:18">
      <c r="A28" s="171" t="s">
        <v>51</v>
      </c>
      <c r="B28" s="33">
        <f>IF(ISERROR(TER_handel_ele_kWh/1000),0,TER_handel_ele_kWh/1000)</f>
        <v>6013.2627270000003</v>
      </c>
      <c r="C28" s="39">
        <f>IF(ISERROR(B28*3.6/1000000/'E Balans VL '!Z13*100),0,B28*3.6/1000000/'E Balans VL '!Z13*100)</f>
        <v>0.17454371031258481</v>
      </c>
      <c r="D28" s="237" t="s">
        <v>708</v>
      </c>
      <c r="F28" s="6"/>
    </row>
    <row r="29" spans="1:18">
      <c r="A29" s="231" t="s">
        <v>50</v>
      </c>
      <c r="B29" s="33">
        <f>IF(ISERROR(TER_gezond_ele_kWh/1000),0,TER_gezond_ele_kWh/1000)</f>
        <v>2165.914025</v>
      </c>
      <c r="C29" s="39">
        <f>IF(ISERROR(B29*3.6/1000000/'E Balans VL '!Z10*100),0,B29*3.6/1000000/'E Balans VL '!Z10*100)</f>
        <v>0.21843501237892637</v>
      </c>
      <c r="D29" s="237" t="s">
        <v>708</v>
      </c>
      <c r="F29" s="6"/>
    </row>
    <row r="30" spans="1:18">
      <c r="A30" s="231" t="s">
        <v>49</v>
      </c>
      <c r="B30" s="33">
        <f>IF(ISERROR(TER_ander_ele_kWh/1000),0,TER_ander_ele_kWh/1000)</f>
        <v>1490.2677290000001</v>
      </c>
      <c r="C30" s="39">
        <f>IF(ISERROR(B30*3.6/1000000/'E Balans VL '!Z14*100),0,B30*3.6/1000000/'E Balans VL '!Z14*100)</f>
        <v>0.10813925471856205</v>
      </c>
      <c r="D30" s="237" t="s">
        <v>708</v>
      </c>
      <c r="F30" s="6"/>
    </row>
    <row r="31" spans="1:18">
      <c r="A31" s="231" t="s">
        <v>54</v>
      </c>
      <c r="B31" s="33">
        <f>IF(ISERROR(TER_onderwijs_ele_kWh/1000),0,TER_onderwijs_ele_kWh/1000)</f>
        <v>265.53237999999999</v>
      </c>
      <c r="C31" s="39">
        <f>IF(ISERROR(B31*3.6/1000000/'E Balans VL '!Z11*100),0,B31*3.6/1000000/'E Balans VL '!Z11*100)</f>
        <v>7.568754128200525E-2</v>
      </c>
      <c r="D31" s="237" t="s">
        <v>708</v>
      </c>
    </row>
    <row r="32" spans="1:18">
      <c r="A32" s="231" t="s">
        <v>259</v>
      </c>
      <c r="B32" s="33">
        <f>IF(ISERROR(TER_rest_ele_kWh/1000),0,TER_rest_ele_kWh/1000)</f>
        <v>2115.613746</v>
      </c>
      <c r="C32" s="39">
        <f>IF(ISERROR(B32*3.6/1000000/'E Balans VL '!Z8*100),0,B32*3.6/1000000/'E Balans VL '!Z8*100)</f>
        <v>1.7330676876887174E-2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37632.278001999992</v>
      </c>
      <c r="C5" s="17">
        <f>IF(ISERROR('Eigen informatie GS &amp; warmtenet'!B61),0,'Eigen informatie GS &amp; warmtenet'!B61)</f>
        <v>0</v>
      </c>
      <c r="D5" s="30">
        <f>SUM(D6:D15)</f>
        <v>23154.808616962</v>
      </c>
      <c r="E5" s="17">
        <f>SUM(E6:E15)</f>
        <v>1062.8490493925196</v>
      </c>
      <c r="F5" s="17">
        <f>SUM(F6:F15)</f>
        <v>4362.264643262276</v>
      </c>
      <c r="G5" s="18"/>
      <c r="H5" s="17"/>
      <c r="I5" s="17"/>
      <c r="J5" s="17">
        <f>SUM(J6:J15)</f>
        <v>1292.4899446353104</v>
      </c>
      <c r="K5" s="17"/>
      <c r="L5" s="17"/>
      <c r="M5" s="17"/>
      <c r="N5" s="17">
        <f>SUM(N6:N15)</f>
        <v>1466.7003431576004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562.47494600000005</v>
      </c>
      <c r="C8" s="33"/>
      <c r="D8" s="37">
        <f>IF( ISERROR(IND_metaal_Gas_kWH/1000),0,IND_metaal_Gas_kWH/1000)*0.902</f>
        <v>358.99733044999999</v>
      </c>
      <c r="E8" s="33">
        <f>C30*'E Balans VL '!I18/100/3.6*1000000</f>
        <v>4.0578619535767615</v>
      </c>
      <c r="F8" s="33">
        <f>C30*'E Balans VL '!L18/100/3.6*1000000+C30*'E Balans VL '!N18/100/3.6*1000000</f>
        <v>53.199758580108345</v>
      </c>
      <c r="G8" s="34"/>
      <c r="H8" s="33"/>
      <c r="I8" s="33"/>
      <c r="J8" s="40">
        <f>C30*'E Balans VL '!D18/100/3.6*1000000+C30*'E Balans VL '!E18/100/3.6*1000000</f>
        <v>0.56574056934014716</v>
      </c>
      <c r="K8" s="33"/>
      <c r="L8" s="33"/>
      <c r="M8" s="33"/>
      <c r="N8" s="33">
        <f>C30*'E Balans VL '!Y18/100/3.6*1000000</f>
        <v>7.1111714792261855</v>
      </c>
      <c r="O8" s="33"/>
      <c r="P8" s="33"/>
      <c r="R8" s="32"/>
    </row>
    <row r="9" spans="1:18">
      <c r="A9" s="6" t="s">
        <v>32</v>
      </c>
      <c r="B9" s="37">
        <f t="shared" si="0"/>
        <v>2855.9612940000002</v>
      </c>
      <c r="C9" s="33"/>
      <c r="D9" s="37">
        <f>IF( ISERROR(IND_andere_gas_kWh/1000),0,IND_andere_gas_kWh/1000)*0.902</f>
        <v>880.790070732</v>
      </c>
      <c r="E9" s="33">
        <f>C31*'E Balans VL '!I19/100/3.6*1000000</f>
        <v>791.42506355430226</v>
      </c>
      <c r="F9" s="33">
        <f>C31*'E Balans VL '!L19/100/3.6*1000000+C31*'E Balans VL '!N19/100/3.6*1000000</f>
        <v>2367.0268922471219</v>
      </c>
      <c r="G9" s="34"/>
      <c r="H9" s="33"/>
      <c r="I9" s="33"/>
      <c r="J9" s="40">
        <f>C31*'E Balans VL '!D19/100/3.6*1000000+C31*'E Balans VL '!E19/100/3.6*1000000</f>
        <v>0</v>
      </c>
      <c r="K9" s="33"/>
      <c r="L9" s="33"/>
      <c r="M9" s="33"/>
      <c r="N9" s="33">
        <f>C31*'E Balans VL '!Y19/100/3.6*1000000</f>
        <v>207.30785775607634</v>
      </c>
      <c r="O9" s="33"/>
      <c r="P9" s="33"/>
      <c r="R9" s="32"/>
    </row>
    <row r="10" spans="1:18">
      <c r="A10" s="6" t="s">
        <v>40</v>
      </c>
      <c r="B10" s="37">
        <f t="shared" si="0"/>
        <v>18121.323769999999</v>
      </c>
      <c r="C10" s="33"/>
      <c r="D10" s="37">
        <f>IF( ISERROR(IND_voed_gas_kWh/1000),0,IND_voed_gas_kWh/1000)*0.902</f>
        <v>12356.900346120001</v>
      </c>
      <c r="E10" s="33">
        <f>C32*'E Balans VL '!I20/100/3.6*1000000</f>
        <v>32.080881158791158</v>
      </c>
      <c r="F10" s="33">
        <f>C32*'E Balans VL '!L20/100/3.6*1000000+C32*'E Balans VL '!N20/100/3.6*1000000</f>
        <v>978.71209143189742</v>
      </c>
      <c r="G10" s="34"/>
      <c r="H10" s="33"/>
      <c r="I10" s="33"/>
      <c r="J10" s="40">
        <f>C32*'E Balans VL '!D20/100/3.6*1000000+C32*'E Balans VL '!E20/100/3.6*1000000</f>
        <v>0</v>
      </c>
      <c r="K10" s="33"/>
      <c r="L10" s="33"/>
      <c r="M10" s="33"/>
      <c r="N10" s="33">
        <f>C32*'E Balans VL '!Y20/100/3.6*1000000</f>
        <v>1052.9873053111471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83.881994000000006</v>
      </c>
      <c r="C12" s="33"/>
      <c r="D12" s="37">
        <f>IF( ISERROR(IND_min_gas_kWh/1000),0,IND_min_gas_kWh/1000)*0.902</f>
        <v>0</v>
      </c>
      <c r="E12" s="33">
        <f>C34*'E Balans VL '!I22/100/3.6*1000000</f>
        <v>3.6938638058366364</v>
      </c>
      <c r="F12" s="33">
        <f>C34*'E Balans VL '!L22/100/3.6*1000000+C34*'E Balans VL '!N22/100/3.6*1000000</f>
        <v>32.801247275266498</v>
      </c>
      <c r="G12" s="34"/>
      <c r="H12" s="33"/>
      <c r="I12" s="33"/>
      <c r="J12" s="40">
        <f>C34*'E Balans VL '!D22/100/3.6*1000000+C34*'E Balans VL '!E22/100/3.6*1000000</f>
        <v>2.5469554205665924E-2</v>
      </c>
      <c r="K12" s="33"/>
      <c r="L12" s="33"/>
      <c r="M12" s="33"/>
      <c r="N12" s="33">
        <f>C34*'E Balans VL '!Y22/100/3.6*1000000</f>
        <v>20.749863265061993</v>
      </c>
      <c r="O12" s="33"/>
      <c r="P12" s="33"/>
      <c r="R12" s="32"/>
    </row>
    <row r="13" spans="1:18">
      <c r="A13" s="6" t="s">
        <v>38</v>
      </c>
      <c r="B13" s="37">
        <f t="shared" si="0"/>
        <v>11465.271839999999</v>
      </c>
      <c r="C13" s="33"/>
      <c r="D13" s="37">
        <f>IF( ISERROR(IND_papier_gas_kWh/1000),0,IND_papier_gas_kWh/1000)*0.902</f>
        <v>0</v>
      </c>
      <c r="E13" s="33">
        <f>C35*'E Balans VL '!I23/100/3.6*1000000</f>
        <v>16.869351823703269</v>
      </c>
      <c r="F13" s="33">
        <f>C35*'E Balans VL '!L23/100/3.6*1000000+C35*'E Balans VL '!N23/100/3.6*1000000</f>
        <v>122.76218001259906</v>
      </c>
      <c r="G13" s="34"/>
      <c r="H13" s="33"/>
      <c r="I13" s="33"/>
      <c r="J13" s="40">
        <f>C35*'E Balans VL '!D23/100/3.6*1000000+C35*'E Balans VL '!E23/100/3.6*1000000</f>
        <v>1254.3650331760336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4543.3641579999994</v>
      </c>
      <c r="C15" s="33"/>
      <c r="D15" s="37">
        <f>IF( ISERROR(IND_rest_gas_kWh/1000),0,IND_rest_gas_kWh/1000)*0.902</f>
        <v>9558.1208696600006</v>
      </c>
      <c r="E15" s="33">
        <f>C37*'E Balans VL '!I15/100/3.6*1000000</f>
        <v>214.72202709630972</v>
      </c>
      <c r="F15" s="33">
        <f>C37*'E Balans VL '!L15/100/3.6*1000000+C37*'E Balans VL '!N15/100/3.6*1000000</f>
        <v>807.76247371528291</v>
      </c>
      <c r="G15" s="34"/>
      <c r="H15" s="33"/>
      <c r="I15" s="33"/>
      <c r="J15" s="40">
        <f>C37*'E Balans VL '!D15/100/3.6*1000000+C37*'E Balans VL '!E15/100/3.6*1000000</f>
        <v>37.533701335730939</v>
      </c>
      <c r="K15" s="33"/>
      <c r="L15" s="33"/>
      <c r="M15" s="33"/>
      <c r="N15" s="33">
        <f>C37*'E Balans VL '!Y15/100/3.6*1000000</f>
        <v>178.54414534608873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37632.278001999992</v>
      </c>
      <c r="C18" s="21">
        <f>C5+C16</f>
        <v>0</v>
      </c>
      <c r="D18" s="21">
        <f>MAX((D5+D16),0)</f>
        <v>23154.808616962</v>
      </c>
      <c r="E18" s="21">
        <f>MAX((E5+E16),0)</f>
        <v>1062.8490493925196</v>
      </c>
      <c r="F18" s="21">
        <f>MAX((F5+F16),0)</f>
        <v>4362.264643262276</v>
      </c>
      <c r="G18" s="21"/>
      <c r="H18" s="21"/>
      <c r="I18" s="21"/>
      <c r="J18" s="21">
        <f>MAX((J5+J16),0)</f>
        <v>1292.4899446353104</v>
      </c>
      <c r="K18" s="21"/>
      <c r="L18" s="21">
        <f>MAX((L5+L16),0)</f>
        <v>0</v>
      </c>
      <c r="M18" s="21"/>
      <c r="N18" s="21">
        <f>MAX((N5+N16),0)</f>
        <v>1466.7003431576004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0.20186069090363254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7596.4776377612907</v>
      </c>
      <c r="C22" s="23">
        <f ca="1">C18*C20</f>
        <v>0</v>
      </c>
      <c r="D22" s="23">
        <f>D18*D20</f>
        <v>4677.2713406263247</v>
      </c>
      <c r="E22" s="23">
        <f>E18*E20</f>
        <v>241.26673421210197</v>
      </c>
      <c r="F22" s="23">
        <f>F18*F20</f>
        <v>1164.7246597510277</v>
      </c>
      <c r="G22" s="23"/>
      <c r="H22" s="23"/>
      <c r="I22" s="23"/>
      <c r="J22" s="23">
        <f>J18*J20</f>
        <v>457.54144040089983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562.47494600000005</v>
      </c>
      <c r="C30" s="39">
        <f>IF(ISERROR(B30*3.6/1000000/'E Balans VL '!Z18*100),0,B30*3.6/1000000/'E Balans VL '!Z18*100)</f>
        <v>3.2470800976109819E-2</v>
      </c>
      <c r="D30" s="237" t="s">
        <v>708</v>
      </c>
    </row>
    <row r="31" spans="1:18">
      <c r="A31" s="6" t="s">
        <v>32</v>
      </c>
      <c r="B31" s="37">
        <f>IF( ISERROR(IND_ander_ele_kWh/1000),0,IND_ander_ele_kWh/1000)</f>
        <v>2855.9612940000002</v>
      </c>
      <c r="C31" s="39">
        <f>IF(ISERROR(B31*3.6/1000000/'E Balans VL '!Z19*100),0,B31*3.6/1000000/'E Balans VL '!Z19*100)</f>
        <v>0.14364559584811487</v>
      </c>
      <c r="D31" s="237" t="s">
        <v>708</v>
      </c>
    </row>
    <row r="32" spans="1:18">
      <c r="A32" s="171" t="s">
        <v>40</v>
      </c>
      <c r="B32" s="37">
        <f>IF( ISERROR(IND_voed_ele_kWh/1000),0,IND_voed_ele_kWh/1000)</f>
        <v>18121.323769999999</v>
      </c>
      <c r="C32" s="39">
        <f>IF(ISERROR(B32*3.6/1000000/'E Balans VL '!Z20*100),0,B32*3.6/1000000/'E Balans VL '!Z20*100)</f>
        <v>0.60354769045718148</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83.881994000000006</v>
      </c>
      <c r="C34" s="39">
        <f>IF(ISERROR(B34*3.6/1000000/'E Balans VL '!Z22*100),0,B34*3.6/1000000/'E Balans VL '!Z22*100)</f>
        <v>1.5646825109281996E-2</v>
      </c>
      <c r="D34" s="237" t="s">
        <v>708</v>
      </c>
    </row>
    <row r="35" spans="1:5">
      <c r="A35" s="171" t="s">
        <v>38</v>
      </c>
      <c r="B35" s="37">
        <f>IF( ISERROR(IND_papier_ele_kWh/1000),0,IND_papier_ele_kWh/1000)</f>
        <v>11465.271839999999</v>
      </c>
      <c r="C35" s="39">
        <f>IF(ISERROR(B35*3.6/1000000/'E Balans VL '!Z22*100),0,B35*3.6/1000000/'E Balans VL '!Z22*100)</f>
        <v>2.1386604532893645</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4543.3641579999994</v>
      </c>
      <c r="C37" s="39">
        <f>IF(ISERROR(B37*3.6/1000000/'E Balans VL '!Z15*100),0,B37*3.6/1000000/'E Balans VL '!Z15*100)</f>
        <v>3.5450664857748122E-2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1028.682102</v>
      </c>
      <c r="C5" s="17">
        <f>'Eigen informatie GS &amp; warmtenet'!B62</f>
        <v>0</v>
      </c>
      <c r="D5" s="30">
        <f>IF(ISERROR(SUM(LB_lb_gas_kWh,LB_rest_gas_kWh)/1000),0,SUM(LB_lb_gas_kWh,LB_rest_gas_kWh)/1000)*0.902</f>
        <v>2180.4374273879998</v>
      </c>
      <c r="E5" s="17">
        <f>B17*'E Balans VL '!I25/3.6*1000000/100</f>
        <v>32.104829185911306</v>
      </c>
      <c r="F5" s="17">
        <f>B17*('E Balans VL '!L25/3.6*1000000+'E Balans VL '!N25/3.6*1000000)/100</f>
        <v>3635.4765027972276</v>
      </c>
      <c r="G5" s="18"/>
      <c r="H5" s="17"/>
      <c r="I5" s="17"/>
      <c r="J5" s="17">
        <f>('E Balans VL '!D25+'E Balans VL '!E25)/3.6*1000000*landbouw!B17/100</f>
        <v>283.40905294885675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1028.682102</v>
      </c>
      <c r="C8" s="21">
        <f>C5+C6</f>
        <v>0</v>
      </c>
      <c r="D8" s="21">
        <f>MAX((D5+D6),0)</f>
        <v>2180.4374273879998</v>
      </c>
      <c r="E8" s="21">
        <f>MAX((E5+E6),0)</f>
        <v>32.104829185911306</v>
      </c>
      <c r="F8" s="21">
        <f>MAX((F5+F6),0)</f>
        <v>3635.4765027972276</v>
      </c>
      <c r="G8" s="21"/>
      <c r="H8" s="21"/>
      <c r="I8" s="21"/>
      <c r="J8" s="21">
        <f>MAX((J5+J6),0)</f>
        <v>283.40905294885675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0.20186069090363254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207.65047982992101</v>
      </c>
      <c r="C12" s="23">
        <f ca="1">C8*C10</f>
        <v>0</v>
      </c>
      <c r="D12" s="23">
        <f>D8*D10</f>
        <v>440.44836033237601</v>
      </c>
      <c r="E12" s="23">
        <f>E8*E10</f>
        <v>7.2877962252018671</v>
      </c>
      <c r="F12" s="23">
        <f>F8*F10</f>
        <v>970.67222624685985</v>
      </c>
      <c r="G12" s="23"/>
      <c r="H12" s="23"/>
      <c r="I12" s="23"/>
      <c r="J12" s="23">
        <f>J8*J10</f>
        <v>100.32680474389528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0.15292096875411609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224.2689136673805</v>
      </c>
      <c r="C26" s="247">
        <f>B26*'GWP N2O_CH4'!B5</f>
        <v>4709.6471870149908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48.929225005187135</v>
      </c>
      <c r="C27" s="247">
        <f>B27*'GWP N2O_CH4'!B5</f>
        <v>1027.5137251089297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2.9086834812907187</v>
      </c>
      <c r="C28" s="247">
        <f>B28*'GWP N2O_CH4'!B4</f>
        <v>901.6918792001228</v>
      </c>
      <c r="D28" s="50"/>
    </row>
    <row r="29" spans="1:4">
      <c r="A29" s="41" t="s">
        <v>276</v>
      </c>
      <c r="B29" s="247">
        <f>B34*'ha_N2O bodem landbouw'!B4</f>
        <v>10.202868613380009</v>
      </c>
      <c r="C29" s="247">
        <f>B29*'GWP N2O_CH4'!B4</f>
        <v>3162.8892701478026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2.2373053883952792E-3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4.9547290931976212E-4</v>
      </c>
      <c r="C5" s="437" t="s">
        <v>210</v>
      </c>
      <c r="D5" s="422">
        <f>SUM(D6:D11)</f>
        <v>1.7600328573576731E-3</v>
      </c>
      <c r="E5" s="422">
        <f>SUM(E6:E11)</f>
        <v>1.7054314307258416E-3</v>
      </c>
      <c r="F5" s="435" t="s">
        <v>210</v>
      </c>
      <c r="G5" s="422">
        <f>SUM(G6:G11)</f>
        <v>0.80811474186287979</v>
      </c>
      <c r="H5" s="422">
        <f>SUM(H6:H11)</f>
        <v>0.16846283372609819</v>
      </c>
      <c r="I5" s="437" t="s">
        <v>210</v>
      </c>
      <c r="J5" s="437" t="s">
        <v>210</v>
      </c>
      <c r="K5" s="437" t="s">
        <v>210</v>
      </c>
      <c r="L5" s="437" t="s">
        <v>210</v>
      </c>
      <c r="M5" s="422">
        <f>SUM(M6:M11)</f>
        <v>5.7735132173568821E-2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1.0376015103622961E-4</v>
      </c>
      <c r="C6" s="423"/>
      <c r="D6" s="890">
        <f>vkm_GW_PW*SUMIFS(TableVerdeelsleutelVkm[CNG],TableVerdeelsleutelVkm[Voertuigtype],"Lichte voertuigen")*SUMIFS(TableECFTransport[EnergieConsumptieFactor (PJ per km)],TableECFTransport[Index],CONCATENATE($A6,"_CNG_CNG"))</f>
        <v>3.3425320004211039E-4</v>
      </c>
      <c r="E6" s="890">
        <f>vkm_GW_PW*SUMIFS(TableVerdeelsleutelVkm[LPG],TableVerdeelsleutelVkm[Voertuigtype],"Lichte voertuigen")*SUMIFS(TableECFTransport[EnergieConsumptieFactor (PJ per km)],TableECFTransport[Index],CONCATENATE($A6,"_LPG_LPG"))</f>
        <v>2.8584551762182725E-4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9.2342234206729767E-2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3.1312685283462788E-2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7.3960088363087895E-3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6.0558353161057628E-2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8.6593007564313759E-7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3.490729198603282E-3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7.2201416483970313E-5</v>
      </c>
      <c r="C8" s="423"/>
      <c r="D8" s="425">
        <f>vkm_NGW_PW*SUMIFS(TableVerdeelsleutelVkm[CNG],TableVerdeelsleutelVkm[Voertuigtype],"Lichte voertuigen")*SUMIFS(TableECFTransport[EnergieConsumptieFactor (PJ per km)],TableECFTransport[Index],CONCATENATE($A8,"_CNG_CNG"))</f>
        <v>3.9407286578201447E-4</v>
      </c>
      <c r="E8" s="425">
        <f>vkm_NGW_PW*SUMIFS(TableVerdeelsleutelVkm[LPG],TableVerdeelsleutelVkm[Voertuigtype],"Lichte voertuigen")*SUMIFS(TableECFTransport[EnergieConsumptieFactor (PJ per km)],TableECFTransport[Index],CONCATENATE($A8,"_LPG_LPG"))</f>
        <v>3.2020740446376883E-4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9.6661045049272726E-2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3.6299565774509025E-2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7.9751414793976447E-3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3.1497373335462646E-2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5.7104287351855876E-7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1.8155923806443604E-3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3.1951134179956215E-4</v>
      </c>
      <c r="C10" s="423"/>
      <c r="D10" s="425">
        <f>vkm_SW_PW*SUMIFS(TableVerdeelsleutelVkm[CNG],TableVerdeelsleutelVkm[Voertuigtype],"Lichte voertuigen")*SUMIFS(TableECFTransport[EnergieConsumptieFactor (PJ per km)],TableECFTransport[Index],CONCATENATE($A10,"_CNG_CNG"))</f>
        <v>1.0317067915335482E-3</v>
      </c>
      <c r="E10" s="425">
        <f>vkm_SW_PW*SUMIFS(TableVerdeelsleutelVkm[LPG],TableVerdeelsleutelVkm[Voertuigtype],"Lichte voertuigen")*SUMIFS(TableECFTransport[EnergieConsumptieFactor (PJ per km)],TableECFTransport[Index],CONCATENATE($A10,"_LPG_LPG"))</f>
        <v>1.0993785086402456E-3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0.31643957338281942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0.10084592777030607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2.491722419075117E-2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0.21061616272753753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3.217924871147409E-6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1.2140436087863572E-2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137.63136369993393</v>
      </c>
      <c r="C14" s="21"/>
      <c r="D14" s="21">
        <f t="shared" ref="D14:M14" si="0">((D5)*10^9/3600)+D12</f>
        <v>488.89801593268697</v>
      </c>
      <c r="E14" s="21">
        <f t="shared" si="0"/>
        <v>473.73095297940046</v>
      </c>
      <c r="F14" s="21"/>
      <c r="G14" s="21">
        <f t="shared" si="0"/>
        <v>224476.31718413325</v>
      </c>
      <c r="H14" s="21">
        <f t="shared" si="0"/>
        <v>46795.231590582829</v>
      </c>
      <c r="I14" s="21"/>
      <c r="J14" s="21"/>
      <c r="K14" s="21"/>
      <c r="L14" s="21"/>
      <c r="M14" s="21">
        <f t="shared" si="0"/>
        <v>16037.536714880229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0.20186069090363254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27.782362166477796</v>
      </c>
      <c r="C18" s="23"/>
      <c r="D18" s="23">
        <f t="shared" ref="D18:M18" si="1">D14*D16</f>
        <v>98.757399218402782</v>
      </c>
      <c r="E18" s="23">
        <f t="shared" si="1"/>
        <v>107.53692632632391</v>
      </c>
      <c r="F18" s="23"/>
      <c r="G18" s="23">
        <f t="shared" si="1"/>
        <v>59935.176688163585</v>
      </c>
      <c r="H18" s="23">
        <f t="shared" si="1"/>
        <v>11652.012666055125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3.8032211336814E-3</v>
      </c>
      <c r="H50" s="319">
        <f t="shared" si="2"/>
        <v>0</v>
      </c>
      <c r="I50" s="319">
        <f t="shared" si="2"/>
        <v>0</v>
      </c>
      <c r="J50" s="319">
        <f t="shared" si="2"/>
        <v>0</v>
      </c>
      <c r="K50" s="319">
        <f t="shared" si="2"/>
        <v>0</v>
      </c>
      <c r="L50" s="319">
        <f t="shared" si="2"/>
        <v>0</v>
      </c>
      <c r="M50" s="319">
        <f t="shared" si="2"/>
        <v>2.11350194531856E-4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3.8032211336814E-3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2.11350194531856E-4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1056.4503149115001</v>
      </c>
      <c r="H54" s="21">
        <f t="shared" si="3"/>
        <v>0</v>
      </c>
      <c r="I54" s="21">
        <f t="shared" si="3"/>
        <v>0</v>
      </c>
      <c r="J54" s="21">
        <f t="shared" si="3"/>
        <v>0</v>
      </c>
      <c r="K54" s="21">
        <f t="shared" si="3"/>
        <v>0</v>
      </c>
      <c r="L54" s="21">
        <f t="shared" si="3"/>
        <v>0</v>
      </c>
      <c r="M54" s="21">
        <f t="shared" si="3"/>
        <v>58.708387369959993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0.20186069090363254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282.07223408137054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18881.871403000001</v>
      </c>
      <c r="D10" s="686">
        <f ca="1">tertiair!C16</f>
        <v>0</v>
      </c>
      <c r="E10" s="686">
        <f ca="1">tertiair!D16</f>
        <v>19868.024228800001</v>
      </c>
      <c r="F10" s="686">
        <f>tertiair!E16</f>
        <v>249.95384522222423</v>
      </c>
      <c r="G10" s="686">
        <f ca="1">tertiair!F16</f>
        <v>1925.3040392103071</v>
      </c>
      <c r="H10" s="686">
        <f>tertiair!G16</f>
        <v>0</v>
      </c>
      <c r="I10" s="686">
        <f>tertiair!H16</f>
        <v>0</v>
      </c>
      <c r="J10" s="686">
        <f>tertiair!I16</f>
        <v>0</v>
      </c>
      <c r="K10" s="686">
        <f>tertiair!J16</f>
        <v>2.9353328183497739E-2</v>
      </c>
      <c r="L10" s="686">
        <f>tertiair!K16</f>
        <v>0</v>
      </c>
      <c r="M10" s="686">
        <f ca="1">tertiair!L16</f>
        <v>0</v>
      </c>
      <c r="N10" s="686">
        <f>tertiair!M16</f>
        <v>0</v>
      </c>
      <c r="O10" s="686">
        <f ca="1">tertiair!N16</f>
        <v>1168.2912943386002</v>
      </c>
      <c r="P10" s="686">
        <f>tertiair!O16</f>
        <v>19.589043063364617</v>
      </c>
      <c r="Q10" s="687">
        <f>tertiair!P16</f>
        <v>105.07827661299004</v>
      </c>
      <c r="R10" s="689">
        <f ca="1">SUM(C10:Q10)</f>
        <v>42218.141483575673</v>
      </c>
      <c r="S10" s="67"/>
    </row>
    <row r="11" spans="1:19" s="448" customFormat="1">
      <c r="A11" s="808" t="s">
        <v>224</v>
      </c>
      <c r="B11" s="813"/>
      <c r="C11" s="686">
        <f>huishoudens!B8</f>
        <v>39246.956159534362</v>
      </c>
      <c r="D11" s="686">
        <f>huishoudens!C8</f>
        <v>0</v>
      </c>
      <c r="E11" s="686">
        <f>huishoudens!D8</f>
        <v>52167.693710219995</v>
      </c>
      <c r="F11" s="686">
        <f>huishoudens!E8</f>
        <v>21519.992559040686</v>
      </c>
      <c r="G11" s="686">
        <f>huishoudens!F8</f>
        <v>37477.352668832522</v>
      </c>
      <c r="H11" s="686">
        <f>huishoudens!G8</f>
        <v>0</v>
      </c>
      <c r="I11" s="686">
        <f>huishoudens!H8</f>
        <v>0</v>
      </c>
      <c r="J11" s="686">
        <f>huishoudens!I8</f>
        <v>0</v>
      </c>
      <c r="K11" s="686">
        <f>huishoudens!J8</f>
        <v>2557.4399343903583</v>
      </c>
      <c r="L11" s="686">
        <f>huishoudens!K8</f>
        <v>0</v>
      </c>
      <c r="M11" s="686">
        <f>huishoudens!L8</f>
        <v>0</v>
      </c>
      <c r="N11" s="686">
        <f>huishoudens!M8</f>
        <v>0</v>
      </c>
      <c r="O11" s="686">
        <f>huishoudens!N8</f>
        <v>15878.028856667042</v>
      </c>
      <c r="P11" s="686">
        <f>huishoudens!O8</f>
        <v>412.6633096325026</v>
      </c>
      <c r="Q11" s="687">
        <f>huishoudens!P8</f>
        <v>621.50359915341642</v>
      </c>
      <c r="R11" s="689">
        <f>SUM(C11:Q11)</f>
        <v>169881.63079747092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37632.278001999992</v>
      </c>
      <c r="D13" s="686">
        <f>industrie!C18</f>
        <v>0</v>
      </c>
      <c r="E13" s="686">
        <f>industrie!D18</f>
        <v>23154.808616962</v>
      </c>
      <c r="F13" s="686">
        <f>industrie!E18</f>
        <v>1062.8490493925196</v>
      </c>
      <c r="G13" s="686">
        <f>industrie!F18</f>
        <v>4362.264643262276</v>
      </c>
      <c r="H13" s="686">
        <f>industrie!G18</f>
        <v>0</v>
      </c>
      <c r="I13" s="686">
        <f>industrie!H18</f>
        <v>0</v>
      </c>
      <c r="J13" s="686">
        <f>industrie!I18</f>
        <v>0</v>
      </c>
      <c r="K13" s="686">
        <f>industrie!J18</f>
        <v>1292.4899446353104</v>
      </c>
      <c r="L13" s="686">
        <f>industrie!K18</f>
        <v>0</v>
      </c>
      <c r="M13" s="686">
        <f>industrie!L18</f>
        <v>0</v>
      </c>
      <c r="N13" s="686">
        <f>industrie!M18</f>
        <v>0</v>
      </c>
      <c r="O13" s="686">
        <f>industrie!N18</f>
        <v>1466.7003431576004</v>
      </c>
      <c r="P13" s="686">
        <f>industrie!O18</f>
        <v>0</v>
      </c>
      <c r="Q13" s="687">
        <f>industrie!P18</f>
        <v>0</v>
      </c>
      <c r="R13" s="689">
        <f>SUM(C13:Q13)</f>
        <v>68971.3905994097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95761.105564534359</v>
      </c>
      <c r="D16" s="722">
        <f t="shared" ref="D16:R16" ca="1" si="0">SUM(D9:D15)</f>
        <v>0</v>
      </c>
      <c r="E16" s="722">
        <f t="shared" ca="1" si="0"/>
        <v>95190.526555981982</v>
      </c>
      <c r="F16" s="722">
        <f t="shared" si="0"/>
        <v>22832.795453655432</v>
      </c>
      <c r="G16" s="722">
        <f t="shared" ca="1" si="0"/>
        <v>43764.921351305107</v>
      </c>
      <c r="H16" s="722">
        <f t="shared" si="0"/>
        <v>0</v>
      </c>
      <c r="I16" s="722">
        <f t="shared" si="0"/>
        <v>0</v>
      </c>
      <c r="J16" s="722">
        <f t="shared" si="0"/>
        <v>0</v>
      </c>
      <c r="K16" s="722">
        <f t="shared" si="0"/>
        <v>3849.9592323538518</v>
      </c>
      <c r="L16" s="722">
        <f t="shared" si="0"/>
        <v>0</v>
      </c>
      <c r="M16" s="722">
        <f t="shared" ca="1" si="0"/>
        <v>0</v>
      </c>
      <c r="N16" s="722">
        <f t="shared" si="0"/>
        <v>0</v>
      </c>
      <c r="O16" s="722">
        <f t="shared" ca="1" si="0"/>
        <v>18513.020494163244</v>
      </c>
      <c r="P16" s="722">
        <f t="shared" si="0"/>
        <v>432.25235269586722</v>
      </c>
      <c r="Q16" s="722">
        <f t="shared" si="0"/>
        <v>726.58187576640648</v>
      </c>
      <c r="R16" s="722">
        <f t="shared" ca="1" si="0"/>
        <v>281071.16288045631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1056.4503149115001</v>
      </c>
      <c r="I19" s="686">
        <f>transport!H54</f>
        <v>0</v>
      </c>
      <c r="J19" s="686">
        <f>transport!I54</f>
        <v>0</v>
      </c>
      <c r="K19" s="686">
        <f>transport!J54</f>
        <v>0</v>
      </c>
      <c r="L19" s="686">
        <f>transport!K54</f>
        <v>0</v>
      </c>
      <c r="M19" s="686">
        <f>transport!L54</f>
        <v>0</v>
      </c>
      <c r="N19" s="686">
        <f>transport!M54</f>
        <v>58.708387369959993</v>
      </c>
      <c r="O19" s="686">
        <f>transport!N54</f>
        <v>0</v>
      </c>
      <c r="P19" s="686">
        <f>transport!O54</f>
        <v>0</v>
      </c>
      <c r="Q19" s="687">
        <f>transport!P54</f>
        <v>0</v>
      </c>
      <c r="R19" s="689">
        <f>SUM(C19:Q19)</f>
        <v>1115.1587022814601</v>
      </c>
      <c r="S19" s="67"/>
    </row>
    <row r="20" spans="1:19" s="448" customFormat="1">
      <c r="A20" s="808" t="s">
        <v>306</v>
      </c>
      <c r="B20" s="813"/>
      <c r="C20" s="686">
        <f>transport!B14</f>
        <v>137.63136369993393</v>
      </c>
      <c r="D20" s="686">
        <f>transport!C14</f>
        <v>0</v>
      </c>
      <c r="E20" s="686">
        <f>transport!D14</f>
        <v>488.89801593268697</v>
      </c>
      <c r="F20" s="686">
        <f>transport!E14</f>
        <v>473.73095297940046</v>
      </c>
      <c r="G20" s="686">
        <f>transport!F14</f>
        <v>0</v>
      </c>
      <c r="H20" s="686">
        <f>transport!G14</f>
        <v>224476.31718413325</v>
      </c>
      <c r="I20" s="686">
        <f>transport!H14</f>
        <v>46795.231590582829</v>
      </c>
      <c r="J20" s="686">
        <f>transport!I14</f>
        <v>0</v>
      </c>
      <c r="K20" s="686">
        <f>transport!J14</f>
        <v>0</v>
      </c>
      <c r="L20" s="686">
        <f>transport!K14</f>
        <v>0</v>
      </c>
      <c r="M20" s="686">
        <f>transport!L14</f>
        <v>0</v>
      </c>
      <c r="N20" s="686">
        <f>transport!M14</f>
        <v>16037.536714880229</v>
      </c>
      <c r="O20" s="686">
        <f>transport!N14</f>
        <v>0</v>
      </c>
      <c r="P20" s="686">
        <f>transport!O14</f>
        <v>0</v>
      </c>
      <c r="Q20" s="687">
        <f>transport!P14</f>
        <v>0</v>
      </c>
      <c r="R20" s="689">
        <f>SUM(C20:Q20)</f>
        <v>288409.34582220833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137.63136369993393</v>
      </c>
      <c r="D22" s="811">
        <f t="shared" ref="D22:R22" si="1">SUM(D18:D21)</f>
        <v>0</v>
      </c>
      <c r="E22" s="811">
        <f t="shared" si="1"/>
        <v>488.89801593268697</v>
      </c>
      <c r="F22" s="811">
        <f t="shared" si="1"/>
        <v>473.73095297940046</v>
      </c>
      <c r="G22" s="811">
        <f t="shared" si="1"/>
        <v>0</v>
      </c>
      <c r="H22" s="811">
        <f t="shared" si="1"/>
        <v>225532.76749904474</v>
      </c>
      <c r="I22" s="811">
        <f t="shared" si="1"/>
        <v>46795.231590582829</v>
      </c>
      <c r="J22" s="811">
        <f t="shared" si="1"/>
        <v>0</v>
      </c>
      <c r="K22" s="811">
        <f t="shared" si="1"/>
        <v>0</v>
      </c>
      <c r="L22" s="811">
        <f t="shared" si="1"/>
        <v>0</v>
      </c>
      <c r="M22" s="811">
        <f t="shared" si="1"/>
        <v>0</v>
      </c>
      <c r="N22" s="811">
        <f t="shared" si="1"/>
        <v>16096.245102250188</v>
      </c>
      <c r="O22" s="811">
        <f t="shared" si="1"/>
        <v>0</v>
      </c>
      <c r="P22" s="811">
        <f t="shared" si="1"/>
        <v>0</v>
      </c>
      <c r="Q22" s="811">
        <f t="shared" si="1"/>
        <v>0</v>
      </c>
      <c r="R22" s="811">
        <f t="shared" si="1"/>
        <v>289524.50452448981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1028.682102</v>
      </c>
      <c r="D24" s="686">
        <f>+landbouw!C8</f>
        <v>0</v>
      </c>
      <c r="E24" s="686">
        <f>+landbouw!D8</f>
        <v>2180.4374273879998</v>
      </c>
      <c r="F24" s="686">
        <f>+landbouw!E8</f>
        <v>32.104829185911306</v>
      </c>
      <c r="G24" s="686">
        <f>+landbouw!F8</f>
        <v>3635.4765027972276</v>
      </c>
      <c r="H24" s="686">
        <f>+landbouw!G8</f>
        <v>0</v>
      </c>
      <c r="I24" s="686">
        <f>+landbouw!H8</f>
        <v>0</v>
      </c>
      <c r="J24" s="686">
        <f>+landbouw!I8</f>
        <v>0</v>
      </c>
      <c r="K24" s="686">
        <f>+landbouw!J8</f>
        <v>283.40905294885675</v>
      </c>
      <c r="L24" s="686">
        <f>+landbouw!K8</f>
        <v>0</v>
      </c>
      <c r="M24" s="686">
        <f>+landbouw!L8</f>
        <v>0</v>
      </c>
      <c r="N24" s="686">
        <f>+landbouw!M8</f>
        <v>0</v>
      </c>
      <c r="O24" s="686">
        <f>+landbouw!N8</f>
        <v>0</v>
      </c>
      <c r="P24" s="686">
        <f>+landbouw!O8</f>
        <v>0</v>
      </c>
      <c r="Q24" s="687">
        <f>+landbouw!P8</f>
        <v>0</v>
      </c>
      <c r="R24" s="689">
        <f>SUM(C24:Q24)</f>
        <v>7160.1099143199954</v>
      </c>
      <c r="S24" s="67"/>
    </row>
    <row r="25" spans="1:19" s="448" customFormat="1" ht="15" thickBot="1">
      <c r="A25" s="830" t="s">
        <v>724</v>
      </c>
      <c r="B25" s="949"/>
      <c r="C25" s="950">
        <f>IF(Onbekend_ele_kWh="---",0,Onbekend_ele_kWh)/1000+IF(REST_rest_ele_kWh="---",0,REST_rest_ele_kWh)/1000</f>
        <v>943.85546099999999</v>
      </c>
      <c r="D25" s="950"/>
      <c r="E25" s="950">
        <f>IF(onbekend_gas_kWh="---",0,onbekend_gas_kWh)/1000+IF(REST_rest_gas_kWh="---",0,REST_rest_gas_kWh)/1000</f>
        <v>1672.640742</v>
      </c>
      <c r="F25" s="950"/>
      <c r="G25" s="950"/>
      <c r="H25" s="950"/>
      <c r="I25" s="950"/>
      <c r="J25" s="950"/>
      <c r="K25" s="950"/>
      <c r="L25" s="950"/>
      <c r="M25" s="950"/>
      <c r="N25" s="950"/>
      <c r="O25" s="950"/>
      <c r="P25" s="950"/>
      <c r="Q25" s="951"/>
      <c r="R25" s="689">
        <f>SUM(C25:Q25)</f>
        <v>2616.4962030000002</v>
      </c>
      <c r="S25" s="67"/>
    </row>
    <row r="26" spans="1:19" s="448" customFormat="1" ht="15.75" thickBot="1">
      <c r="A26" s="694" t="s">
        <v>725</v>
      </c>
      <c r="B26" s="816"/>
      <c r="C26" s="811">
        <f>SUM(C24:C25)</f>
        <v>1972.5375629999999</v>
      </c>
      <c r="D26" s="811">
        <f t="shared" ref="D26:R26" si="2">SUM(D24:D25)</f>
        <v>0</v>
      </c>
      <c r="E26" s="811">
        <f t="shared" si="2"/>
        <v>3853.0781693879999</v>
      </c>
      <c r="F26" s="811">
        <f t="shared" si="2"/>
        <v>32.104829185911306</v>
      </c>
      <c r="G26" s="811">
        <f t="shared" si="2"/>
        <v>3635.4765027972276</v>
      </c>
      <c r="H26" s="811">
        <f t="shared" si="2"/>
        <v>0</v>
      </c>
      <c r="I26" s="811">
        <f t="shared" si="2"/>
        <v>0</v>
      </c>
      <c r="J26" s="811">
        <f t="shared" si="2"/>
        <v>0</v>
      </c>
      <c r="K26" s="811">
        <f t="shared" si="2"/>
        <v>283.40905294885675</v>
      </c>
      <c r="L26" s="811">
        <f t="shared" si="2"/>
        <v>0</v>
      </c>
      <c r="M26" s="811">
        <f t="shared" si="2"/>
        <v>0</v>
      </c>
      <c r="N26" s="811">
        <f t="shared" si="2"/>
        <v>0</v>
      </c>
      <c r="O26" s="811">
        <f t="shared" si="2"/>
        <v>0</v>
      </c>
      <c r="P26" s="811">
        <f t="shared" si="2"/>
        <v>0</v>
      </c>
      <c r="Q26" s="811">
        <f t="shared" si="2"/>
        <v>0</v>
      </c>
      <c r="R26" s="811">
        <f t="shared" si="2"/>
        <v>9776.606117319996</v>
      </c>
      <c r="S26" s="67"/>
    </row>
    <row r="27" spans="1:19" s="448" customFormat="1" ht="17.25" thickTop="1" thickBot="1">
      <c r="A27" s="695" t="s">
        <v>115</v>
      </c>
      <c r="B27" s="803"/>
      <c r="C27" s="696">
        <f ca="1">C22+C16+C26</f>
        <v>97871.274491234304</v>
      </c>
      <c r="D27" s="696">
        <f t="shared" ref="D27:R27" ca="1" si="3">D22+D16+D26</f>
        <v>0</v>
      </c>
      <c r="E27" s="696">
        <f t="shared" ca="1" si="3"/>
        <v>99532.502741302669</v>
      </c>
      <c r="F27" s="696">
        <f t="shared" si="3"/>
        <v>23338.631235820743</v>
      </c>
      <c r="G27" s="696">
        <f t="shared" ca="1" si="3"/>
        <v>47400.397854102332</v>
      </c>
      <c r="H27" s="696">
        <f t="shared" si="3"/>
        <v>225532.76749904474</v>
      </c>
      <c r="I27" s="696">
        <f t="shared" si="3"/>
        <v>46795.231590582829</v>
      </c>
      <c r="J27" s="696">
        <f t="shared" si="3"/>
        <v>0</v>
      </c>
      <c r="K27" s="696">
        <f t="shared" si="3"/>
        <v>4133.3682853027085</v>
      </c>
      <c r="L27" s="696">
        <f t="shared" si="3"/>
        <v>0</v>
      </c>
      <c r="M27" s="696">
        <f t="shared" ca="1" si="3"/>
        <v>0</v>
      </c>
      <c r="N27" s="696">
        <f t="shared" si="3"/>
        <v>16096.245102250188</v>
      </c>
      <c r="O27" s="696">
        <f t="shared" ca="1" si="3"/>
        <v>18513.020494163244</v>
      </c>
      <c r="P27" s="696">
        <f t="shared" si="3"/>
        <v>432.25235269586722</v>
      </c>
      <c r="Q27" s="696">
        <f t="shared" si="3"/>
        <v>726.58187576640648</v>
      </c>
      <c r="R27" s="696">
        <f t="shared" ca="1" si="3"/>
        <v>580372.27352226619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3811.5076069631218</v>
      </c>
      <c r="D40" s="686">
        <f ca="1">tertiair!C20</f>
        <v>0</v>
      </c>
      <c r="E40" s="686">
        <f ca="1">tertiair!D20</f>
        <v>4013.3408942176006</v>
      </c>
      <c r="F40" s="686">
        <f>tertiair!E20</f>
        <v>56.739522865444904</v>
      </c>
      <c r="G40" s="686">
        <f ca="1">tertiair!F20</f>
        <v>514.05617846915197</v>
      </c>
      <c r="H40" s="686">
        <f>tertiair!G20</f>
        <v>0</v>
      </c>
      <c r="I40" s="686">
        <f>tertiair!H20</f>
        <v>0</v>
      </c>
      <c r="J40" s="686">
        <f>tertiair!I20</f>
        <v>0</v>
      </c>
      <c r="K40" s="686">
        <f>tertiair!J20</f>
        <v>1.03910781769582E-2</v>
      </c>
      <c r="L40" s="686">
        <f>tertiair!K20</f>
        <v>0</v>
      </c>
      <c r="M40" s="686">
        <f ca="1">tertiair!L20</f>
        <v>0</v>
      </c>
      <c r="N40" s="686">
        <f>tertiair!M20</f>
        <v>0</v>
      </c>
      <c r="O40" s="686">
        <f ca="1">tertiair!N20</f>
        <v>0</v>
      </c>
      <c r="P40" s="686">
        <f>tertiair!O20</f>
        <v>0</v>
      </c>
      <c r="Q40" s="769">
        <f>tertiair!P20</f>
        <v>0</v>
      </c>
      <c r="R40" s="849">
        <f t="shared" ca="1" si="4"/>
        <v>8395.6545935934955</v>
      </c>
    </row>
    <row r="41" spans="1:18">
      <c r="A41" s="821" t="s">
        <v>224</v>
      </c>
      <c r="B41" s="828"/>
      <c r="C41" s="686">
        <f ca="1">huishoudens!B12</f>
        <v>7922.4176862281829</v>
      </c>
      <c r="D41" s="686">
        <f ca="1">huishoudens!C12</f>
        <v>0</v>
      </c>
      <c r="E41" s="686">
        <f>huishoudens!D12</f>
        <v>10537.874129464441</v>
      </c>
      <c r="F41" s="686">
        <f>huishoudens!E12</f>
        <v>4885.0383109022359</v>
      </c>
      <c r="G41" s="686">
        <f>huishoudens!F12</f>
        <v>10006.453162578284</v>
      </c>
      <c r="H41" s="686">
        <f>huishoudens!G12</f>
        <v>0</v>
      </c>
      <c r="I41" s="686">
        <f>huishoudens!H12</f>
        <v>0</v>
      </c>
      <c r="J41" s="686">
        <f>huishoudens!I12</f>
        <v>0</v>
      </c>
      <c r="K41" s="686">
        <f>huishoudens!J12</f>
        <v>905.33373677418683</v>
      </c>
      <c r="L41" s="686">
        <f>huishoudens!K12</f>
        <v>0</v>
      </c>
      <c r="M41" s="686">
        <f>huishoudens!L12</f>
        <v>0</v>
      </c>
      <c r="N41" s="686">
        <f>huishoudens!M12</f>
        <v>0</v>
      </c>
      <c r="O41" s="686">
        <f>huishoudens!N12</f>
        <v>0</v>
      </c>
      <c r="P41" s="686">
        <f>huishoudens!O12</f>
        <v>0</v>
      </c>
      <c r="Q41" s="769">
        <f>huishoudens!P12</f>
        <v>0</v>
      </c>
      <c r="R41" s="849">
        <f t="shared" ca="1" si="4"/>
        <v>34257.117025947329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7596.4776377612907</v>
      </c>
      <c r="D43" s="686">
        <f ca="1">industrie!C22</f>
        <v>0</v>
      </c>
      <c r="E43" s="686">
        <f>industrie!D22</f>
        <v>4677.2713406263247</v>
      </c>
      <c r="F43" s="686">
        <f>industrie!E22</f>
        <v>241.26673421210197</v>
      </c>
      <c r="G43" s="686">
        <f>industrie!F22</f>
        <v>1164.7246597510277</v>
      </c>
      <c r="H43" s="686">
        <f>industrie!G22</f>
        <v>0</v>
      </c>
      <c r="I43" s="686">
        <f>industrie!H22</f>
        <v>0</v>
      </c>
      <c r="J43" s="686">
        <f>industrie!I22</f>
        <v>0</v>
      </c>
      <c r="K43" s="686">
        <f>industrie!J22</f>
        <v>457.54144040089983</v>
      </c>
      <c r="L43" s="686">
        <f>industrie!K22</f>
        <v>0</v>
      </c>
      <c r="M43" s="686">
        <f>industrie!L22</f>
        <v>0</v>
      </c>
      <c r="N43" s="686">
        <f>industrie!M22</f>
        <v>0</v>
      </c>
      <c r="O43" s="686">
        <f>industrie!N22</f>
        <v>0</v>
      </c>
      <c r="P43" s="686">
        <f>industrie!O22</f>
        <v>0</v>
      </c>
      <c r="Q43" s="769">
        <f>industrie!P22</f>
        <v>0</v>
      </c>
      <c r="R43" s="848">
        <f t="shared" ca="1" si="4"/>
        <v>14137.281812751646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19330.402930952594</v>
      </c>
      <c r="D46" s="722">
        <f t="shared" ref="D46:Q46" ca="1" si="5">SUM(D39:D45)</f>
        <v>0</v>
      </c>
      <c r="E46" s="722">
        <f t="shared" ca="1" si="5"/>
        <v>19228.486364308366</v>
      </c>
      <c r="F46" s="722">
        <f t="shared" si="5"/>
        <v>5183.0445679797831</v>
      </c>
      <c r="G46" s="722">
        <f t="shared" ca="1" si="5"/>
        <v>11685.234000798464</v>
      </c>
      <c r="H46" s="722">
        <f t="shared" si="5"/>
        <v>0</v>
      </c>
      <c r="I46" s="722">
        <f t="shared" si="5"/>
        <v>0</v>
      </c>
      <c r="J46" s="722">
        <f t="shared" si="5"/>
        <v>0</v>
      </c>
      <c r="K46" s="722">
        <f t="shared" si="5"/>
        <v>1362.8855682532637</v>
      </c>
      <c r="L46" s="722">
        <f t="shared" si="5"/>
        <v>0</v>
      </c>
      <c r="M46" s="722">
        <f t="shared" ca="1" si="5"/>
        <v>0</v>
      </c>
      <c r="N46" s="722">
        <f t="shared" si="5"/>
        <v>0</v>
      </c>
      <c r="O46" s="722">
        <f t="shared" ca="1" si="5"/>
        <v>0</v>
      </c>
      <c r="P46" s="722">
        <f t="shared" si="5"/>
        <v>0</v>
      </c>
      <c r="Q46" s="722">
        <f t="shared" si="5"/>
        <v>0</v>
      </c>
      <c r="R46" s="722">
        <f ca="1">SUM(R39:R45)</f>
        <v>56790.053432292472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282.07223408137054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282.07223408137054</v>
      </c>
    </row>
    <row r="50" spans="1:18">
      <c r="A50" s="824" t="s">
        <v>306</v>
      </c>
      <c r="B50" s="834"/>
      <c r="C50" s="692">
        <f ca="1">transport!B18</f>
        <v>27.782362166477796</v>
      </c>
      <c r="D50" s="692">
        <f>transport!C18</f>
        <v>0</v>
      </c>
      <c r="E50" s="692">
        <f>transport!D18</f>
        <v>98.757399218402782</v>
      </c>
      <c r="F50" s="692">
        <f>transport!E18</f>
        <v>107.53692632632391</v>
      </c>
      <c r="G50" s="692">
        <f>transport!F18</f>
        <v>0</v>
      </c>
      <c r="H50" s="692">
        <f>transport!G18</f>
        <v>59935.176688163585</v>
      </c>
      <c r="I50" s="692">
        <f>transport!H18</f>
        <v>11652.012666055125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71821.266041929921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27.782362166477796</v>
      </c>
      <c r="D52" s="722">
        <f t="shared" ref="D52:Q52" ca="1" si="6">SUM(D48:D51)</f>
        <v>0</v>
      </c>
      <c r="E52" s="722">
        <f t="shared" si="6"/>
        <v>98.757399218402782</v>
      </c>
      <c r="F52" s="722">
        <f t="shared" si="6"/>
        <v>107.53692632632391</v>
      </c>
      <c r="G52" s="722">
        <f t="shared" si="6"/>
        <v>0</v>
      </c>
      <c r="H52" s="722">
        <f t="shared" si="6"/>
        <v>60217.248922244959</v>
      </c>
      <c r="I52" s="722">
        <f t="shared" si="6"/>
        <v>11652.012666055125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72103.338276011287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207.65047982992101</v>
      </c>
      <c r="D54" s="692">
        <f ca="1">+landbouw!C12</f>
        <v>0</v>
      </c>
      <c r="E54" s="692">
        <f>+landbouw!D12</f>
        <v>440.44836033237601</v>
      </c>
      <c r="F54" s="692">
        <f>+landbouw!E12</f>
        <v>7.2877962252018671</v>
      </c>
      <c r="G54" s="692">
        <f>+landbouw!F12</f>
        <v>970.67222624685985</v>
      </c>
      <c r="H54" s="692">
        <f>+landbouw!G12</f>
        <v>0</v>
      </c>
      <c r="I54" s="692">
        <f>+landbouw!H12</f>
        <v>0</v>
      </c>
      <c r="J54" s="692">
        <f>+landbouw!I12</f>
        <v>0</v>
      </c>
      <c r="K54" s="692">
        <f>+landbouw!J12</f>
        <v>100.32680474389528</v>
      </c>
      <c r="L54" s="692">
        <f>+landbouw!K12</f>
        <v>0</v>
      </c>
      <c r="M54" s="692">
        <f>+landbouw!L12</f>
        <v>0</v>
      </c>
      <c r="N54" s="692">
        <f>+landbouw!M12</f>
        <v>0</v>
      </c>
      <c r="O54" s="692">
        <f>+landbouw!N12</f>
        <v>0</v>
      </c>
      <c r="P54" s="692">
        <f>+landbouw!O12</f>
        <v>0</v>
      </c>
      <c r="Q54" s="693">
        <f>+landbouw!P12</f>
        <v>0</v>
      </c>
      <c r="R54" s="721">
        <f ca="1">SUM(C54:Q54)</f>
        <v>1726.3856673782541</v>
      </c>
    </row>
    <row r="55" spans="1:18" ht="15" thickBot="1">
      <c r="A55" s="824" t="s">
        <v>724</v>
      </c>
      <c r="B55" s="834"/>
      <c r="C55" s="692">
        <f ca="1">C25*'EF ele_warmte'!B12</f>
        <v>190.5273154706266</v>
      </c>
      <c r="D55" s="692"/>
      <c r="E55" s="692">
        <f>E25*EF_CO2_aardgas</f>
        <v>337.87342988400002</v>
      </c>
      <c r="F55" s="692"/>
      <c r="G55" s="692"/>
      <c r="H55" s="692"/>
      <c r="I55" s="692"/>
      <c r="J55" s="692"/>
      <c r="K55" s="692"/>
      <c r="L55" s="692"/>
      <c r="M55" s="692"/>
      <c r="N55" s="692"/>
      <c r="O55" s="692"/>
      <c r="P55" s="692"/>
      <c r="Q55" s="693"/>
      <c r="R55" s="721">
        <f ca="1">SUM(C55:Q55)</f>
        <v>528.40074535462668</v>
      </c>
    </row>
    <row r="56" spans="1:18" ht="15.75" thickBot="1">
      <c r="A56" s="822" t="s">
        <v>725</v>
      </c>
      <c r="B56" s="835"/>
      <c r="C56" s="722">
        <f ca="1">SUM(C54:C55)</f>
        <v>398.17779530054759</v>
      </c>
      <c r="D56" s="722">
        <f t="shared" ref="D56:Q56" ca="1" si="7">SUM(D54:D55)</f>
        <v>0</v>
      </c>
      <c r="E56" s="722">
        <f t="shared" si="7"/>
        <v>778.32179021637603</v>
      </c>
      <c r="F56" s="722">
        <f t="shared" si="7"/>
        <v>7.2877962252018671</v>
      </c>
      <c r="G56" s="722">
        <f t="shared" si="7"/>
        <v>970.67222624685985</v>
      </c>
      <c r="H56" s="722">
        <f t="shared" si="7"/>
        <v>0</v>
      </c>
      <c r="I56" s="722">
        <f t="shared" si="7"/>
        <v>0</v>
      </c>
      <c r="J56" s="722">
        <f t="shared" si="7"/>
        <v>0</v>
      </c>
      <c r="K56" s="722">
        <f t="shared" si="7"/>
        <v>100.32680474389528</v>
      </c>
      <c r="L56" s="722">
        <f t="shared" si="7"/>
        <v>0</v>
      </c>
      <c r="M56" s="722">
        <f t="shared" si="7"/>
        <v>0</v>
      </c>
      <c r="N56" s="722">
        <f t="shared" si="7"/>
        <v>0</v>
      </c>
      <c r="O56" s="722">
        <f t="shared" si="7"/>
        <v>0</v>
      </c>
      <c r="P56" s="722">
        <f t="shared" si="7"/>
        <v>0</v>
      </c>
      <c r="Q56" s="723">
        <f t="shared" si="7"/>
        <v>0</v>
      </c>
      <c r="R56" s="724">
        <f ca="1">SUM(R54:R55)</f>
        <v>2254.7864127328808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19756.363088419621</v>
      </c>
      <c r="D61" s="730">
        <f t="shared" ref="D61:Q61" ca="1" si="8">D46+D52+D56</f>
        <v>0</v>
      </c>
      <c r="E61" s="730">
        <f t="shared" ca="1" si="8"/>
        <v>20105.565553743145</v>
      </c>
      <c r="F61" s="730">
        <f t="shared" si="8"/>
        <v>5297.8692905313083</v>
      </c>
      <c r="G61" s="730">
        <f t="shared" ca="1" si="8"/>
        <v>12655.906227045323</v>
      </c>
      <c r="H61" s="730">
        <f t="shared" si="8"/>
        <v>60217.248922244959</v>
      </c>
      <c r="I61" s="730">
        <f t="shared" si="8"/>
        <v>11652.012666055125</v>
      </c>
      <c r="J61" s="730">
        <f t="shared" si="8"/>
        <v>0</v>
      </c>
      <c r="K61" s="730">
        <f t="shared" si="8"/>
        <v>1463.212372997159</v>
      </c>
      <c r="L61" s="730">
        <f t="shared" si="8"/>
        <v>0</v>
      </c>
      <c r="M61" s="730">
        <f t="shared" ca="1" si="8"/>
        <v>0</v>
      </c>
      <c r="N61" s="730">
        <f t="shared" si="8"/>
        <v>0</v>
      </c>
      <c r="O61" s="730">
        <f t="shared" ca="1" si="8"/>
        <v>0</v>
      </c>
      <c r="P61" s="730">
        <f t="shared" si="8"/>
        <v>0</v>
      </c>
      <c r="Q61" s="730">
        <f t="shared" si="8"/>
        <v>0</v>
      </c>
      <c r="R61" s="730">
        <f ca="1">R46+R52+R56</f>
        <v>131148.17812103665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0.20186069090363251</v>
      </c>
      <c r="D63" s="776">
        <f t="shared" ca="1" si="9"/>
        <v>0</v>
      </c>
      <c r="E63" s="975">
        <f t="shared" ca="1" si="9"/>
        <v>0.20200000000000007</v>
      </c>
      <c r="F63" s="776">
        <f t="shared" si="9"/>
        <v>0.22699999999999998</v>
      </c>
      <c r="G63" s="776">
        <f t="shared" ca="1" si="9"/>
        <v>0.26700000000000002</v>
      </c>
      <c r="H63" s="776">
        <f t="shared" si="9"/>
        <v>0.26700000000000007</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8475.9663988378124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8475.9663988378124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8475.9663988378124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8475.9663988378124</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39246.956159534362</v>
      </c>
      <c r="C4" s="452">
        <f>huishoudens!C8</f>
        <v>0</v>
      </c>
      <c r="D4" s="452">
        <f>huishoudens!D8</f>
        <v>52167.693710219995</v>
      </c>
      <c r="E4" s="452">
        <f>huishoudens!E8</f>
        <v>21519.992559040686</v>
      </c>
      <c r="F4" s="452">
        <f>huishoudens!F8</f>
        <v>37477.352668832522</v>
      </c>
      <c r="G4" s="452">
        <f>huishoudens!G8</f>
        <v>0</v>
      </c>
      <c r="H4" s="452">
        <f>huishoudens!H8</f>
        <v>0</v>
      </c>
      <c r="I4" s="452">
        <f>huishoudens!I8</f>
        <v>0</v>
      </c>
      <c r="J4" s="452">
        <f>huishoudens!J8</f>
        <v>2557.4399343903583</v>
      </c>
      <c r="K4" s="452">
        <f>huishoudens!K8</f>
        <v>0</v>
      </c>
      <c r="L4" s="452">
        <f>huishoudens!L8</f>
        <v>0</v>
      </c>
      <c r="M4" s="452">
        <f>huishoudens!M8</f>
        <v>0</v>
      </c>
      <c r="N4" s="452">
        <f>huishoudens!N8</f>
        <v>15878.028856667042</v>
      </c>
      <c r="O4" s="452">
        <f>huishoudens!O8</f>
        <v>412.6633096325026</v>
      </c>
      <c r="P4" s="453">
        <f>huishoudens!P8</f>
        <v>621.50359915341642</v>
      </c>
      <c r="Q4" s="454">
        <f>SUM(B4:P4)</f>
        <v>169881.63079747092</v>
      </c>
    </row>
    <row r="5" spans="1:17">
      <c r="A5" s="451" t="s">
        <v>155</v>
      </c>
      <c r="B5" s="452">
        <f ca="1">tertiair!B16</f>
        <v>17530.876403000002</v>
      </c>
      <c r="C5" s="452">
        <f ca="1">tertiair!C16</f>
        <v>0</v>
      </c>
      <c r="D5" s="452">
        <f ca="1">tertiair!D16</f>
        <v>19868.024228800001</v>
      </c>
      <c r="E5" s="452">
        <f>tertiair!E16</f>
        <v>249.95384522222423</v>
      </c>
      <c r="F5" s="452">
        <f ca="1">tertiair!F16</f>
        <v>1925.3040392103071</v>
      </c>
      <c r="G5" s="452">
        <f>tertiair!G16</f>
        <v>0</v>
      </c>
      <c r="H5" s="452">
        <f>tertiair!H16</f>
        <v>0</v>
      </c>
      <c r="I5" s="452">
        <f>tertiair!I16</f>
        <v>0</v>
      </c>
      <c r="J5" s="452">
        <f>tertiair!J16</f>
        <v>2.9353328183497739E-2</v>
      </c>
      <c r="K5" s="452">
        <f>tertiair!K16</f>
        <v>0</v>
      </c>
      <c r="L5" s="452">
        <f ca="1">tertiair!L16</f>
        <v>0</v>
      </c>
      <c r="M5" s="452">
        <f>tertiair!M16</f>
        <v>0</v>
      </c>
      <c r="N5" s="452">
        <f ca="1">tertiair!N16</f>
        <v>1168.2912943386002</v>
      </c>
      <c r="O5" s="452">
        <f>tertiair!O16</f>
        <v>19.589043063364617</v>
      </c>
      <c r="P5" s="453">
        <f>tertiair!P16</f>
        <v>105.07827661299004</v>
      </c>
      <c r="Q5" s="451">
        <f t="shared" ref="Q5:Q14" ca="1" si="0">SUM(B5:P5)</f>
        <v>40867.146483575678</v>
      </c>
    </row>
    <row r="6" spans="1:17">
      <c r="A6" s="451" t="s">
        <v>193</v>
      </c>
      <c r="B6" s="452">
        <f>'openbare verlichting'!B8</f>
        <v>1350.9949999999999</v>
      </c>
      <c r="C6" s="452"/>
      <c r="D6" s="452"/>
      <c r="E6" s="452"/>
      <c r="F6" s="452"/>
      <c r="G6" s="452"/>
      <c r="H6" s="452"/>
      <c r="I6" s="452"/>
      <c r="J6" s="452"/>
      <c r="K6" s="452"/>
      <c r="L6" s="452"/>
      <c r="M6" s="452"/>
      <c r="N6" s="452"/>
      <c r="O6" s="452"/>
      <c r="P6" s="453"/>
      <c r="Q6" s="451">
        <f t="shared" si="0"/>
        <v>1350.9949999999999</v>
      </c>
    </row>
    <row r="7" spans="1:17">
      <c r="A7" s="451" t="s">
        <v>111</v>
      </c>
      <c r="B7" s="452">
        <f>landbouw!B8</f>
        <v>1028.682102</v>
      </c>
      <c r="C7" s="452">
        <f>landbouw!C8</f>
        <v>0</v>
      </c>
      <c r="D7" s="452">
        <f>landbouw!D8</f>
        <v>2180.4374273879998</v>
      </c>
      <c r="E7" s="452">
        <f>landbouw!E8</f>
        <v>32.104829185911306</v>
      </c>
      <c r="F7" s="452">
        <f>landbouw!F8</f>
        <v>3635.4765027972276</v>
      </c>
      <c r="G7" s="452">
        <f>landbouw!G8</f>
        <v>0</v>
      </c>
      <c r="H7" s="452">
        <f>landbouw!H8</f>
        <v>0</v>
      </c>
      <c r="I7" s="452">
        <f>landbouw!I8</f>
        <v>0</v>
      </c>
      <c r="J7" s="452">
        <f>landbouw!J8</f>
        <v>283.40905294885675</v>
      </c>
      <c r="K7" s="452">
        <f>landbouw!K8</f>
        <v>0</v>
      </c>
      <c r="L7" s="452">
        <f>landbouw!L8</f>
        <v>0</v>
      </c>
      <c r="M7" s="452">
        <f>landbouw!M8</f>
        <v>0</v>
      </c>
      <c r="N7" s="452">
        <f>landbouw!N8</f>
        <v>0</v>
      </c>
      <c r="O7" s="452">
        <f>landbouw!O8</f>
        <v>0</v>
      </c>
      <c r="P7" s="453">
        <f>landbouw!P8</f>
        <v>0</v>
      </c>
      <c r="Q7" s="451">
        <f t="shared" si="0"/>
        <v>7160.1099143199954</v>
      </c>
    </row>
    <row r="8" spans="1:17">
      <c r="A8" s="451" t="s">
        <v>625</v>
      </c>
      <c r="B8" s="452">
        <f>industrie!B18</f>
        <v>37632.278001999992</v>
      </c>
      <c r="C8" s="452">
        <f>industrie!C18</f>
        <v>0</v>
      </c>
      <c r="D8" s="452">
        <f>industrie!D18</f>
        <v>23154.808616962</v>
      </c>
      <c r="E8" s="452">
        <f>industrie!E18</f>
        <v>1062.8490493925196</v>
      </c>
      <c r="F8" s="452">
        <f>industrie!F18</f>
        <v>4362.264643262276</v>
      </c>
      <c r="G8" s="452">
        <f>industrie!G18</f>
        <v>0</v>
      </c>
      <c r="H8" s="452">
        <f>industrie!H18</f>
        <v>0</v>
      </c>
      <c r="I8" s="452">
        <f>industrie!I18</f>
        <v>0</v>
      </c>
      <c r="J8" s="452">
        <f>industrie!J18</f>
        <v>1292.4899446353104</v>
      </c>
      <c r="K8" s="452">
        <f>industrie!K18</f>
        <v>0</v>
      </c>
      <c r="L8" s="452">
        <f>industrie!L18</f>
        <v>0</v>
      </c>
      <c r="M8" s="452">
        <f>industrie!M18</f>
        <v>0</v>
      </c>
      <c r="N8" s="452">
        <f>industrie!N18</f>
        <v>1466.7003431576004</v>
      </c>
      <c r="O8" s="452">
        <f>industrie!O18</f>
        <v>0</v>
      </c>
      <c r="P8" s="453">
        <f>industrie!P18</f>
        <v>0</v>
      </c>
      <c r="Q8" s="451">
        <f t="shared" si="0"/>
        <v>68971.3905994097</v>
      </c>
    </row>
    <row r="9" spans="1:17" s="457" customFormat="1">
      <c r="A9" s="455" t="s">
        <v>551</v>
      </c>
      <c r="B9" s="456">
        <f>transport!B14</f>
        <v>137.63136369993393</v>
      </c>
      <c r="C9" s="456">
        <f>transport!C14</f>
        <v>0</v>
      </c>
      <c r="D9" s="456">
        <f>transport!D14</f>
        <v>488.89801593268697</v>
      </c>
      <c r="E9" s="456">
        <f>transport!E14</f>
        <v>473.73095297940046</v>
      </c>
      <c r="F9" s="456">
        <f>transport!F14</f>
        <v>0</v>
      </c>
      <c r="G9" s="456">
        <f>transport!G14</f>
        <v>224476.31718413325</v>
      </c>
      <c r="H9" s="456">
        <f>transport!H14</f>
        <v>46795.231590582829</v>
      </c>
      <c r="I9" s="456">
        <f>transport!I14</f>
        <v>0</v>
      </c>
      <c r="J9" s="456">
        <f>transport!J14</f>
        <v>0</v>
      </c>
      <c r="K9" s="456">
        <f>transport!K14</f>
        <v>0</v>
      </c>
      <c r="L9" s="456">
        <f>transport!L14</f>
        <v>0</v>
      </c>
      <c r="M9" s="456">
        <f>transport!M14</f>
        <v>16037.536714880229</v>
      </c>
      <c r="N9" s="456">
        <f>transport!N14</f>
        <v>0</v>
      </c>
      <c r="O9" s="456">
        <f>transport!O14</f>
        <v>0</v>
      </c>
      <c r="P9" s="456">
        <f>transport!P14</f>
        <v>0</v>
      </c>
      <c r="Q9" s="455">
        <f>SUM(B9:P9)</f>
        <v>288409.34582220833</v>
      </c>
    </row>
    <row r="10" spans="1:17">
      <c r="A10" s="451" t="s">
        <v>541</v>
      </c>
      <c r="B10" s="452">
        <f>transport!B54</f>
        <v>0</v>
      </c>
      <c r="C10" s="452">
        <f>transport!C54</f>
        <v>0</v>
      </c>
      <c r="D10" s="452">
        <f>transport!D54</f>
        <v>0</v>
      </c>
      <c r="E10" s="452">
        <f>transport!E54</f>
        <v>0</v>
      </c>
      <c r="F10" s="452">
        <f>transport!F54</f>
        <v>0</v>
      </c>
      <c r="G10" s="452">
        <f>transport!G54</f>
        <v>1056.4503149115001</v>
      </c>
      <c r="H10" s="452">
        <f>transport!H54</f>
        <v>0</v>
      </c>
      <c r="I10" s="452">
        <f>transport!I54</f>
        <v>0</v>
      </c>
      <c r="J10" s="452">
        <f>transport!J54</f>
        <v>0</v>
      </c>
      <c r="K10" s="452">
        <f>transport!K54</f>
        <v>0</v>
      </c>
      <c r="L10" s="452">
        <f>transport!L54</f>
        <v>0</v>
      </c>
      <c r="M10" s="452">
        <f>transport!M54</f>
        <v>58.708387369959993</v>
      </c>
      <c r="N10" s="452">
        <f>transport!N54</f>
        <v>0</v>
      </c>
      <c r="O10" s="452">
        <f>transport!O54</f>
        <v>0</v>
      </c>
      <c r="P10" s="453">
        <f>transport!P54</f>
        <v>0</v>
      </c>
      <c r="Q10" s="451">
        <f t="shared" si="0"/>
        <v>1115.1587022814601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943.85546099999999</v>
      </c>
      <c r="C14" s="459"/>
      <c r="D14" s="459">
        <f>'SEAP template'!E25</f>
        <v>1672.640742</v>
      </c>
      <c r="E14" s="459"/>
      <c r="F14" s="459"/>
      <c r="G14" s="459"/>
      <c r="H14" s="459"/>
      <c r="I14" s="459"/>
      <c r="J14" s="459"/>
      <c r="K14" s="459"/>
      <c r="L14" s="459"/>
      <c r="M14" s="459"/>
      <c r="N14" s="459"/>
      <c r="O14" s="459"/>
      <c r="P14" s="460"/>
      <c r="Q14" s="451">
        <f t="shared" si="0"/>
        <v>2616.4962030000002</v>
      </c>
    </row>
    <row r="15" spans="1:17" s="463" customFormat="1">
      <c r="A15" s="461" t="s">
        <v>545</v>
      </c>
      <c r="B15" s="462">
        <f ca="1">SUM(B4:B14)</f>
        <v>97871.274491234304</v>
      </c>
      <c r="C15" s="462">
        <f t="shared" ref="C15:Q15" ca="1" si="1">SUM(C4:C14)</f>
        <v>0</v>
      </c>
      <c r="D15" s="462">
        <f t="shared" ca="1" si="1"/>
        <v>99532.502741302684</v>
      </c>
      <c r="E15" s="462">
        <f t="shared" si="1"/>
        <v>23338.631235820743</v>
      </c>
      <c r="F15" s="462">
        <f t="shared" ca="1" si="1"/>
        <v>47400.397854102332</v>
      </c>
      <c r="G15" s="462">
        <f t="shared" si="1"/>
        <v>225532.76749904474</v>
      </c>
      <c r="H15" s="462">
        <f t="shared" si="1"/>
        <v>46795.231590582829</v>
      </c>
      <c r="I15" s="462">
        <f t="shared" si="1"/>
        <v>0</v>
      </c>
      <c r="J15" s="462">
        <f t="shared" si="1"/>
        <v>4133.3682853027085</v>
      </c>
      <c r="K15" s="462">
        <f t="shared" si="1"/>
        <v>0</v>
      </c>
      <c r="L15" s="462">
        <f t="shared" ca="1" si="1"/>
        <v>0</v>
      </c>
      <c r="M15" s="462">
        <f t="shared" si="1"/>
        <v>16096.245102250188</v>
      </c>
      <c r="N15" s="462">
        <f t="shared" ca="1" si="1"/>
        <v>18513.020494163244</v>
      </c>
      <c r="O15" s="462">
        <f t="shared" si="1"/>
        <v>432.25235269586722</v>
      </c>
      <c r="P15" s="462">
        <f t="shared" si="1"/>
        <v>726.58187576640648</v>
      </c>
      <c r="Q15" s="462">
        <f t="shared" ca="1" si="1"/>
        <v>580372.27352226607</v>
      </c>
    </row>
    <row r="17" spans="1:17">
      <c r="A17" s="464" t="s">
        <v>546</v>
      </c>
      <c r="B17" s="781">
        <f ca="1">huishoudens!B10</f>
        <v>0.20186069090363254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7922.4176862281829</v>
      </c>
      <c r="C22" s="452">
        <f t="shared" ref="C22:C32" ca="1" si="3">C4*$C$17</f>
        <v>0</v>
      </c>
      <c r="D22" s="452">
        <f t="shared" ref="D22:D32" si="4">D4*$D$17</f>
        <v>10537.874129464441</v>
      </c>
      <c r="E22" s="452">
        <f t="shared" ref="E22:E32" si="5">E4*$E$17</f>
        <v>4885.0383109022359</v>
      </c>
      <c r="F22" s="452">
        <f t="shared" ref="F22:F32" si="6">F4*$F$17</f>
        <v>10006.453162578284</v>
      </c>
      <c r="G22" s="452">
        <f t="shared" ref="G22:G32" si="7">G4*$G$17</f>
        <v>0</v>
      </c>
      <c r="H22" s="452">
        <f t="shared" ref="H22:H32" si="8">H4*$H$17</f>
        <v>0</v>
      </c>
      <c r="I22" s="452">
        <f t="shared" ref="I22:I32" si="9">I4*$I$17</f>
        <v>0</v>
      </c>
      <c r="J22" s="452">
        <f t="shared" ref="J22:J32" si="10">J4*$J$17</f>
        <v>905.33373677418683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34257.117025947329</v>
      </c>
    </row>
    <row r="23" spans="1:17">
      <c r="A23" s="451" t="s">
        <v>155</v>
      </c>
      <c r="B23" s="452">
        <f t="shared" ca="1" si="2"/>
        <v>3538.7948228557689</v>
      </c>
      <c r="C23" s="452">
        <f t="shared" ca="1" si="3"/>
        <v>0</v>
      </c>
      <c r="D23" s="452">
        <f t="shared" ca="1" si="4"/>
        <v>4013.3408942176006</v>
      </c>
      <c r="E23" s="452">
        <f t="shared" si="5"/>
        <v>56.739522865444904</v>
      </c>
      <c r="F23" s="452">
        <f t="shared" ca="1" si="6"/>
        <v>514.05617846915197</v>
      </c>
      <c r="G23" s="452">
        <f t="shared" si="7"/>
        <v>0</v>
      </c>
      <c r="H23" s="452">
        <f t="shared" si="8"/>
        <v>0</v>
      </c>
      <c r="I23" s="452">
        <f t="shared" si="9"/>
        <v>0</v>
      </c>
      <c r="J23" s="452">
        <f t="shared" si="10"/>
        <v>1.03910781769582E-2</v>
      </c>
      <c r="K23" s="452">
        <f t="shared" si="11"/>
        <v>0</v>
      </c>
      <c r="L23" s="452">
        <f t="shared" ca="1" si="12"/>
        <v>0</v>
      </c>
      <c r="M23" s="452">
        <f t="shared" si="13"/>
        <v>0</v>
      </c>
      <c r="N23" s="452">
        <f t="shared" ca="1" si="14"/>
        <v>0</v>
      </c>
      <c r="O23" s="452">
        <f t="shared" si="15"/>
        <v>0</v>
      </c>
      <c r="P23" s="453">
        <f t="shared" si="16"/>
        <v>0</v>
      </c>
      <c r="Q23" s="451">
        <f t="shared" ref="Q23:Q31" ca="1" si="17">SUM(B23:P23)</f>
        <v>8122.9418094861439</v>
      </c>
    </row>
    <row r="24" spans="1:17">
      <c r="A24" s="451" t="s">
        <v>193</v>
      </c>
      <c r="B24" s="452">
        <f t="shared" ca="1" si="2"/>
        <v>272.712784107353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272.712784107353</v>
      </c>
    </row>
    <row r="25" spans="1:17">
      <c r="A25" s="451" t="s">
        <v>111</v>
      </c>
      <c r="B25" s="452">
        <f t="shared" ca="1" si="2"/>
        <v>207.65047982992101</v>
      </c>
      <c r="C25" s="452">
        <f t="shared" ca="1" si="3"/>
        <v>0</v>
      </c>
      <c r="D25" s="452">
        <f t="shared" si="4"/>
        <v>440.44836033237601</v>
      </c>
      <c r="E25" s="452">
        <f t="shared" si="5"/>
        <v>7.2877962252018671</v>
      </c>
      <c r="F25" s="452">
        <f t="shared" si="6"/>
        <v>970.67222624685985</v>
      </c>
      <c r="G25" s="452">
        <f t="shared" si="7"/>
        <v>0</v>
      </c>
      <c r="H25" s="452">
        <f t="shared" si="8"/>
        <v>0</v>
      </c>
      <c r="I25" s="452">
        <f t="shared" si="9"/>
        <v>0</v>
      </c>
      <c r="J25" s="452">
        <f t="shared" si="10"/>
        <v>100.32680474389528</v>
      </c>
      <c r="K25" s="452">
        <f t="shared" si="11"/>
        <v>0</v>
      </c>
      <c r="L25" s="452">
        <f t="shared" si="12"/>
        <v>0</v>
      </c>
      <c r="M25" s="452">
        <f t="shared" si="13"/>
        <v>0</v>
      </c>
      <c r="N25" s="452">
        <f t="shared" si="14"/>
        <v>0</v>
      </c>
      <c r="O25" s="452">
        <f t="shared" si="15"/>
        <v>0</v>
      </c>
      <c r="P25" s="453">
        <f t="shared" si="16"/>
        <v>0</v>
      </c>
      <c r="Q25" s="451">
        <f t="shared" ca="1" si="17"/>
        <v>1726.3856673782541</v>
      </c>
    </row>
    <row r="26" spans="1:17">
      <c r="A26" s="451" t="s">
        <v>625</v>
      </c>
      <c r="B26" s="452">
        <f t="shared" ca="1" si="2"/>
        <v>7596.4776377612907</v>
      </c>
      <c r="C26" s="452">
        <f t="shared" ca="1" si="3"/>
        <v>0</v>
      </c>
      <c r="D26" s="452">
        <f t="shared" si="4"/>
        <v>4677.2713406263247</v>
      </c>
      <c r="E26" s="452">
        <f t="shared" si="5"/>
        <v>241.26673421210197</v>
      </c>
      <c r="F26" s="452">
        <f t="shared" si="6"/>
        <v>1164.7246597510277</v>
      </c>
      <c r="G26" s="452">
        <f t="shared" si="7"/>
        <v>0</v>
      </c>
      <c r="H26" s="452">
        <f t="shared" si="8"/>
        <v>0</v>
      </c>
      <c r="I26" s="452">
        <f t="shared" si="9"/>
        <v>0</v>
      </c>
      <c r="J26" s="452">
        <f t="shared" si="10"/>
        <v>457.54144040089983</v>
      </c>
      <c r="K26" s="452">
        <f t="shared" si="11"/>
        <v>0</v>
      </c>
      <c r="L26" s="452">
        <f t="shared" si="12"/>
        <v>0</v>
      </c>
      <c r="M26" s="452">
        <f t="shared" si="13"/>
        <v>0</v>
      </c>
      <c r="N26" s="452">
        <f t="shared" si="14"/>
        <v>0</v>
      </c>
      <c r="O26" s="452">
        <f t="shared" si="15"/>
        <v>0</v>
      </c>
      <c r="P26" s="453">
        <f t="shared" si="16"/>
        <v>0</v>
      </c>
      <c r="Q26" s="451">
        <f t="shared" ca="1" si="17"/>
        <v>14137.281812751646</v>
      </c>
    </row>
    <row r="27" spans="1:17" s="457" customFormat="1">
      <c r="A27" s="455" t="s">
        <v>551</v>
      </c>
      <c r="B27" s="775">
        <f t="shared" ca="1" si="2"/>
        <v>27.782362166477796</v>
      </c>
      <c r="C27" s="456">
        <f t="shared" ca="1" si="3"/>
        <v>0</v>
      </c>
      <c r="D27" s="456">
        <f t="shared" si="4"/>
        <v>98.757399218402782</v>
      </c>
      <c r="E27" s="456">
        <f t="shared" si="5"/>
        <v>107.53692632632391</v>
      </c>
      <c r="F27" s="456">
        <f t="shared" si="6"/>
        <v>0</v>
      </c>
      <c r="G27" s="456">
        <f t="shared" si="7"/>
        <v>59935.176688163585</v>
      </c>
      <c r="H27" s="456">
        <f t="shared" si="8"/>
        <v>11652.012666055125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71821.266041929921</v>
      </c>
    </row>
    <row r="28" spans="1:17" ht="16.5" customHeight="1">
      <c r="A28" s="451" t="s">
        <v>541</v>
      </c>
      <c r="B28" s="452">
        <f t="shared" ca="1" si="2"/>
        <v>0</v>
      </c>
      <c r="C28" s="452">
        <f t="shared" ca="1" si="3"/>
        <v>0</v>
      </c>
      <c r="D28" s="452">
        <f t="shared" si="4"/>
        <v>0</v>
      </c>
      <c r="E28" s="452">
        <f t="shared" si="5"/>
        <v>0</v>
      </c>
      <c r="F28" s="452">
        <f t="shared" si="6"/>
        <v>0</v>
      </c>
      <c r="G28" s="452">
        <f t="shared" si="7"/>
        <v>282.07223408137054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282.07223408137054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190.5273154706266</v>
      </c>
      <c r="C32" s="452">
        <f t="shared" ca="1" si="3"/>
        <v>0</v>
      </c>
      <c r="D32" s="452">
        <f t="shared" si="4"/>
        <v>337.87342988400002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528.40074535462668</v>
      </c>
    </row>
    <row r="33" spans="1:17" s="463" customFormat="1">
      <c r="A33" s="461" t="s">
        <v>545</v>
      </c>
      <c r="B33" s="462">
        <f ca="1">SUM(B22:B32)</f>
        <v>19756.363088419621</v>
      </c>
      <c r="C33" s="462">
        <f t="shared" ref="C33:Q33" ca="1" si="19">SUM(C22:C32)</f>
        <v>0</v>
      </c>
      <c r="D33" s="462">
        <f t="shared" ca="1" si="19"/>
        <v>20105.565553743145</v>
      </c>
      <c r="E33" s="462">
        <f t="shared" si="19"/>
        <v>5297.8692905313083</v>
      </c>
      <c r="F33" s="462">
        <f t="shared" ca="1" si="19"/>
        <v>12655.906227045323</v>
      </c>
      <c r="G33" s="462">
        <f t="shared" si="19"/>
        <v>60217.248922244959</v>
      </c>
      <c r="H33" s="462">
        <f t="shared" si="19"/>
        <v>11652.012666055125</v>
      </c>
      <c r="I33" s="462">
        <f t="shared" si="19"/>
        <v>0</v>
      </c>
      <c r="J33" s="462">
        <f t="shared" si="19"/>
        <v>1463.212372997159</v>
      </c>
      <c r="K33" s="462">
        <f t="shared" si="19"/>
        <v>0</v>
      </c>
      <c r="L33" s="462">
        <f t="shared" ca="1" si="19"/>
        <v>0</v>
      </c>
      <c r="M33" s="462">
        <f t="shared" si="19"/>
        <v>0</v>
      </c>
      <c r="N33" s="462">
        <f t="shared" ca="1" si="19"/>
        <v>0</v>
      </c>
      <c r="O33" s="462">
        <f t="shared" si="19"/>
        <v>0</v>
      </c>
      <c r="P33" s="462">
        <f t="shared" si="19"/>
        <v>0</v>
      </c>
      <c r="Q33" s="462">
        <f t="shared" ca="1" si="19"/>
        <v>131148.17812103665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8475.9663988378124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8475.9663988378124</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0.20186069090363254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0.20186069090363254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2020-06-20T15:34:59Z</dcterms:modified>
</cp:coreProperties>
</file>