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E27" i="14"/>
  <c r="O33" i="48"/>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7" i="19"/>
  <c r="C19" i="19" s="1"/>
  <c r="D39" i="14" s="1"/>
  <c r="C18" i="15"/>
  <c r="C20" i="15" s="1"/>
  <c r="D40" i="14" s="1"/>
  <c r="C10" i="13"/>
  <c r="C12" i="13" s="1"/>
  <c r="D41" i="14" s="1"/>
  <c r="D46" i="14" s="1"/>
  <c r="D61" i="14" s="1"/>
  <c r="D63" i="14" s="1"/>
  <c r="C29" i="20"/>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<sst xmlns="http://schemas.openxmlformats.org/spreadsheetml/2006/main" count="2420" uniqueCount="898">
  <si>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</si>
  <si>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</si>
  <si>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</si>
  <si>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</si>
  <si>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</si>
  <si>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</si>
  <si>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</si>
  <si>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</si>
  <si>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</si>
  <si>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</si>
  <si>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</si>
  <si>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</si>
  <si>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</si>
  <si>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</si>
  <si>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</si>
  <si>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</si>
  <si>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</si>
  <si>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</si>
  <si>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</si>
  <si>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</si>
  <si>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</si>
  <si>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</si>
  <si>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</si>
  <si>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</si>
  <si>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</si>
  <si>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</si>
  <si>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</si>
  <si>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</si>
  <si>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</si>
  <si>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</si>
  <si>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</si>
  <si>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</si>
  <si>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</si>
  <si>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</si>
  <si>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</si>
  <si>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</si>
  <si>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</si>
  <si>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</si>
  <si>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</si>
  <si>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</si>
  <si>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</si>
  <si>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</si>
  <si>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</si>
  <si>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</si>
  <si>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</si>
  <si>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</si>
  <si>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</si>
  <si>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</si>
  <si>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</si>
  <si>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</si>
  <si>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</si>
  <si>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</si>
  <si>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</si>
  <si>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</si>
  <si>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</si>
  <si>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</si>
  <si>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</si>
  <si>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</si>
  <si>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</si>
  <si>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</si>
  <si>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</si>
  <si>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</si>
  <si>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</si>
  <si>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</si>
  <si>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</si>
  <si>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</si>
  <si>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</si>
  <si>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</si>
  <si>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</si>
  <si>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</si>
  <si>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</si>
  <si>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</si>
  <si>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</si>
  <si>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</si>
  <si>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</si>
  <si>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</si>
  <si>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</si>
  <si>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</si>
  <si>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</si>
  <si>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</si>
  <si>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</si>
  <si>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</si>
  <si>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</si>
  <si>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</si>
  <si>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</si>
  <si>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</si>
  <si>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</si>
  <si>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</si>
  <si>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</si>
  <si>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</si>
  <si>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</si>
  <si>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</si>
  <si>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</si>
  <si>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</si>
  <si>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</si>
  <si>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</si>
  <si>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</si>
  <si>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</si>
  <si>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</si>
  <si>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</si>
  <si>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</si>
  <si>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</si>
  <si>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</si>
  <si>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</si>
  <si>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</si>
  <si>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</si>
  <si>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</si>
  <si>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</si>
  <si>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</si>
  <si>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</si>
  <si>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</si>
  <si>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</si>
  <si>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</si>
  <si>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</si>
  <si>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</si>
  <si>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</si>
  <si>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</si>
  <si>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</si>
  <si>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</si>
  <si>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</si>
  <si>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</si>
  <si>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</si>
  <si>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</si>
  <si>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</si>
  <si>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</si>
  <si>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</si>
  <si>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</si>
  <si>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</si>
  <si>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</si>
  <si>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</si>
  <si>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</si>
  <si>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</si>
  <si>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</si>
  <si>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</si>
  <si>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</si>
  <si>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</si>
  <si>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</si>
  <si>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</si>
  <si>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</si>
  <si>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</si>
  <si>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</si>
  <si>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</si>
  <si>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</si>
  <si>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</si>
  <si>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</si>
  <si>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</si>
  <si>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</si>
  <si>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</si>
  <si>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</si>
  <si>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</si>
  <si>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</si>
  <si>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</si>
  <si>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</si>
  <si>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</si>
  <si>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</si>
  <si>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</si>
  <si>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</si>
  <si>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</si>
  <si>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</si>
  <si>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</si>
  <si>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</si>
  <si>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</si>
  <si>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</si>
  <si>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</si>
  <si>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</si>
  <si>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</si>
  <si>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</si>
  <si>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</si>
  <si>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</si>
  <si>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</si>
  <si>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</si>
  <si>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</si>
  <si>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</si>
  <si>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</si>
  <si>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</si>
  <si>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</si>
  <si>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</si>
  <si>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</si>
  <si>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</si>
  <si>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</si>
  <si>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</si>
  <si>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</si>
  <si>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</si>
  <si>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</si>
  <si>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</si>
  <si>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</si>
  <si>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</si>
  <si>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</si>
  <si>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</si>
  <si>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</si>
  <si>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</si>
  <si>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</si>
  <si>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</si>
  <si>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</si>
  <si>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</si>
  <si>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</si>
  <si>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</si>
  <si>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</si>
  <si>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</si>
  <si>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</si>
  <si>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</si>
  <si>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</si>
  <si>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</si>
  <si>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</si>
  <si>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</si>
  <si>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</si>
  <si>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</si>
  <si>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</si>
  <si>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</si>
  <si>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</si>
  <si>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</si>
  <si>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</si>
  <si>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</si>
  <si>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</si>
  <si>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</si>
  <si>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</si>
  <si>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</si>
  <si>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</si>
  <si>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</si>
  <si>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</si>
  <si>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</si>
  <si>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</si>
  <si>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</si>
  <si>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</si>
  <si>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</si>
  <si>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</si>
  <si>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</si>
  <si>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</si>
  <si>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</si>
  <si>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</si>
  <si>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</si>
  <si>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</si>
  <si>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</si>
  <si>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</si>
  <si>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</si>
  <si>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</si>
  <si>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</si>
  <si>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</si>
  <si>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</si>
  <si>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</si>
  <si>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</si>
  <si>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</si>
  <si>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</si>
  <si>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</si>
  <si>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</si>
  <si>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</si>
  <si>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</si>
  <si>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</si>
  <si>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</si>
  <si>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</si>
  <si>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</si>
  <si>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</si>
  <si>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</si>
  <si>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</si>
  <si>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</si>
  <si>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</si>
  <si>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</si>
  <si>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</si>
  <si>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</si>
  <si>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</si>
  <si>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</si>
  <si>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</si>
  <si>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</si>
  <si>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</si>
  <si>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</si>
  <si>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</si>
  <si>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</si>
  <si>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</si>
  <si>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</si>
  <si>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</si>
  <si>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</si>
  <si>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</si>
  <si>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</si>
  <si>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</si>
  <si>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</si>
  <si>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</si>
  <si>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</si>
  <si>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</si>
  <si>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</si>
  <si>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</si>
  <si>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</si>
  <si>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</si>
  <si>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</si>
  <si>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</si>
  <si>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</si>
  <si>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</si>
  <si>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</si>
  <si>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</si>
  <si>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</si>
  <si>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</si>
  <si>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</si>
  <si>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</si>
  <si>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</si>
  <si>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</si>
  <si>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</si>
  <si>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</si>
  <si>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</si>
  <si>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</si>
  <si>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</si>
  <si>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</si>
  <si>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</si>
  <si>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</si>
  <si>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</si>
  <si>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</si>
  <si>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</si>
  <si>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</si>
  <si>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</si>
  <si>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</si>
  <si>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</si>
  <si>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</si>
  <si>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</si>
  <si>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</si>
  <si>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</si>
  <si>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</si>
  <si>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</si>
  <si>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</si>
  <si>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</si>
  <si>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</si>
  <si>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</si>
  <si>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</si>
  <si>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</si>
  <si>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</si>
  <si>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</si>
  <si>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</si>
  <si>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</si>
  <si>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</si>
  <si>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</si>
  <si>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</si>
  <si>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</si>
  <si>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</si>
  <si>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</si>
  <si>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</si>
  <si>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</si>
  <si>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</si>
  <si>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</si>
  <si>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</si>
  <si>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</si>
  <si>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</si>
  <si>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</si>
  <si>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</si>
  <si>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</si>
  <si>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</si>
  <si>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</si>
  <si>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</si>
  <si>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</si>
  <si>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</si>
  <si>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</si>
  <si>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</si>
  <si>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</si>
  <si>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</si>
  <si>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</si>
  <si>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</si>
  <si>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</si>
  <si>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</si>
  <si>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</si>
  <si>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</si>
  <si>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</si>
  <si>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</si>
  <si>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</si>
  <si>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</si>
  <si>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</si>
  <si>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</si>
  <si>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</si>
  <si>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</si>
  <si>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</si>
  <si>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</si>
  <si>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</si>
  <si>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</si>
  <si>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</si>
  <si>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</si>
  <si>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</si>
  <si>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</si>
  <si>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</si>
  <si>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</si>
  <si>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</si>
  <si>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</si>
  <si>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</si>
  <si>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</si>
  <si>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</si>
  <si>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</si>
  <si>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</si>
  <si>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</si>
  <si>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</si>
  <si>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</si>
  <si>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</si>
  <si>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</si>
  <si>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</si>
  <si>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</si>
  <si>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</si>
  <si>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</si>
  <si>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</si>
  <si>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</si>
  <si>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</si>
  <si>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</si>
  <si>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</si>
  <si>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</si>
  <si>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</si>
  <si>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</si>
  <si>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</si>
  <si>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</si>
  <si>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</si>
  <si>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</si>
  <si>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</si>
  <si>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</si>
  <si>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</si>
  <si>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</si>
  <si>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</si>
  <si>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</si>
  <si>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</si>
  <si>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</si>
  <si>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</si>
  <si>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</si>
  <si>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</si>
  <si>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</si>
  <si>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</si>
  <si>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</si>
  <si>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</si>
  <si>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</si>
  <si>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</si>
  <si>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</si>
  <si>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</si>
  <si>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</si>
  <si>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</si>
  <si>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</si>
  <si>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</si>
  <si>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</si>
  <si>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</si>
  <si>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</si>
  <si>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</si>
  <si>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</si>
  <si>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</si>
  <si>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</si>
  <si>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</si>
  <si>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</si>
  <si>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</si>
  <si>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</si>
  <si>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</si>
  <si>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</si>
  <si>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</si>
  <si>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</si>
  <si>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</si>
  <si>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</si>
  <si>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</si>
  <si>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</si>
  <si>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</si>
  <si>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</si>
  <si>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</si>
  <si>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</si>
  <si>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</si>
  <si>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</si>
  <si>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</si>
  <si>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</si>
  <si>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</si>
  <si>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</si>
  <si>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</si>
  <si>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</si>
  <si>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</si>
  <si>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</si>
  <si>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</si>
  <si>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</si>
  <si>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</si>
  <si>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</si>
  <si>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</si>
  <si>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</si>
  <si>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</si>
  <si>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</si>
  <si>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</si>
  <si>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</si>
  <si>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</si>
  <si>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</si>
  <si>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</si>
  <si>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</si>
  <si>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</si>
  <si>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</si>
  <si>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</si>
  <si>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</si>
  <si>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</si>
  <si>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</si>
  <si>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</si>
  <si>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</si>
  <si>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</si>
  <si>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</si>
  <si>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</si>
  <si>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</si>
  <si>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</si>
  <si>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</si>
  <si>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</si>
  <si>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</si>
  <si>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</si>
  <si>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</si>
  <si>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</si>
  <si>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</si>
  <si>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</si>
  <si>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</si>
  <si>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</si>
  <si>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</si>
  <si>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</si>
  <si>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</si>
  <si>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</si>
  <si>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</si>
  <si>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</si>
  <si>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</si>
  <si>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</si>
  <si>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</si>
  <si>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</si>
  <si>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</si>
  <si>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</si>
  <si>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</si>
  <si>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</si>
  <si>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</si>
  <si>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</si>
  <si>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</si>
  <si>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</si>
  <si>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</si>
  <si>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</si>
  <si>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</si>
  <si>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</si>
  <si>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</si>
  <si>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</si>
  <si>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</si>
  <si>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</si>
  <si>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</si>
  <si>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</si>
  <si>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</si>
  <si>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</si>
  <si>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</si>
  <si>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</si>
  <si>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</si>
  <si>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</si>
  <si>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</si>
  <si>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</si>
  <si>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</si>
  <si>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</si>
  <si>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</si>
  <si>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</si>
  <si>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</si>
  <si>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</si>
  <si>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</si>
  <si>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</si>
  <si>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</si>
  <si>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</si>
  <si>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</si>
  <si>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</si>
  <si>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</si>
  <si>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</si>
  <si>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</si>
  <si>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</si>
  <si>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</si>
  <si>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</si>
  <si>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</si>
  <si>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</si>
  <si>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</si>
  <si>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</si>
  <si>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</si>
  <si>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</si>
  <si>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</si>
  <si>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</si>
  <si>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</si>
  <si>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</si>
  <si>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</si>
  <si>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</si>
  <si>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</si>
  <si>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</si>
  <si>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</si>
  <si>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</si>
  <si>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</si>
  <si>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</si>
  <si>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</si>
  <si>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</si>
  <si>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</si>
  <si>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</si>
  <si>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</si>
  <si>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</si>
  <si>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</si>
  <si>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</si>
  <si>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</si>
  <si>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</si>
  <si>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</si>
  <si>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</si>
  <si>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</si>
  <si>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</si>
  <si>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</si>
  <si>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</si>
  <si>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</si>
  <si>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</si>
  <si>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</si>
  <si>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</si>
  <si>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</si>
  <si>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</si>
  <si>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</si>
  <si>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</si>
  <si>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</si>
  <si>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</si>
  <si>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</si>
  <si>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</si>
  <si>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</si>
  <si>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</si>
  <si>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</si>
  <si>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</si>
  <si>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</si>
  <si>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</si>
  <si>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</si>
  <si>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</si>
  <si>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</si>
  <si>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</si>
  <si>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</si>
  <si>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</si>
  <si>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</si>
  <si>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</si>
  <si>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</si>
  <si>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</si>
  <si>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</si>
  <si>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</si>
  <si>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</si>
  <si>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</si>
  <si>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</si>
  <si>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</si>
  <si>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</si>
  <si>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</si>
  <si>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</si>
  <si>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</si>
  <si>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</si>
  <si>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</si>
  <si>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</si>
  <si>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</si>
  <si>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</si>
  <si>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</si>
  <si>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</si>
  <si>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</si>
  <si>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</si>
  <si>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</si>
  <si>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</si>
  <si>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</si>
  <si>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</si>
  <si>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</si>
  <si>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</si>
  <si>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</si>
  <si>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</si>
  <si>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</si>
  <si>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</si>
  <si>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</si>
  <si>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</si>
  <si>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</si>
  <si>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</si>
  <si>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</si>
  <si>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</si>
  <si>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</si>
  <si>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</si>
  <si>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</si>
  <si>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</si>
  <si>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</si>
  <si>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</si>
  <si>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</si>
  <si>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</si>
  <si>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</si>
  <si>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</si>
  <si>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</si>
  <si>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</si>
  <si>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</si>
  <si>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</si>
  <si>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</si>
  <si>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</si>
  <si>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</si>
  <si>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</si>
  <si>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</si>
  <si>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</si>
  <si>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</si>
  <si>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</si>
  <si>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</si>
  <si>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</si>
  <si>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</si>
  <si>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</si>
  <si>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</si>
  <si>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</si>
  <si>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</si>
  <si>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</si>
  <si>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</si>
  <si>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</si>
  <si>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</si>
  <si>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</si>
  <si>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</si>
  <si>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</si>
  <si>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</si>
  <si>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</si>
  <si>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</si>
  <si>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</si>
  <si>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</si>
  <si>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</si>
  <si>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</si>
  <si>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</si>
  <si>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</si>
  <si>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</si>
  <si>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</si>
  <si>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</si>
  <si>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</si>
  <si>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</si>
  <si>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</si>
  <si>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</si>
  <si>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</si>
  <si>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</si>
  <si>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</si>
  <si>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</si>
  <si>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</si>
  <si>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</si>
  <si>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</si>
  <si>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</si>
  <si>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</si>
  <si>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</si>
  <si>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</si>
  <si>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</si>
  <si>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</si>
  <si>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</si>
  <si>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</si>
  <si>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</si>
  <si>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</si>
  <si>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</si>
  <si>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</si>
  <si>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</si>
  <si>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</si>
  <si>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</si>
  <si>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</si>
  <si>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</si>
  <si>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</si>
  <si>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</si>
  <si>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</si>
  <si>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</si>
  <si>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</si>
  <si>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</si>
  <si>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</si>
  <si>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</si>
  <si>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</si>
  <si>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</si>
  <si>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</si>
  <si>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</si>
  <si>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</si>
  <si>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</si>
  <si>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</si>
  <si>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</si>
  <si>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</si>
  <si>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</si>
  <si>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</si>
  <si>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</si>
  <si>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</si>
  <si>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</si>
  <si>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</si>
  <si>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</si>
  <si>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</si>
  <si>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</si>
  <si>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</si>
  <si>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</si>
  <si>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</si>
  <si>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</si>
  <si>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</si>
  <si>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</si>
  <si>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</si>
  <si>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</si>
  <si>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</si>
  <si>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</si>
  <si>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</si>
  <si>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</si>
  <si>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</si>
  <si>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</si>
  <si>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</si>
  <si>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</si>
  <si>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</si>
  <si>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</si>
  <si>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</si>
  <si>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</si>
  <si>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</si>
  <si>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</si>
  <si>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</si>
  <si>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</si>
  <si>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</si>
  <si>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</si>
  <si>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</si>
  <si>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</si>
  <si>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</si>
  <si>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</si>
  <si>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</si>
  <si>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</si>
  <si>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</si>
  <si>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</si>
  <si>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</si>
  <si>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</si>
  <si>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</si>
  <si>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</si>
  <si>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</si>
  <si>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</si>
  <si>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</si>
  <si>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</si>
  <si>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</si>
  <si>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</si>
  <si>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</si>
  <si>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</si>
  <si>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</si>
  <si>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</si>
  <si>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</si>
  <si>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</si>
  <si>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</si>
  <si>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</si>
  <si>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</si>
  <si>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</si>
  <si>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</si>
  <si>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</si>
  <si>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</si>
  <si>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</si>
  <si>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</si>
  <si>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</si>
  <si>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</si>
  <si>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</si>
  <si>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</si>
  <si>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</si>
  <si>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</si>
  <si>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</si>
  <si>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</si>
  <si>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</si>
  <si>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</si>
  <si>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</si>
  <si>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</si>
  <si>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</si>
  <si>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</si>
  <si>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</si>
  <si>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</si>
  <si>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</si>
  <si>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</si>
  <si>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</si>
  <si>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</si>
  <si>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</si>
  <si>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</si>
  <si>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</si>
  <si>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</si>
  <si>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</si>
  <si>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</si>
  <si>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</si>
  <si>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</si>
  <si>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</si>
  <si>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</si>
  <si>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</si>
  <si>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</si>
  <si>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</si>
  <si>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</si>
  <si>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</si>
  <si>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</si>
  <si>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</si>
  <si>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</si>
  <si>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</si>
  <si>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</si>
  <si>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</si>
  <si>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</si>
  <si>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</si>
  <si>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</si>
  <si>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</si>
  <si>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</si>
  <si>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</si>
  <si>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</si>
  <si>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</si>
  <si>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</si>
  <si>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</si>
  <si>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</si>
  <si>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</si>
  <si>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</si>
  <si>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</si>
  <si>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</si>
  <si>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</si>
  <si>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</si>
  <si>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</si>
  <si>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</si>
  <si>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</si>
  <si>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</si>
  <si>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</si>
  <si>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</si>
  <si>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</si>
  <si>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</si>
  <si>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</si>
  <si>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</si>
  <si>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</si>
  <si>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</si>
  <si>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</si>
  <si>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</si>
  <si>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</si>
  <si>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</si>
  <si>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</si>
  <si>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</si>
  <si>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</si>
  <si>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</si>
  <si>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41027</t>
  </si>
  <si>
    <t>HERZELE</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</si>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</sst>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153878.58581301945</c:v>
                </c:pt>
                <c:pt idx="1">
                  <c:v>21600.81636047961</c:v>
                </c:pt>
                <c:pt idx="2">
                  <c:v>1405.6110000000001</c:v>
                </c:pt>
                <c:pt idx="3">
                  <c:v>5339.8056827609616</c:v>
                </c:pt>
                <c:pt idx="4">
                  <c:v>5614.6548967894605</c:v>
                </c:pt>
                <c:pt idx="5">
                  <c:v>85902.431283613449</c:v>
                </c:pt>
                <c:pt idx="6">
                  <c:v>872.83062167756293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153878.58581301945</c:v>
                </c:pt>
                <c:pt idx="1">
                  <c:v>21600.81636047961</c:v>
                </c:pt>
                <c:pt idx="2">
                  <c:v>1405.6110000000001</c:v>
                </c:pt>
                <c:pt idx="3">
                  <c:v>5339.8056827609616</c:v>
                </c:pt>
                <c:pt idx="4">
                  <c:v>5614.6548967894605</c:v>
                </c:pt>
                <c:pt idx="5">
                  <c:v>85902.431283613449</c:v>
                </c:pt>
                <c:pt idx="6">
                  <c:v>872.83062167756293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28971.876492156429</c:v>
                </c:pt>
                <c:pt idx="1">
                  <c:v>4256.3356673857625</c:v>
                </c:pt>
                <c:pt idx="2">
                  <c:v>279.49311913771919</c:v>
                </c:pt>
                <c:pt idx="3">
                  <c:v>1352.2644318495643</c:v>
                </c:pt>
                <c:pt idx="4">
                  <c:v>1166.759774507929</c:v>
                </c:pt>
                <c:pt idx="5">
                  <c:v>21354.646088520167</c:v>
                </c:pt>
                <c:pt idx="6">
                  <c:v>220.77690191317882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28971.876492156429</c:v>
                </c:pt>
                <c:pt idx="1">
                  <c:v>4256.3356673857625</c:v>
                </c:pt>
                <c:pt idx="2">
                  <c:v>279.49311913771919</c:v>
                </c:pt>
                <c:pt idx="3">
                  <c:v>1352.2644318495643</c:v>
                </c:pt>
                <c:pt idx="4">
                  <c:v>1166.759774507929</c:v>
                </c:pt>
                <c:pt idx="5">
                  <c:v>21354.646088520167</c:v>
                </c:pt>
                <c:pt idx="6">
                  <c:v>220.77690191317882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41027</v>
      </c>
      <c r="B6" s="390"/>
      <c r="C6" s="391"/>
    </row>
    <row r="7" spans="1:7" s="388" customFormat="1" ht="15.75" customHeight="1">
      <c r="A7" s="392" t="str">
        <f>txtMunicipality</f>
        <v>HERZELE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0.1988410158555384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0.1988410158555384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7384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2930.57</v>
      </c>
      <c r="C14" s="330"/>
      <c r="D14" s="330"/>
      <c r="E14" s="330"/>
      <c r="F14" s="330"/>
    </row>
    <row r="15" spans="1:6">
      <c r="A15" s="1298" t="s">
        <v>183</v>
      </c>
      <c r="B15" s="1299">
        <v>173</v>
      </c>
      <c r="C15" s="330"/>
      <c r="D15" s="330"/>
      <c r="E15" s="330"/>
      <c r="F15" s="330"/>
    </row>
    <row r="16" spans="1:6">
      <c r="A16" s="1298" t="s">
        <v>6</v>
      </c>
      <c r="B16" s="1299">
        <v>1010</v>
      </c>
      <c r="C16" s="330"/>
      <c r="D16" s="330"/>
      <c r="E16" s="330"/>
      <c r="F16" s="330"/>
    </row>
    <row r="17" spans="1:6">
      <c r="A17" s="1298" t="s">
        <v>7</v>
      </c>
      <c r="B17" s="1299">
        <v>741</v>
      </c>
      <c r="C17" s="330"/>
      <c r="D17" s="330"/>
      <c r="E17" s="330"/>
      <c r="F17" s="330"/>
    </row>
    <row r="18" spans="1:6">
      <c r="A18" s="1298" t="s">
        <v>8</v>
      </c>
      <c r="B18" s="1299">
        <v>1147</v>
      </c>
      <c r="C18" s="330"/>
      <c r="D18" s="330"/>
      <c r="E18" s="330"/>
      <c r="F18" s="330"/>
    </row>
    <row r="19" spans="1:6">
      <c r="A19" s="1298" t="s">
        <v>9</v>
      </c>
      <c r="B19" s="1299">
        <v>1097</v>
      </c>
      <c r="C19" s="330"/>
      <c r="D19" s="330"/>
      <c r="E19" s="330"/>
      <c r="F19" s="330"/>
    </row>
    <row r="20" spans="1:6">
      <c r="A20" s="1298" t="s">
        <v>10</v>
      </c>
      <c r="B20" s="1299">
        <v>890</v>
      </c>
      <c r="C20" s="330"/>
      <c r="D20" s="330"/>
      <c r="E20" s="330"/>
      <c r="F20" s="330"/>
    </row>
    <row r="21" spans="1:6">
      <c r="A21" s="1298" t="s">
        <v>11</v>
      </c>
      <c r="B21" s="1299">
        <v>0</v>
      </c>
      <c r="C21" s="330"/>
      <c r="D21" s="330"/>
      <c r="E21" s="330"/>
      <c r="F21" s="330"/>
    </row>
    <row r="22" spans="1:6">
      <c r="A22" s="1298" t="s">
        <v>12</v>
      </c>
      <c r="B22" s="1299">
        <v>702</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189</v>
      </c>
      <c r="C26" s="330"/>
      <c r="D26" s="330"/>
      <c r="E26" s="330"/>
      <c r="F26" s="330"/>
    </row>
    <row r="27" spans="1:6">
      <c r="A27" s="1298" t="s">
        <v>17</v>
      </c>
      <c r="B27" s="1299">
        <v>650</v>
      </c>
      <c r="C27" s="330"/>
      <c r="D27" s="330"/>
      <c r="E27" s="330"/>
      <c r="F27" s="330"/>
    </row>
    <row r="28" spans="1:6" s="43" customFormat="1">
      <c r="A28" s="1300" t="s">
        <v>18</v>
      </c>
      <c r="B28" s="1301">
        <v>5355</v>
      </c>
      <c r="C28" s="336"/>
      <c r="D28" s="336"/>
      <c r="E28" s="336"/>
      <c r="F28" s="336"/>
    </row>
    <row r="29" spans="1:6">
      <c r="A29" s="1300" t="s">
        <v>705</v>
      </c>
      <c r="B29" s="1301">
        <v>151</v>
      </c>
      <c r="C29" s="336"/>
      <c r="D29" s="336"/>
      <c r="E29" s="336"/>
      <c r="F29" s="336"/>
    </row>
    <row r="30" spans="1:6">
      <c r="A30" s="1293" t="s">
        <v>706</v>
      </c>
      <c r="B30" s="1302">
        <v>23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25751.129000000001</v>
      </c>
      <c r="E38" s="1299">
        <v>2</v>
      </c>
      <c r="F38" s="1299">
        <v>1631.4469999999999</v>
      </c>
    </row>
    <row r="39" spans="1:6">
      <c r="A39" s="1298" t="s">
        <v>29</v>
      </c>
      <c r="B39" s="1298" t="s">
        <v>30</v>
      </c>
      <c r="C39" s="1299">
        <v>3688</v>
      </c>
      <c r="D39" s="1299">
        <v>55427658.789999999</v>
      </c>
      <c r="E39" s="1299">
        <v>7364</v>
      </c>
      <c r="F39" s="1299">
        <v>28246340.550000001</v>
      </c>
    </row>
    <row r="40" spans="1:6">
      <c r="A40" s="1298" t="s">
        <v>29</v>
      </c>
      <c r="B40" s="1298" t="s">
        <v>28</v>
      </c>
      <c r="C40" s="1299">
        <v>0</v>
      </c>
      <c r="D40" s="1299">
        <v>0</v>
      </c>
      <c r="E40" s="1299">
        <v>0</v>
      </c>
      <c r="F40" s="1299">
        <v>0</v>
      </c>
    </row>
    <row r="41" spans="1:6">
      <c r="A41" s="1298" t="s">
        <v>31</v>
      </c>
      <c r="B41" s="1298" t="s">
        <v>32</v>
      </c>
      <c r="C41" s="1299">
        <v>35</v>
      </c>
      <c r="D41" s="1299">
        <v>512197.69900000002</v>
      </c>
      <c r="E41" s="1299">
        <v>158</v>
      </c>
      <c r="F41" s="1299">
        <v>735234.78500000003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43283.358999999997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52016.563000000002</v>
      </c>
    </row>
    <row r="48" spans="1:6">
      <c r="A48" s="1298" t="s">
        <v>31</v>
      </c>
      <c r="B48" s="1298" t="s">
        <v>28</v>
      </c>
      <c r="C48" s="1299">
        <v>30</v>
      </c>
      <c r="D48" s="1299">
        <v>845811.8</v>
      </c>
      <c r="E48" s="1299">
        <v>35</v>
      </c>
      <c r="F48" s="1299">
        <v>1467457.6850000001</v>
      </c>
    </row>
    <row r="49" spans="1:6">
      <c r="A49" s="1298" t="s">
        <v>31</v>
      </c>
      <c r="B49" s="1298" t="s">
        <v>39</v>
      </c>
      <c r="C49" s="1299">
        <v>0</v>
      </c>
      <c r="D49" s="1299">
        <v>0</v>
      </c>
      <c r="E49" s="1299">
        <v>0</v>
      </c>
      <c r="F49" s="1299">
        <v>0</v>
      </c>
    </row>
    <row r="50" spans="1:6">
      <c r="A50" s="1298" t="s">
        <v>31</v>
      </c>
      <c r="B50" s="1298" t="s">
        <v>40</v>
      </c>
      <c r="C50" s="1299">
        <v>6</v>
      </c>
      <c r="D50" s="1299">
        <v>464405.33299999998</v>
      </c>
      <c r="E50" s="1299">
        <v>12</v>
      </c>
      <c r="F50" s="1299">
        <v>354617.88500000001</v>
      </c>
    </row>
    <row r="51" spans="1:6">
      <c r="A51" s="1298" t="s">
        <v>41</v>
      </c>
      <c r="B51" s="1298" t="s">
        <v>42</v>
      </c>
      <c r="C51" s="1299">
        <v>5</v>
      </c>
      <c r="D51" s="1299">
        <v>46991.296999999999</v>
      </c>
      <c r="E51" s="1299">
        <v>73</v>
      </c>
      <c r="F51" s="1299">
        <v>907690.49899999995</v>
      </c>
    </row>
    <row r="52" spans="1:6">
      <c r="A52" s="1298" t="s">
        <v>41</v>
      </c>
      <c r="B52" s="1298" t="s">
        <v>28</v>
      </c>
      <c r="C52" s="1299">
        <v>4</v>
      </c>
      <c r="D52" s="1299">
        <v>98089.171000000002</v>
      </c>
      <c r="E52" s="1299">
        <v>14</v>
      </c>
      <c r="F52" s="1299">
        <v>155471.96299999999</v>
      </c>
    </row>
    <row r="53" spans="1:6">
      <c r="A53" s="1298" t="s">
        <v>43</v>
      </c>
      <c r="B53" s="1298" t="s">
        <v>44</v>
      </c>
      <c r="C53" s="1299">
        <v>105</v>
      </c>
      <c r="D53" s="1299">
        <v>1580849.1329999999</v>
      </c>
      <c r="E53" s="1299">
        <v>258</v>
      </c>
      <c r="F53" s="1299">
        <v>676218.15599999996</v>
      </c>
    </row>
    <row r="54" spans="1:6">
      <c r="A54" s="1298" t="s">
        <v>45</v>
      </c>
      <c r="B54" s="1298" t="s">
        <v>46</v>
      </c>
      <c r="C54" s="1299">
        <v>0</v>
      </c>
      <c r="D54" s="1299">
        <v>0</v>
      </c>
      <c r="E54" s="1299">
        <v>1</v>
      </c>
      <c r="F54" s="1299">
        <v>1405611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28</v>
      </c>
      <c r="D57" s="1299">
        <v>525241.42799999996</v>
      </c>
      <c r="E57" s="1299">
        <v>68</v>
      </c>
      <c r="F57" s="1299">
        <v>667395.26199999999</v>
      </c>
    </row>
    <row r="58" spans="1:6">
      <c r="A58" s="1298" t="s">
        <v>48</v>
      </c>
      <c r="B58" s="1298" t="s">
        <v>50</v>
      </c>
      <c r="C58" s="1299">
        <v>10</v>
      </c>
      <c r="D58" s="1299">
        <v>238749.25599999999</v>
      </c>
      <c r="E58" s="1299">
        <v>45</v>
      </c>
      <c r="F58" s="1299">
        <v>913716.60600000003</v>
      </c>
    </row>
    <row r="59" spans="1:6">
      <c r="A59" s="1298" t="s">
        <v>48</v>
      </c>
      <c r="B59" s="1298" t="s">
        <v>51</v>
      </c>
      <c r="C59" s="1299">
        <v>25</v>
      </c>
      <c r="D59" s="1299">
        <v>973342.78300000005</v>
      </c>
      <c r="E59" s="1299">
        <v>144</v>
      </c>
      <c r="F59" s="1299">
        <v>3996613.3879999998</v>
      </c>
    </row>
    <row r="60" spans="1:6">
      <c r="A60" s="1298" t="s">
        <v>48</v>
      </c>
      <c r="B60" s="1298" t="s">
        <v>52</v>
      </c>
      <c r="C60" s="1299">
        <v>26</v>
      </c>
      <c r="D60" s="1299">
        <v>679116.17700000003</v>
      </c>
      <c r="E60" s="1299">
        <v>60</v>
      </c>
      <c r="F60" s="1299">
        <v>903472.49300000002</v>
      </c>
    </row>
    <row r="61" spans="1:6">
      <c r="A61" s="1298" t="s">
        <v>48</v>
      </c>
      <c r="B61" s="1298" t="s">
        <v>53</v>
      </c>
      <c r="C61" s="1299">
        <v>73</v>
      </c>
      <c r="D61" s="1299">
        <v>3600429.3339999998</v>
      </c>
      <c r="E61" s="1299">
        <v>226</v>
      </c>
      <c r="F61" s="1299">
        <v>1948913.5970000001</v>
      </c>
    </row>
    <row r="62" spans="1:6">
      <c r="A62" s="1298" t="s">
        <v>48</v>
      </c>
      <c r="B62" s="1298" t="s">
        <v>54</v>
      </c>
      <c r="C62" s="1299">
        <v>3</v>
      </c>
      <c r="D62" s="1299">
        <v>346977.25799999997</v>
      </c>
      <c r="E62" s="1299">
        <v>10</v>
      </c>
      <c r="F62" s="1299">
        <v>167327.27299999999</v>
      </c>
    </row>
    <row r="63" spans="1:6">
      <c r="A63" s="1298" t="s">
        <v>48</v>
      </c>
      <c r="B63" s="1298" t="s">
        <v>28</v>
      </c>
      <c r="C63" s="1299">
        <v>123</v>
      </c>
      <c r="D63" s="1299">
        <v>3829655.4879999999</v>
      </c>
      <c r="E63" s="1299">
        <v>163</v>
      </c>
      <c r="F63" s="1299">
        <v>1727576.716</v>
      </c>
    </row>
    <row r="64" spans="1:6">
      <c r="A64" s="1298" t="s">
        <v>55</v>
      </c>
      <c r="B64" s="1298" t="s">
        <v>56</v>
      </c>
      <c r="C64" s="1299">
        <v>0</v>
      </c>
      <c r="D64" s="1299">
        <v>0</v>
      </c>
      <c r="E64" s="1299">
        <v>0</v>
      </c>
      <c r="F64" s="1299">
        <v>0</v>
      </c>
    </row>
    <row r="65" spans="1:6">
      <c r="A65" s="1298" t="s">
        <v>55</v>
      </c>
      <c r="B65" s="1298" t="s">
        <v>28</v>
      </c>
      <c r="C65" s="1299">
        <v>1</v>
      </c>
      <c r="D65" s="1299">
        <v>6973.8220000000001</v>
      </c>
      <c r="E65" s="1299">
        <v>2</v>
      </c>
      <c r="F65" s="1299">
        <v>11122</v>
      </c>
    </row>
    <row r="66" spans="1:6">
      <c r="A66" s="1298" t="s">
        <v>55</v>
      </c>
      <c r="B66" s="1298" t="s">
        <v>57</v>
      </c>
      <c r="C66" s="1299">
        <v>0</v>
      </c>
      <c r="D66" s="1299">
        <v>0</v>
      </c>
      <c r="E66" s="1299">
        <v>5</v>
      </c>
      <c r="F66" s="1299">
        <v>13889</v>
      </c>
    </row>
    <row r="67" spans="1:6">
      <c r="A67" s="1300" t="s">
        <v>55</v>
      </c>
      <c r="B67" s="1300" t="s">
        <v>58</v>
      </c>
      <c r="C67" s="1299">
        <v>0</v>
      </c>
      <c r="D67" s="1299">
        <v>0</v>
      </c>
      <c r="E67" s="1299">
        <v>0</v>
      </c>
      <c r="F67" s="1299">
        <v>0</v>
      </c>
    </row>
    <row r="68" spans="1:6">
      <c r="A68" s="1293" t="s">
        <v>55</v>
      </c>
      <c r="B68" s="1293" t="s">
        <v>59</v>
      </c>
      <c r="C68" s="1302">
        <v>0</v>
      </c>
      <c r="D68" s="1302">
        <v>0</v>
      </c>
      <c r="E68" s="1302">
        <v>10</v>
      </c>
      <c r="F68" s="1302">
        <v>174507.101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59287184</v>
      </c>
      <c r="E73" s="450"/>
      <c r="F73" s="330"/>
    </row>
    <row r="74" spans="1:6">
      <c r="A74" s="1298" t="s">
        <v>63</v>
      </c>
      <c r="B74" s="1298" t="s">
        <v>647</v>
      </c>
      <c r="C74" s="1312" t="s">
        <v>649</v>
      </c>
      <c r="D74" s="1313">
        <v>6377551.5</v>
      </c>
      <c r="E74" s="450"/>
      <c r="F74" s="330"/>
    </row>
    <row r="75" spans="1:6">
      <c r="A75" s="1298" t="s">
        <v>64</v>
      </c>
      <c r="B75" s="1298" t="s">
        <v>646</v>
      </c>
      <c r="C75" s="1312" t="s">
        <v>650</v>
      </c>
      <c r="D75" s="1313">
        <v>29772059</v>
      </c>
      <c r="E75" s="450"/>
      <c r="F75" s="330"/>
    </row>
    <row r="76" spans="1:6">
      <c r="A76" s="1298" t="s">
        <v>64</v>
      </c>
      <c r="B76" s="1298" t="s">
        <v>647</v>
      </c>
      <c r="C76" s="1312" t="s">
        <v>651</v>
      </c>
      <c r="D76" s="1313">
        <v>1157377.5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239599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4444.3964496468361</v>
      </c>
      <c r="C91" s="330"/>
      <c r="D91" s="330"/>
      <c r="E91" s="330"/>
      <c r="F91" s="330"/>
    </row>
    <row r="92" spans="1:6">
      <c r="A92" s="1293" t="s">
        <v>68</v>
      </c>
      <c r="B92" s="1294">
        <v>371.314467164321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1016</v>
      </c>
      <c r="C97" s="330"/>
      <c r="D97" s="330"/>
      <c r="E97" s="330"/>
      <c r="F97" s="330"/>
    </row>
    <row r="98" spans="1:6">
      <c r="A98" s="1298" t="s">
        <v>71</v>
      </c>
      <c r="B98" s="1299">
        <v>1</v>
      </c>
      <c r="C98" s="330"/>
      <c r="D98" s="330"/>
      <c r="E98" s="330"/>
      <c r="F98" s="330"/>
    </row>
    <row r="99" spans="1:6">
      <c r="A99" s="1298" t="s">
        <v>72</v>
      </c>
      <c r="B99" s="1299">
        <v>101</v>
      </c>
      <c r="C99" s="330"/>
      <c r="D99" s="330"/>
      <c r="E99" s="330"/>
      <c r="F99" s="330"/>
    </row>
    <row r="100" spans="1:6">
      <c r="A100" s="1298" t="s">
        <v>73</v>
      </c>
      <c r="B100" s="1299">
        <v>581</v>
      </c>
      <c r="C100" s="330"/>
      <c r="D100" s="330"/>
      <c r="E100" s="330"/>
      <c r="F100" s="330"/>
    </row>
    <row r="101" spans="1:6">
      <c r="A101" s="1298" t="s">
        <v>74</v>
      </c>
      <c r="B101" s="1299">
        <v>141</v>
      </c>
      <c r="C101" s="330"/>
      <c r="D101" s="330"/>
      <c r="E101" s="330"/>
      <c r="F101" s="330"/>
    </row>
    <row r="102" spans="1:6">
      <c r="A102" s="1298" t="s">
        <v>75</v>
      </c>
      <c r="B102" s="1299">
        <v>117</v>
      </c>
      <c r="C102" s="330"/>
      <c r="D102" s="330"/>
      <c r="E102" s="330"/>
      <c r="F102" s="330"/>
    </row>
    <row r="103" spans="1:6">
      <c r="A103" s="1298" t="s">
        <v>76</v>
      </c>
      <c r="B103" s="1299">
        <v>374</v>
      </c>
      <c r="C103" s="330"/>
      <c r="D103" s="330"/>
      <c r="E103" s="330"/>
      <c r="F103" s="330"/>
    </row>
    <row r="104" spans="1:6">
      <c r="A104" s="1298" t="s">
        <v>77</v>
      </c>
      <c r="B104" s="1299">
        <v>4020</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21</v>
      </c>
      <c r="C123" s="1299">
        <v>44</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208</v>
      </c>
      <c r="C129" s="330"/>
      <c r="D129" s="330"/>
      <c r="E129" s="330"/>
      <c r="F129" s="330"/>
    </row>
    <row r="130" spans="1:6">
      <c r="A130" s="1298" t="s">
        <v>294</v>
      </c>
      <c r="B130" s="1299">
        <v>4</v>
      </c>
      <c r="C130" s="330"/>
      <c r="D130" s="330"/>
      <c r="E130" s="330"/>
      <c r="F130" s="330"/>
    </row>
    <row r="131" spans="1:6">
      <c r="A131" s="1298" t="s">
        <v>295</v>
      </c>
      <c r="B131" s="1299">
        <v>3</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48899.59781329114</v>
      </c>
      <c r="C3" s="43" t="s">
        <v>169</v>
      </c>
      <c r="D3" s="43"/>
      <c r="E3" s="154"/>
      <c r="F3" s="43"/>
      <c r="G3" s="43"/>
      <c r="H3" s="43"/>
      <c r="I3" s="43"/>
      <c r="J3" s="43"/>
      <c r="K3" s="96"/>
    </row>
    <row r="4" spans="1:11">
      <c r="A4" s="358" t="s">
        <v>170</v>
      </c>
      <c r="B4" s="49">
        <f>IF(ISERROR('SEAP template'!B78+'SEAP template'!C78),0,'SEAP template'!B78+'SEAP template'!C78)</f>
        <v>4903.0109168111576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0.1988410158555384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1405.6110000000001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1405.6110000000001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0.1988410158555384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279.49311913771919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28246.340550000001</v>
      </c>
      <c r="C5" s="17">
        <f>IF(ISERROR('Eigen informatie GS &amp; warmtenet'!B59),0,'Eigen informatie GS &amp; warmtenet'!B59)</f>
        <v>0</v>
      </c>
      <c r="D5" s="30">
        <f>(SUM(HH_hh_gas_kWh,HH_rest_gas_kWh)/1000)*0.902</f>
        <v>49995.74822858</v>
      </c>
      <c r="E5" s="17">
        <f>B46*B57</f>
        <v>12882.400408041047</v>
      </c>
      <c r="F5" s="17">
        <f>B51*B62</f>
        <v>33521.663545629795</v>
      </c>
      <c r="G5" s="18"/>
      <c r="H5" s="17"/>
      <c r="I5" s="17"/>
      <c r="J5" s="17">
        <f>B50*B61+C50*C61</f>
        <v>1406.4602728779109</v>
      </c>
      <c r="K5" s="17"/>
      <c r="L5" s="17"/>
      <c r="M5" s="17"/>
      <c r="N5" s="17">
        <f>B48*B59+C48*C59</f>
        <v>22439.192596035537</v>
      </c>
      <c r="O5" s="17">
        <f>B69*B70*B71</f>
        <v>499.95747128553205</v>
      </c>
      <c r="P5" s="17">
        <f>B77*B78*B79/1000-B77*B78*B79/1000/B80</f>
        <v>442.42629092277093</v>
      </c>
    </row>
    <row r="6" spans="1:16">
      <c r="A6" s="16" t="s">
        <v>611</v>
      </c>
      <c r="B6" s="783">
        <f>kWh_PV_kleiner_dan_10kW</f>
        <v>4444.3964496468361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32690.736999646837</v>
      </c>
      <c r="C8" s="21">
        <f>C5</f>
        <v>0</v>
      </c>
      <c r="D8" s="21">
        <f>D5</f>
        <v>49995.74822858</v>
      </c>
      <c r="E8" s="21">
        <f>E5</f>
        <v>12882.400408041047</v>
      </c>
      <c r="F8" s="21">
        <f>F5</f>
        <v>33521.663545629795</v>
      </c>
      <c r="G8" s="21"/>
      <c r="H8" s="21"/>
      <c r="I8" s="21"/>
      <c r="J8" s="21">
        <f>J5</f>
        <v>1406.4602728779109</v>
      </c>
      <c r="K8" s="21"/>
      <c r="L8" s="21">
        <f>L5</f>
        <v>0</v>
      </c>
      <c r="M8" s="21">
        <f>M5</f>
        <v>0</v>
      </c>
      <c r="N8" s="21">
        <f>N5</f>
        <v>22439.192596035537</v>
      </c>
      <c r="O8" s="21">
        <f>O5</f>
        <v>499.95747128553205</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0.1988410158555384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6500.2593540760126</v>
      </c>
      <c r="C12" s="23">
        <f ca="1">C10*C8</f>
        <v>0</v>
      </c>
      <c r="D12" s="23">
        <f>D8*D10</f>
        <v>10099.141142173161</v>
      </c>
      <c r="E12" s="23">
        <f>E10*E8</f>
        <v>2924.3048926253177</v>
      </c>
      <c r="F12" s="23">
        <f>F10*F8</f>
        <v>8950.2841666831555</v>
      </c>
      <c r="G12" s="23"/>
      <c r="H12" s="23"/>
      <c r="I12" s="23"/>
      <c r="J12" s="23">
        <f>J10*J8</f>
        <v>497.88693659878044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7384</v>
      </c>
      <c r="C28" s="36"/>
      <c r="D28" s="228"/>
    </row>
    <row r="29" spans="1:7" s="15" customFormat="1">
      <c r="A29" s="230" t="s">
        <v>819</v>
      </c>
      <c r="B29" s="37">
        <f>SUM(HH_hh_gas_aantal,HH_rest_gas_aantal)</f>
        <v>3688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3688</v>
      </c>
      <c r="C32" s="167">
        <f>IF(ISERROR(B32/SUM($B$32,$B$34,$B$35,$B$36,$B$38,$B$39)*100),0,B32/SUM($B$32,$B$34,$B$35,$B$36,$B$38,$B$39)*100)</f>
        <v>50.231544538272956</v>
      </c>
      <c r="D32" s="233"/>
      <c r="G32" s="15"/>
    </row>
    <row r="33" spans="1:7">
      <c r="A33" s="171" t="s">
        <v>71</v>
      </c>
      <c r="B33" s="34" t="s">
        <v>110</v>
      </c>
      <c r="C33" s="167"/>
      <c r="D33" s="233"/>
      <c r="G33" s="15"/>
    </row>
    <row r="34" spans="1:7">
      <c r="A34" s="171" t="s">
        <v>72</v>
      </c>
      <c r="B34" s="33">
        <f>IF((($B$28-$B$32-$B$39-$B$77-$B$38)*C20/100)&lt;0,0,($B$28-$B$32-$B$39-$B$77-$B$38)*C20/100)</f>
        <v>237.09842041312277</v>
      </c>
      <c r="C34" s="167">
        <f>IF(ISERROR(B34/SUM($B$32,$B$34,$B$35,$B$36,$B$38,$B$39)*100),0,B34/SUM($B$32,$B$34,$B$35,$B$36,$B$38,$B$39)*100)</f>
        <v>3.2293437811648431</v>
      </c>
      <c r="D34" s="233"/>
      <c r="G34" s="15"/>
    </row>
    <row r="35" spans="1:7">
      <c r="A35" s="171" t="s">
        <v>73</v>
      </c>
      <c r="B35" s="33">
        <f>IF((($B$28-$B$32-$B$39-$B$77-$B$38)*C21/100)&lt;0,0,($B$28-$B$32-$B$39-$B$77-$B$38)*C21/100)</f>
        <v>1363.902794653706</v>
      </c>
      <c r="C35" s="167">
        <f>IF(ISERROR(B35/SUM($B$32,$B$34,$B$35,$B$36,$B$38,$B$39)*100),0,B35/SUM($B$32,$B$34,$B$35,$B$36,$B$38,$B$39)*100)</f>
        <v>18.576720166898745</v>
      </c>
      <c r="D35" s="233"/>
      <c r="G35" s="15"/>
    </row>
    <row r="36" spans="1:7">
      <c r="A36" s="171" t="s">
        <v>74</v>
      </c>
      <c r="B36" s="33">
        <f>IF((($B$28-$B$32-$B$39-$B$77-$B$38)*C22/100)&lt;0,0,($B$28-$B$32-$B$39-$B$77-$B$38)*C22/100)</f>
        <v>330.99878493317135</v>
      </c>
      <c r="C36" s="167">
        <f>IF(ISERROR(B36/SUM($B$32,$B$34,$B$35,$B$36,$B$38,$B$39)*100),0,B36/SUM($B$32,$B$34,$B$35,$B$36,$B$38,$B$39)*100)</f>
        <v>4.5082918133093353</v>
      </c>
      <c r="D36" s="233"/>
      <c r="G36" s="15"/>
    </row>
    <row r="37" spans="1:7">
      <c r="A37" s="171" t="s">
        <v>75</v>
      </c>
      <c r="B37" s="34" t="s">
        <v>110</v>
      </c>
      <c r="C37" s="167"/>
      <c r="D37" s="173"/>
      <c r="G37" s="15"/>
    </row>
    <row r="38" spans="1:7">
      <c r="A38" s="171" t="s">
        <v>76</v>
      </c>
      <c r="B38" s="33">
        <f>IF((B24-(B29-B18)*0.1)&lt;0,0,B24-(B29-B18)*0.1)</f>
        <v>106.80000000000001</v>
      </c>
      <c r="C38" s="167">
        <f>IF(ISERROR(B38/SUM($B$32,$B$34,$B$35,$B$36,$B$38,$B$39)*100),0,B38/SUM($B$32,$B$34,$B$35,$B$36,$B$38,$B$39)*100)</f>
        <v>1.4546445110324164</v>
      </c>
      <c r="D38" s="234"/>
      <c r="G38" s="15"/>
    </row>
    <row r="39" spans="1:7">
      <c r="A39" s="171" t="s">
        <v>77</v>
      </c>
      <c r="B39" s="33">
        <f>IF((B25-(B29-B18))&lt;0,0,B25-(B29-B18)*0.9)</f>
        <v>1615.1999999999998</v>
      </c>
      <c r="C39" s="167">
        <f>IF(ISERROR(B39/SUM($B$32,$B$34,$B$35,$B$36,$B$38,$B$39)*100),0,B39/SUM($B$32,$B$34,$B$35,$B$36,$B$38,$B$39)*100)</f>
        <v>21.999455189321708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3688</v>
      </c>
      <c r="C44" s="34" t="s">
        <v>110</v>
      </c>
      <c r="D44" s="174"/>
    </row>
    <row r="45" spans="1:7">
      <c r="A45" s="171" t="s">
        <v>71</v>
      </c>
      <c r="B45" s="33" t="str">
        <f t="shared" si="0"/>
        <v>-</v>
      </c>
      <c r="C45" s="34" t="s">
        <v>110</v>
      </c>
      <c r="D45" s="174"/>
    </row>
    <row r="46" spans="1:7">
      <c r="A46" s="171" t="s">
        <v>72</v>
      </c>
      <c r="B46" s="33">
        <f t="shared" si="0"/>
        <v>237.09842041312277</v>
      </c>
      <c r="C46" s="34" t="s">
        <v>110</v>
      </c>
      <c r="D46" s="174"/>
    </row>
    <row r="47" spans="1:7">
      <c r="A47" s="171" t="s">
        <v>73</v>
      </c>
      <c r="B47" s="33">
        <f t="shared" si="0"/>
        <v>1363.902794653706</v>
      </c>
      <c r="C47" s="34" t="s">
        <v>110</v>
      </c>
      <c r="D47" s="174"/>
    </row>
    <row r="48" spans="1:7">
      <c r="A48" s="171" t="s">
        <v>74</v>
      </c>
      <c r="B48" s="33">
        <f t="shared" si="0"/>
        <v>330.99878493317135</v>
      </c>
      <c r="C48" s="33">
        <f>B48*10</f>
        <v>3309.9878493317137</v>
      </c>
      <c r="D48" s="234"/>
    </row>
    <row r="49" spans="1:6">
      <c r="A49" s="171" t="s">
        <v>75</v>
      </c>
      <c r="B49" s="33" t="str">
        <f t="shared" si="0"/>
        <v>-</v>
      </c>
      <c r="C49" s="34" t="s">
        <v>110</v>
      </c>
      <c r="D49" s="234"/>
    </row>
    <row r="50" spans="1:6">
      <c r="A50" s="171" t="s">
        <v>76</v>
      </c>
      <c r="B50" s="33">
        <f t="shared" si="0"/>
        <v>106.80000000000001</v>
      </c>
      <c r="C50" s="33">
        <f>B50*2</f>
        <v>213.60000000000002</v>
      </c>
      <c r="D50" s="234"/>
    </row>
    <row r="51" spans="1:6">
      <c r="A51" s="171" t="s">
        <v>77</v>
      </c>
      <c r="B51" s="33">
        <f t="shared" si="0"/>
        <v>1615.1999999999998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10325.015335</v>
      </c>
      <c r="C5" s="17">
        <f>IF(ISERROR('Eigen informatie GS &amp; warmtenet'!B60),0,'Eigen informatie GS &amp; warmtenet'!B60)</f>
        <v>0</v>
      </c>
      <c r="D5" s="30">
        <f>SUM(D6:D12)</f>
        <v>9194.547575048</v>
      </c>
      <c r="E5" s="17">
        <f>SUM(E6:E12)</f>
        <v>161.94984418435462</v>
      </c>
      <c r="F5" s="17">
        <f>SUM(F6:F12)</f>
        <v>1125.6678335759957</v>
      </c>
      <c r="G5" s="18"/>
      <c r="H5" s="17"/>
      <c r="I5" s="17"/>
      <c r="J5" s="17">
        <f>SUM(J6:J12)</f>
        <v>1.4640547796895116E-2</v>
      </c>
      <c r="K5" s="17"/>
      <c r="L5" s="17"/>
      <c r="M5" s="17"/>
      <c r="N5" s="17">
        <f>SUM(N6:N12)</f>
        <v>582.58267869125916</v>
      </c>
      <c r="O5" s="17">
        <f>B38*B39*B40</f>
        <v>19.589043063364617</v>
      </c>
      <c r="P5" s="17">
        <f>B46*B47*B48/1000-B46*B47*B48/1000/B49</f>
        <v>210.15655322598008</v>
      </c>
      <c r="R5" s="32"/>
    </row>
    <row r="6" spans="1:18">
      <c r="A6" s="32" t="s">
        <v>53</v>
      </c>
      <c r="B6" s="37">
        <f>B26</f>
        <v>1948.913597</v>
      </c>
      <c r="C6" s="33"/>
      <c r="D6" s="37">
        <f>IF(ISERROR(TER_kantoor_gas_kWh/1000),0,TER_kantoor_gas_kWh/1000)*0.902</f>
        <v>3247.5872592679998</v>
      </c>
      <c r="E6" s="33">
        <f>$C$26*'E Balans VL '!I12/100/3.6*1000000</f>
        <v>15.682282844130974</v>
      </c>
      <c r="F6" s="33">
        <f>$C$26*('E Balans VL '!L12+'E Balans VL '!N12)/100/3.6*1000000</f>
        <v>238.27518914790818</v>
      </c>
      <c r="G6" s="34"/>
      <c r="H6" s="33"/>
      <c r="I6" s="33"/>
      <c r="J6" s="33">
        <f>$C$26*('E Balans VL '!D12+'E Balans VL '!E12)/100/3.6*1000000</f>
        <v>0</v>
      </c>
      <c r="K6" s="33"/>
      <c r="L6" s="33"/>
      <c r="M6" s="33"/>
      <c r="N6" s="33">
        <f>$C$26*'E Balans VL '!Y12/100/3.6*1000000</f>
        <v>1.047445084780503</v>
      </c>
      <c r="O6" s="33"/>
      <c r="P6" s="33"/>
      <c r="R6" s="32"/>
    </row>
    <row r="7" spans="1:18">
      <c r="A7" s="32" t="s">
        <v>52</v>
      </c>
      <c r="B7" s="37">
        <f t="shared" ref="B7:B12" si="0">B27</f>
        <v>903.47249299999999</v>
      </c>
      <c r="C7" s="33"/>
      <c r="D7" s="37">
        <f>IF(ISERROR(TER_horeca_gas_kWh/1000),0,TER_horeca_gas_kWh/1000)*0.902</f>
        <v>612.56279165399997</v>
      </c>
      <c r="E7" s="33">
        <f>$C$27*'E Balans VL '!I9/100/3.6*1000000</f>
        <v>9.7010760342407973</v>
      </c>
      <c r="F7" s="33">
        <f>$C$27*('E Balans VL '!L9+'E Balans VL '!N9)/100/3.6*1000000</f>
        <v>108.66583288104943</v>
      </c>
      <c r="G7" s="34"/>
      <c r="H7" s="33"/>
      <c r="I7" s="33"/>
      <c r="J7" s="33">
        <f>$C$27*('E Balans VL '!D9+'E Balans VL '!E9)/100/3.6*1000000</f>
        <v>0</v>
      </c>
      <c r="K7" s="33"/>
      <c r="L7" s="33"/>
      <c r="M7" s="33"/>
      <c r="N7" s="33">
        <f>$C$27*'E Balans VL '!Y9/100/3.6*1000000</f>
        <v>0.13544883796222248</v>
      </c>
      <c r="O7" s="33"/>
      <c r="P7" s="33"/>
      <c r="R7" s="32"/>
    </row>
    <row r="8" spans="1:18">
      <c r="A8" s="6" t="s">
        <v>51</v>
      </c>
      <c r="B8" s="37">
        <f t="shared" si="0"/>
        <v>3996.6133879999998</v>
      </c>
      <c r="C8" s="33"/>
      <c r="D8" s="37">
        <f>IF(ISERROR(TER_handel_gas_kWh/1000),0,TER_handel_gas_kWh/1000)*0.902</f>
        <v>877.95519026600005</v>
      </c>
      <c r="E8" s="33">
        <f>$C$28*'E Balans VL '!I13/100/3.6*1000000</f>
        <v>107.25686782072681</v>
      </c>
      <c r="F8" s="33">
        <f>$C$28*('E Balans VL '!L13+'E Balans VL '!N13)/100/3.6*1000000</f>
        <v>381.40009601595318</v>
      </c>
      <c r="G8" s="34"/>
      <c r="H8" s="33"/>
      <c r="I8" s="33"/>
      <c r="J8" s="33">
        <f>$C$28*('E Balans VL '!D13+'E Balans VL '!E13)/100/3.6*1000000</f>
        <v>0</v>
      </c>
      <c r="K8" s="33"/>
      <c r="L8" s="33"/>
      <c r="M8" s="33"/>
      <c r="N8" s="33">
        <f>$C$28*'E Balans VL '!Y13/100/3.6*1000000</f>
        <v>1.5843029900380383</v>
      </c>
      <c r="O8" s="33"/>
      <c r="P8" s="33"/>
      <c r="R8" s="32"/>
    </row>
    <row r="9" spans="1:18">
      <c r="A9" s="32" t="s">
        <v>50</v>
      </c>
      <c r="B9" s="37">
        <f t="shared" si="0"/>
        <v>913.71660600000007</v>
      </c>
      <c r="C9" s="33"/>
      <c r="D9" s="37">
        <f>IF(ISERROR(TER_gezond_gas_kWh/1000),0,TER_gezond_gas_kWh/1000)*0.902</f>
        <v>215.351828912</v>
      </c>
      <c r="E9" s="33">
        <f>$C$29*'E Balans VL '!I10/100/3.6*1000000</f>
        <v>1.7126024386903203</v>
      </c>
      <c r="F9" s="33">
        <f>$C$29*('E Balans VL '!L10+'E Balans VL '!N10)/100/3.6*1000000</f>
        <v>75.1158420348346</v>
      </c>
      <c r="G9" s="34"/>
      <c r="H9" s="33"/>
      <c r="I9" s="33"/>
      <c r="J9" s="33">
        <f>$C$29*('E Balans VL '!D10+'E Balans VL '!E10)/100/3.6*1000000</f>
        <v>0</v>
      </c>
      <c r="K9" s="33"/>
      <c r="L9" s="33"/>
      <c r="M9" s="33"/>
      <c r="N9" s="33">
        <f>$C$29*'E Balans VL '!Y10/100/3.6*1000000</f>
        <v>7.1093969252238614</v>
      </c>
      <c r="O9" s="33"/>
      <c r="P9" s="33"/>
      <c r="R9" s="32"/>
    </row>
    <row r="10" spans="1:18">
      <c r="A10" s="32" t="s">
        <v>49</v>
      </c>
      <c r="B10" s="37">
        <f t="shared" si="0"/>
        <v>667.395262</v>
      </c>
      <c r="C10" s="33"/>
      <c r="D10" s="37">
        <f>IF(ISERROR(TER_ander_gas_kWh/1000),0,TER_ander_gas_kWh/1000)*0.902</f>
        <v>473.76776805599997</v>
      </c>
      <c r="E10" s="33">
        <f>$C$30*'E Balans VL '!I14/100/3.6*1000000</f>
        <v>1.0287965589846986</v>
      </c>
      <c r="F10" s="33">
        <f>$C$30*('E Balans VL '!L14+'E Balans VL '!N14)/100/3.6*1000000</f>
        <v>103.61329867009162</v>
      </c>
      <c r="G10" s="34"/>
      <c r="H10" s="33"/>
      <c r="I10" s="33"/>
      <c r="J10" s="33">
        <f>$C$30*('E Balans VL '!D14+'E Balans VL '!E14)/100/3.6*1000000</f>
        <v>1.1329738424044595E-2</v>
      </c>
      <c r="K10" s="33"/>
      <c r="L10" s="33"/>
      <c r="M10" s="33"/>
      <c r="N10" s="33">
        <f>$C$30*'E Balans VL '!Y14/100/3.6*1000000</f>
        <v>441.52731548161313</v>
      </c>
      <c r="O10" s="33"/>
      <c r="P10" s="33"/>
      <c r="R10" s="32"/>
    </row>
    <row r="11" spans="1:18">
      <c r="A11" s="32" t="s">
        <v>54</v>
      </c>
      <c r="B11" s="37">
        <f t="shared" si="0"/>
        <v>167.32727299999999</v>
      </c>
      <c r="C11" s="33"/>
      <c r="D11" s="37">
        <f>IF(ISERROR(TER_onderwijs_gas_kWh/1000),0,TER_onderwijs_gas_kWh/1000)*0.902</f>
        <v>312.97348671599997</v>
      </c>
      <c r="E11" s="33">
        <f>$C$31*'E Balans VL '!I11/100/3.6*1000000</f>
        <v>4.2679883162174281</v>
      </c>
      <c r="F11" s="33">
        <f>$C$31*('E Balans VL '!L11+'E Balans VL '!N11)/100/3.6*1000000</f>
        <v>20.122679522519455</v>
      </c>
      <c r="G11" s="34"/>
      <c r="H11" s="33"/>
      <c r="I11" s="33"/>
      <c r="J11" s="33">
        <f>$C$31*('E Balans VL '!D11+'E Balans VL '!E11)/100/3.6*1000000</f>
        <v>0</v>
      </c>
      <c r="K11" s="33"/>
      <c r="L11" s="33"/>
      <c r="M11" s="33"/>
      <c r="N11" s="33">
        <f>$C$31*'E Balans VL '!Y11/100/3.6*1000000</f>
        <v>0.37213177233135847</v>
      </c>
      <c r="O11" s="33"/>
      <c r="P11" s="33"/>
      <c r="R11" s="32"/>
    </row>
    <row r="12" spans="1:18">
      <c r="A12" s="32" t="s">
        <v>259</v>
      </c>
      <c r="B12" s="37">
        <f t="shared" si="0"/>
        <v>1727.576716</v>
      </c>
      <c r="C12" s="33"/>
      <c r="D12" s="37">
        <f>IF(ISERROR(TER_rest_gas_kWh/1000),0,TER_rest_gas_kWh/1000)*0.902</f>
        <v>3454.3492501760002</v>
      </c>
      <c r="E12" s="33">
        <f>$C$32*'E Balans VL '!I8/100/3.6*1000000</f>
        <v>22.300230171363594</v>
      </c>
      <c r="F12" s="33">
        <f>$C$32*('E Balans VL '!L8+'E Balans VL '!N8)/100/3.6*1000000</f>
        <v>198.47489530363919</v>
      </c>
      <c r="G12" s="34"/>
      <c r="H12" s="33"/>
      <c r="I12" s="33"/>
      <c r="J12" s="33">
        <f>$C$32*('E Balans VL '!D8+'E Balans VL '!E8)/100/3.6*1000000</f>
        <v>3.3108093728505214E-3</v>
      </c>
      <c r="K12" s="33"/>
      <c r="L12" s="33"/>
      <c r="M12" s="33"/>
      <c r="N12" s="33">
        <f>$C$32*'E Balans VL '!Y8/100/3.6*1000000</f>
        <v>130.80663759931008</v>
      </c>
      <c r="O12" s="33"/>
      <c r="P12" s="33"/>
      <c r="R12" s="32"/>
    </row>
    <row r="13" spans="1:18">
      <c r="A13" s="16" t="s">
        <v>478</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10368.665335</v>
      </c>
      <c r="C16" s="21">
        <f t="shared" ca="1" si="1"/>
        <v>62.357142857142847</v>
      </c>
      <c r="D16" s="21">
        <f t="shared" ca="1" si="1"/>
        <v>9194.547575048</v>
      </c>
      <c r="E16" s="21">
        <f t="shared" si="1"/>
        <v>161.94984418435462</v>
      </c>
      <c r="F16" s="21">
        <f t="shared" ca="1" si="1"/>
        <v>1125.6678335759957</v>
      </c>
      <c r="G16" s="21">
        <f t="shared" si="1"/>
        <v>0</v>
      </c>
      <c r="H16" s="21">
        <f t="shared" si="1"/>
        <v>0</v>
      </c>
      <c r="I16" s="21">
        <f t="shared" si="1"/>
        <v>0</v>
      </c>
      <c r="J16" s="21">
        <f t="shared" si="1"/>
        <v>1.4640547796895116E-2</v>
      </c>
      <c r="K16" s="21">
        <f t="shared" si="1"/>
        <v>0</v>
      </c>
      <c r="L16" s="21">
        <f t="shared" ca="1" si="1"/>
        <v>0</v>
      </c>
      <c r="M16" s="21">
        <f t="shared" si="1"/>
        <v>0</v>
      </c>
      <c r="N16" s="21">
        <f t="shared" ca="1" si="1"/>
        <v>457.8683929769735</v>
      </c>
      <c r="O16" s="21">
        <f>O5</f>
        <v>19.589043063364617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0.1988410158555384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2061.7159482775064</v>
      </c>
      <c r="C20" s="23">
        <f t="shared" ref="C20:P20" ca="1" si="2">C16*C18</f>
        <v>0</v>
      </c>
      <c r="D20" s="23">
        <f t="shared" ca="1" si="2"/>
        <v>1857.2986101596962</v>
      </c>
      <c r="E20" s="23">
        <f t="shared" si="2"/>
        <v>36.7626146298485</v>
      </c>
      <c r="F20" s="23">
        <f t="shared" ca="1" si="2"/>
        <v>300.55331156479087</v>
      </c>
      <c r="G20" s="23">
        <f t="shared" si="2"/>
        <v>0</v>
      </c>
      <c r="H20" s="23">
        <f t="shared" si="2"/>
        <v>0</v>
      </c>
      <c r="I20" s="23">
        <f t="shared" si="2"/>
        <v>0</v>
      </c>
      <c r="J20" s="23">
        <f t="shared" si="2"/>
        <v>5.1827539201008705E-3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1948.913597</v>
      </c>
      <c r="C26" s="39">
        <f>IF(ISERROR(B26*3.6/1000000/'E Balans VL '!Z12*100),0,B26*3.6/1000000/'E Balans VL '!Z12*100)</f>
        <v>4.1344418909168054E-2</v>
      </c>
      <c r="D26" s="237" t="s">
        <v>708</v>
      </c>
      <c r="F26" s="6"/>
    </row>
    <row r="27" spans="1:18">
      <c r="A27" s="231" t="s">
        <v>52</v>
      </c>
      <c r="B27" s="33">
        <f>IF(ISERROR(TER_horeca_ele_kWh/1000),0,TER_horeca_ele_kWh/1000)</f>
        <v>903.47249299999999</v>
      </c>
      <c r="C27" s="39">
        <f>IF(ISERROR(B27*3.6/1000000/'E Balans VL '!Z9*100),0,B27*3.6/1000000/'E Balans VL '!Z9*100)</f>
        <v>6.8039482139903837E-2</v>
      </c>
      <c r="D27" s="237" t="s">
        <v>708</v>
      </c>
      <c r="F27" s="6"/>
    </row>
    <row r="28" spans="1:18">
      <c r="A28" s="171" t="s">
        <v>51</v>
      </c>
      <c r="B28" s="33">
        <f>IF(ISERROR(TER_handel_ele_kWh/1000),0,TER_handel_ele_kWh/1000)</f>
        <v>3996.6133879999998</v>
      </c>
      <c r="C28" s="39">
        <f>IF(ISERROR(B28*3.6/1000000/'E Balans VL '!Z13*100),0,B28*3.6/1000000/'E Balans VL '!Z13*100)</f>
        <v>0.11600752554753127</v>
      </c>
      <c r="D28" s="237" t="s">
        <v>708</v>
      </c>
      <c r="F28" s="6"/>
    </row>
    <row r="29" spans="1:18">
      <c r="A29" s="231" t="s">
        <v>50</v>
      </c>
      <c r="B29" s="33">
        <f>IF(ISERROR(TER_gezond_ele_kWh/1000),0,TER_gezond_ele_kWh/1000)</f>
        <v>913.71660600000007</v>
      </c>
      <c r="C29" s="39">
        <f>IF(ISERROR(B29*3.6/1000000/'E Balans VL '!Z10*100),0,B29*3.6/1000000/'E Balans VL '!Z10*100)</f>
        <v>9.2149409366533194E-2</v>
      </c>
      <c r="D29" s="237" t="s">
        <v>708</v>
      </c>
      <c r="F29" s="6"/>
    </row>
    <row r="30" spans="1:18">
      <c r="A30" s="231" t="s">
        <v>49</v>
      </c>
      <c r="B30" s="33">
        <f>IF(ISERROR(TER_ander_ele_kWh/1000),0,TER_ander_ele_kWh/1000)</f>
        <v>667.395262</v>
      </c>
      <c r="C30" s="39">
        <f>IF(ISERROR(B30*3.6/1000000/'E Balans VL '!Z14*100),0,B30*3.6/1000000/'E Balans VL '!Z14*100)</f>
        <v>4.8428631198910867E-2</v>
      </c>
      <c r="D30" s="237" t="s">
        <v>708</v>
      </c>
      <c r="F30" s="6"/>
    </row>
    <row r="31" spans="1:18">
      <c r="A31" s="231" t="s">
        <v>54</v>
      </c>
      <c r="B31" s="33">
        <f>IF(ISERROR(TER_onderwijs_ele_kWh/1000),0,TER_onderwijs_ele_kWh/1000)</f>
        <v>167.32727299999999</v>
      </c>
      <c r="C31" s="39">
        <f>IF(ISERROR(B31*3.6/1000000/'E Balans VL '!Z11*100),0,B31*3.6/1000000/'E Balans VL '!Z11*100)</f>
        <v>4.7695086688835694E-2</v>
      </c>
      <c r="D31" s="237" t="s">
        <v>708</v>
      </c>
    </row>
    <row r="32" spans="1:18">
      <c r="A32" s="231" t="s">
        <v>259</v>
      </c>
      <c r="B32" s="33">
        <f>IF(ISERROR(TER_rest_ele_kWh/1000),0,TER_rest_ele_kWh/1000)</f>
        <v>1727.576716</v>
      </c>
      <c r="C32" s="39">
        <f>IF(ISERROR(B32*3.6/1000000/'E Balans VL '!Z8*100),0,B32*3.6/1000000/'E Balans VL '!Z8*100)</f>
        <v>1.4151956566569731E-2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2652.6102769999998</v>
      </c>
      <c r="C5" s="17">
        <f>IF(ISERROR('Eigen informatie GS &amp; warmtenet'!B61),0,'Eigen informatie GS &amp; warmtenet'!B61)</f>
        <v>0</v>
      </c>
      <c r="D5" s="30">
        <f>SUM(D6:D15)</f>
        <v>1643.8181784640001</v>
      </c>
      <c r="E5" s="17">
        <f>SUM(E6:E15)</f>
        <v>274.11287921142525</v>
      </c>
      <c r="F5" s="17">
        <f>SUM(F6:F15)</f>
        <v>894.06603070055348</v>
      </c>
      <c r="G5" s="18"/>
      <c r="H5" s="17"/>
      <c r="I5" s="17"/>
      <c r="J5" s="17">
        <f>SUM(J6:J15)</f>
        <v>17.857419583725353</v>
      </c>
      <c r="K5" s="17"/>
      <c r="L5" s="17"/>
      <c r="M5" s="17"/>
      <c r="N5" s="17">
        <f>SUM(N6:N15)</f>
        <v>132.19011182975657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43.283358999999997</v>
      </c>
      <c r="C8" s="33"/>
      <c r="D8" s="37">
        <f>IF( ISERROR(IND_metaal_Gas_kWH/1000),0,IND_metaal_Gas_kWH/1000)*0.902</f>
        <v>0</v>
      </c>
      <c r="E8" s="33">
        <f>C30*'E Balans VL '!I18/100/3.6*1000000</f>
        <v>0.31225905608443633</v>
      </c>
      <c r="F8" s="33">
        <f>C30*'E Balans VL '!L18/100/3.6*1000000+C30*'E Balans VL '!N18/100/3.6*1000000</f>
        <v>4.0938076721663599</v>
      </c>
      <c r="G8" s="34"/>
      <c r="H8" s="33"/>
      <c r="I8" s="33"/>
      <c r="J8" s="40">
        <f>C30*'E Balans VL '!D18/100/3.6*1000000+C30*'E Balans VL '!E18/100/3.6*1000000</f>
        <v>4.3534654010374318E-2</v>
      </c>
      <c r="K8" s="33"/>
      <c r="L8" s="33"/>
      <c r="M8" s="33"/>
      <c r="N8" s="33">
        <f>C30*'E Balans VL '!Y18/100/3.6*1000000</f>
        <v>0.54721617422211</v>
      </c>
      <c r="O8" s="33"/>
      <c r="P8" s="33"/>
      <c r="R8" s="32"/>
    </row>
    <row r="9" spans="1:18">
      <c r="A9" s="6" t="s">
        <v>32</v>
      </c>
      <c r="B9" s="37">
        <f t="shared" si="0"/>
        <v>735.23478499999999</v>
      </c>
      <c r="C9" s="33"/>
      <c r="D9" s="37">
        <f>IF( ISERROR(IND_andere_gas_kWh/1000),0,IND_andere_gas_kWh/1000)*0.902</f>
        <v>462.00232449800006</v>
      </c>
      <c r="E9" s="33">
        <f>C31*'E Balans VL '!I19/100/3.6*1000000</f>
        <v>203.74339024426521</v>
      </c>
      <c r="F9" s="33">
        <f>C31*'E Balans VL '!L19/100/3.6*1000000+C31*'E Balans VL '!N19/100/3.6*1000000</f>
        <v>609.3641786626157</v>
      </c>
      <c r="G9" s="34"/>
      <c r="H9" s="33"/>
      <c r="I9" s="33"/>
      <c r="J9" s="40">
        <f>C31*'E Balans VL '!D19/100/3.6*1000000+C31*'E Balans VL '!E19/100/3.6*1000000</f>
        <v>0</v>
      </c>
      <c r="K9" s="33"/>
      <c r="L9" s="33"/>
      <c r="M9" s="33"/>
      <c r="N9" s="33">
        <f>C31*'E Balans VL '!Y19/100/3.6*1000000</f>
        <v>53.369052496024253</v>
      </c>
      <c r="O9" s="33"/>
      <c r="P9" s="33"/>
      <c r="R9" s="32"/>
    </row>
    <row r="10" spans="1:18">
      <c r="A10" s="6" t="s">
        <v>40</v>
      </c>
      <c r="B10" s="37">
        <f t="shared" si="0"/>
        <v>354.617885</v>
      </c>
      <c r="C10" s="33"/>
      <c r="D10" s="37">
        <f>IF( ISERROR(IND_voed_gas_kWh/1000),0,IND_voed_gas_kWh/1000)*0.902</f>
        <v>418.89361036600002</v>
      </c>
      <c r="E10" s="33">
        <f>C32*'E Balans VL '!I20/100/3.6*1000000</f>
        <v>0.62779377322868013</v>
      </c>
      <c r="F10" s="33">
        <f>C32*'E Balans VL '!L20/100/3.6*1000000+C32*'E Balans VL '!N20/100/3.6*1000000</f>
        <v>19.15250874012203</v>
      </c>
      <c r="G10" s="34"/>
      <c r="H10" s="33"/>
      <c r="I10" s="33"/>
      <c r="J10" s="40">
        <f>C32*'E Balans VL '!D20/100/3.6*1000000+C32*'E Balans VL '!E20/100/3.6*1000000</f>
        <v>0</v>
      </c>
      <c r="K10" s="33"/>
      <c r="L10" s="33"/>
      <c r="M10" s="33"/>
      <c r="N10" s="33">
        <f>C32*'E Balans VL '!Y20/100/3.6*1000000</f>
        <v>20.606007369034952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52.016563000000005</v>
      </c>
      <c r="C13" s="33"/>
      <c r="D13" s="37">
        <f>IF( ISERROR(IND_papier_gas_kWh/1000),0,IND_papier_gas_kWh/1000)*0.902</f>
        <v>0</v>
      </c>
      <c r="E13" s="33">
        <f>C35*'E Balans VL '!I23/100/3.6*1000000</f>
        <v>7.6534225629562247E-2</v>
      </c>
      <c r="F13" s="33">
        <f>C35*'E Balans VL '!L23/100/3.6*1000000+C35*'E Balans VL '!N23/100/3.6*1000000</f>
        <v>0.55695728455076055</v>
      </c>
      <c r="G13" s="34"/>
      <c r="H13" s="33"/>
      <c r="I13" s="33"/>
      <c r="J13" s="40">
        <f>C35*'E Balans VL '!D23/100/3.6*1000000+C35*'E Balans VL '!E23/100/3.6*1000000</f>
        <v>5.6909036858212234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1467.4576850000001</v>
      </c>
      <c r="C15" s="33"/>
      <c r="D15" s="37">
        <f>IF( ISERROR(IND_rest_gas_kWh/1000),0,IND_rest_gas_kWh/1000)*0.902</f>
        <v>762.92224360000012</v>
      </c>
      <c r="E15" s="33">
        <f>C37*'E Balans VL '!I15/100/3.6*1000000</f>
        <v>69.352901912217348</v>
      </c>
      <c r="F15" s="33">
        <f>C37*'E Balans VL '!L15/100/3.6*1000000+C37*'E Balans VL '!N15/100/3.6*1000000</f>
        <v>260.89857834109858</v>
      </c>
      <c r="G15" s="34"/>
      <c r="H15" s="33"/>
      <c r="I15" s="33"/>
      <c r="J15" s="40">
        <f>C37*'E Balans VL '!D15/100/3.6*1000000+C37*'E Balans VL '!E15/100/3.6*1000000</f>
        <v>12.122981243893754</v>
      </c>
      <c r="K15" s="33"/>
      <c r="L15" s="33"/>
      <c r="M15" s="33"/>
      <c r="N15" s="33">
        <f>C37*'E Balans VL '!Y15/100/3.6*1000000</f>
        <v>57.667835790475252</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2652.6102769999998</v>
      </c>
      <c r="C18" s="21">
        <f>C5+C16</f>
        <v>0</v>
      </c>
      <c r="D18" s="21">
        <f>MAX((D5+D16),0)</f>
        <v>1643.8181784640001</v>
      </c>
      <c r="E18" s="21">
        <f>MAX((E5+E16),0)</f>
        <v>274.11287921142525</v>
      </c>
      <c r="F18" s="21">
        <f>MAX((F5+F16),0)</f>
        <v>894.06603070055348</v>
      </c>
      <c r="G18" s="21"/>
      <c r="H18" s="21"/>
      <c r="I18" s="21"/>
      <c r="J18" s="21">
        <f>MAX((J5+J16),0)</f>
        <v>17.857419583725353</v>
      </c>
      <c r="K18" s="21"/>
      <c r="L18" s="21">
        <f>MAX((L5+L16),0)</f>
        <v>0</v>
      </c>
      <c r="M18" s="21"/>
      <c r="N18" s="21">
        <f>MAX((N5+N16),0)</f>
        <v>132.19011182975657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0.1988410158555384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527.44772214752106</v>
      </c>
      <c r="C22" s="23">
        <f ca="1">C18*C20</f>
        <v>0</v>
      </c>
      <c r="D22" s="23">
        <f>D18*D20</f>
        <v>332.05127204972803</v>
      </c>
      <c r="E22" s="23">
        <f>E18*E20</f>
        <v>62.223623580993532</v>
      </c>
      <c r="F22" s="23">
        <f>F18*F20</f>
        <v>238.7156301970478</v>
      </c>
      <c r="G22" s="23"/>
      <c r="H22" s="23"/>
      <c r="I22" s="23"/>
      <c r="J22" s="23">
        <f>J18*J20</f>
        <v>6.3215265326387744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43.283358999999997</v>
      </c>
      <c r="C30" s="39">
        <f>IF(ISERROR(B30*3.6/1000000/'E Balans VL '!Z18*100),0,B30*3.6/1000000/'E Balans VL '!Z18*100)</f>
        <v>2.4986807779817295E-3</v>
      </c>
      <c r="D30" s="237" t="s">
        <v>708</v>
      </c>
    </row>
    <row r="31" spans="1:18">
      <c r="A31" s="6" t="s">
        <v>32</v>
      </c>
      <c r="B31" s="37">
        <f>IF( ISERROR(IND_ander_ele_kWh/1000),0,IND_ander_ele_kWh/1000)</f>
        <v>735.23478499999999</v>
      </c>
      <c r="C31" s="39">
        <f>IF(ISERROR(B31*3.6/1000000/'E Balans VL '!Z19*100),0,B31*3.6/1000000/'E Balans VL '!Z19*100)</f>
        <v>3.697992651422314E-2</v>
      </c>
      <c r="D31" s="237" t="s">
        <v>708</v>
      </c>
    </row>
    <row r="32" spans="1:18">
      <c r="A32" s="171" t="s">
        <v>40</v>
      </c>
      <c r="B32" s="37">
        <f>IF( ISERROR(IND_voed_ele_kWh/1000),0,IND_voed_ele_kWh/1000)</f>
        <v>354.617885</v>
      </c>
      <c r="C32" s="39">
        <f>IF(ISERROR(B32*3.6/1000000/'E Balans VL '!Z20*100),0,B32*3.6/1000000/'E Balans VL '!Z20*100)</f>
        <v>1.1810881379476638E-2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52.016563000000005</v>
      </c>
      <c r="C35" s="39">
        <f>IF(ISERROR(B35*3.6/1000000/'E Balans VL '!Z22*100),0,B35*3.6/1000000/'E Balans VL '!Z22*100)</f>
        <v>9.7028459295680197E-3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1467.4576850000001</v>
      </c>
      <c r="C37" s="39">
        <f>IF(ISERROR(B37*3.6/1000000/'E Balans VL '!Z15*100),0,B37*3.6/1000000/'E Balans VL '!Z15*100)</f>
        <v>1.1450182898559969E-2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1063.1624619999998</v>
      </c>
      <c r="C5" s="17">
        <f>'Eigen informatie GS &amp; warmtenet'!B62</f>
        <v>0</v>
      </c>
      <c r="D5" s="30">
        <f>IF(ISERROR(SUM(LB_lb_gas_kWh,LB_rest_gas_kWh)/1000),0,SUM(LB_lb_gas_kWh,LB_rest_gas_kWh)/1000)*0.902</f>
        <v>130.86258213599999</v>
      </c>
      <c r="E5" s="17">
        <f>B17*'E Balans VL '!I25/3.6*1000000/100</f>
        <v>33.180949851291295</v>
      </c>
      <c r="F5" s="17">
        <f>B17*('E Balans VL '!L25/3.6*1000000+'E Balans VL '!N25/3.6*1000000)/100</f>
        <v>3757.3339146684698</v>
      </c>
      <c r="G5" s="18"/>
      <c r="H5" s="17"/>
      <c r="I5" s="17"/>
      <c r="J5" s="17">
        <f>('E Balans VL '!D25+'E Balans VL '!E25)/3.6*1000000*landbouw!B17/100</f>
        <v>292.9086312480577</v>
      </c>
      <c r="K5" s="17"/>
      <c r="L5" s="17">
        <f>L6*(-1)</f>
        <v>0</v>
      </c>
      <c r="M5" s="17"/>
      <c r="N5" s="17">
        <f>N6*(-1)</f>
        <v>124.71428571428569</v>
      </c>
      <c r="O5" s="17"/>
      <c r="P5" s="17"/>
      <c r="R5" s="32"/>
    </row>
    <row r="6" spans="1:18">
      <c r="A6" s="16" t="s">
        <v>478</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1063.1624619999998</v>
      </c>
      <c r="C8" s="21">
        <f>C5+C6</f>
        <v>62.357142857142847</v>
      </c>
      <c r="D8" s="21">
        <f>MAX((D5+D6),0)</f>
        <v>130.86258213599999</v>
      </c>
      <c r="E8" s="21">
        <f>MAX((E5+E6),0)</f>
        <v>33.180949851291295</v>
      </c>
      <c r="F8" s="21">
        <f>MAX((F5+F6),0)</f>
        <v>3757.3339146684698</v>
      </c>
      <c r="G8" s="21"/>
      <c r="H8" s="21"/>
      <c r="I8" s="21"/>
      <c r="J8" s="21">
        <f>MAX((J5+J6),0)</f>
        <v>292.9086312480577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0.1988410158555384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211.40030396355519</v>
      </c>
      <c r="C12" s="23">
        <f ca="1">C8*C10</f>
        <v>0</v>
      </c>
      <c r="D12" s="23">
        <f>D8*D10</f>
        <v>26.434241591471999</v>
      </c>
      <c r="E12" s="23">
        <f>E8*E10</f>
        <v>7.5320756162431239</v>
      </c>
      <c r="F12" s="23">
        <f>F8*F10</f>
        <v>1003.2081552164815</v>
      </c>
      <c r="G12" s="23"/>
      <c r="H12" s="23"/>
      <c r="I12" s="23"/>
      <c r="J12" s="23">
        <f>J8*J10</f>
        <v>103.68965546181242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0.15804672144674986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367.56962178795118</v>
      </c>
      <c r="C26" s="247">
        <f>B26*'GWP N2O_CH4'!B5</f>
        <v>7718.9620575469744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55.854405883043825</v>
      </c>
      <c r="C27" s="247">
        <f>B27*'GWP N2O_CH4'!B5</f>
        <v>1172.9425235439203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4.6615865980182045</v>
      </c>
      <c r="C28" s="247">
        <f>B28*'GWP N2O_CH4'!B4</f>
        <v>1445.0918453856434</v>
      </c>
      <c r="D28" s="50"/>
    </row>
    <row r="29" spans="1:4">
      <c r="A29" s="41" t="s">
        <v>276</v>
      </c>
      <c r="B29" s="247">
        <f>B34*'ha_N2O bodem landbouw'!B4</f>
        <v>19.786794346122779</v>
      </c>
      <c r="C29" s="247">
        <f>B29*'GWP N2O_CH4'!B4</f>
        <v>6133.9062472980613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4.3388877468828113E-3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1.5333690111947937E-4</v>
      </c>
      <c r="C5" s="437" t="s">
        <v>210</v>
      </c>
      <c r="D5" s="422">
        <f>SUM(D6:D11)</f>
        <v>6.0860556372372885E-4</v>
      </c>
      <c r="E5" s="422">
        <f>SUM(E6:E11)</f>
        <v>5.0854190730805372E-4</v>
      </c>
      <c r="F5" s="435" t="s">
        <v>210</v>
      </c>
      <c r="G5" s="422">
        <f>SUM(G6:G11)</f>
        <v>0.23415802847299919</v>
      </c>
      <c r="H5" s="422">
        <f>SUM(H6:H11)</f>
        <v>5.6576969133991843E-2</v>
      </c>
      <c r="I5" s="437" t="s">
        <v>210</v>
      </c>
      <c r="J5" s="437" t="s">
        <v>210</v>
      </c>
      <c r="K5" s="437" t="s">
        <v>210</v>
      </c>
      <c r="L5" s="437" t="s">
        <v>210</v>
      </c>
      <c r="M5" s="422">
        <f>SUM(M6:M11)</f>
        <v>1.724327064186609E-2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1.0207714285939281E-4</v>
      </c>
      <c r="C6" s="423"/>
      <c r="D6" s="890">
        <f>vkm_GW_PW*SUMIFS(TableVerdeelsleutelVkm[CNG],TableVerdeelsleutelVkm[Voertuigtype],"Lichte voertuigen")*SUMIFS(TableECFTransport[EnergieConsumptieFactor (PJ per km)],TableECFTransport[Index],CONCATENATE($A6,"_CNG_CNG"))</f>
        <v>3.2883155345441112E-4</v>
      </c>
      <c r="E6" s="890">
        <f>vkm_GW_PW*SUMIFS(TableVerdeelsleutelVkm[LPG],TableVerdeelsleutelVkm[Voertuigtype],"Lichte voertuigen")*SUMIFS(TableECFTransport[EnergieConsumptieFactor (PJ per km)],TableECFTransport[Index],CONCATENATE($A6,"_LPG_LPG"))</f>
        <v>2.8120905228648182E-4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9.0844426679608486E-2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3.0804787937087644E-2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7.276044252379852E-3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6.0544431139688402E-2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8.6573100323796009E-7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3.4899266997908077E-3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5.1259758260086554E-5</v>
      </c>
      <c r="C8" s="423"/>
      <c r="D8" s="425">
        <f>vkm_NGW_PW*SUMIFS(TableVerdeelsleutelVkm[CNG],TableVerdeelsleutelVkm[Voertuigtype],"Lichte voertuigen")*SUMIFS(TableECFTransport[EnergieConsumptieFactor (PJ per km)],TableECFTransport[Index],CONCATENATE($A8,"_CNG_CNG"))</f>
        <v>2.7977401026931773E-4</v>
      </c>
      <c r="E8" s="425">
        <f>vkm_NGW_PW*SUMIFS(TableVerdeelsleutelVkm[LPG],TableVerdeelsleutelVkm[Voertuigtype],"Lichte voertuigen")*SUMIFS(TableECFTransport[EnergieConsumptieFactor (PJ per km)],TableECFTransport[Index],CONCATENATE($A8,"_LPG_LPG"))</f>
        <v>2.2733285502157187E-4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6.8624994407043172E-2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2.5771059034008646E-2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5.6619917479689922E-3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1.4144176246659122E-2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2.5643189231755441E-7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8.1530794172643829E-4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42.593583644299819</v>
      </c>
      <c r="C14" s="21"/>
      <c r="D14" s="21">
        <f t="shared" ref="D14:M14" si="0">((D5)*10^9/3600)+D12</f>
        <v>169.05710103436914</v>
      </c>
      <c r="E14" s="21">
        <f t="shared" si="0"/>
        <v>141.26164091890379</v>
      </c>
      <c r="F14" s="21"/>
      <c r="G14" s="21">
        <f t="shared" si="0"/>
        <v>65043.896798055328</v>
      </c>
      <c r="H14" s="21">
        <f t="shared" si="0"/>
        <v>15715.824759442179</v>
      </c>
      <c r="I14" s="21"/>
      <c r="J14" s="21"/>
      <c r="K14" s="21"/>
      <c r="L14" s="21"/>
      <c r="M14" s="21">
        <f t="shared" si="0"/>
        <v>4789.7974005183578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0.1988410158555384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8.4693514407604216</v>
      </c>
      <c r="C18" s="23"/>
      <c r="D18" s="23">
        <f t="shared" ref="D18:M18" si="1">D14*D16</f>
        <v>34.149534408942571</v>
      </c>
      <c r="E18" s="23">
        <f t="shared" si="1"/>
        <v>32.066392488591163</v>
      </c>
      <c r="F18" s="23"/>
      <c r="G18" s="23">
        <f t="shared" si="1"/>
        <v>17366.720445080773</v>
      </c>
      <c r="H18" s="23">
        <f t="shared" si="1"/>
        <v>3913.2403651011027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2.9767672168069053E-3</v>
      </c>
      <c r="H50" s="319">
        <f t="shared" si="2"/>
        <v>0</v>
      </c>
      <c r="I50" s="319">
        <f t="shared" si="2"/>
        <v>0</v>
      </c>
      <c r="J50" s="319">
        <f t="shared" si="2"/>
        <v>0</v>
      </c>
      <c r="K50" s="319">
        <f t="shared" si="2"/>
        <v>0</v>
      </c>
      <c r="L50" s="319">
        <f t="shared" si="2"/>
        <v>0</v>
      </c>
      <c r="M50" s="319">
        <f t="shared" si="2"/>
        <v>1.654230212323212E-4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2.9767672168069053E-3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1.654230212323212E-4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826.87978244636258</v>
      </c>
      <c r="H54" s="21">
        <f t="shared" si="3"/>
        <v>0</v>
      </c>
      <c r="I54" s="21">
        <f t="shared" si="3"/>
        <v>0</v>
      </c>
      <c r="J54" s="21">
        <f t="shared" si="3"/>
        <v>0</v>
      </c>
      <c r="K54" s="21">
        <f t="shared" si="3"/>
        <v>0</v>
      </c>
      <c r="L54" s="21">
        <f t="shared" si="3"/>
        <v>0</v>
      </c>
      <c r="M54" s="21">
        <f t="shared" si="3"/>
        <v>45.950839231200341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0.1988410158555384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220.77690191317882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11774.276335</v>
      </c>
      <c r="D10" s="686">
        <f ca="1">tertiair!C16</f>
        <v>62.357142857142847</v>
      </c>
      <c r="E10" s="686">
        <f ca="1">tertiair!D16</f>
        <v>9194.547575048</v>
      </c>
      <c r="F10" s="686">
        <f>tertiair!E16</f>
        <v>161.94984418435462</v>
      </c>
      <c r="G10" s="686">
        <f ca="1">tertiair!F16</f>
        <v>1125.6678335759957</v>
      </c>
      <c r="H10" s="686">
        <f>tertiair!G16</f>
        <v>0</v>
      </c>
      <c r="I10" s="686">
        <f>tertiair!H16</f>
        <v>0</v>
      </c>
      <c r="J10" s="686">
        <f>tertiair!I16</f>
        <v>0</v>
      </c>
      <c r="K10" s="686">
        <f>tertiair!J16</f>
        <v>1.4640547796895116E-2</v>
      </c>
      <c r="L10" s="686">
        <f>tertiair!K16</f>
        <v>0</v>
      </c>
      <c r="M10" s="686">
        <f ca="1">tertiair!L16</f>
        <v>0</v>
      </c>
      <c r="N10" s="686">
        <f>tertiair!M16</f>
        <v>0</v>
      </c>
      <c r="O10" s="686">
        <f ca="1">tertiair!N16</f>
        <v>457.8683929769735</v>
      </c>
      <c r="P10" s="686">
        <f>tertiair!O16</f>
        <v>19.589043063364617</v>
      </c>
      <c r="Q10" s="687">
        <f>tertiair!P16</f>
        <v>210.15655322598008</v>
      </c>
      <c r="R10" s="689">
        <f ca="1">SUM(C10:Q10)</f>
        <v>23006.427360479611</v>
      </c>
      <c r="S10" s="67"/>
    </row>
    <row r="11" spans="1:19" s="448" customFormat="1">
      <c r="A11" s="808" t="s">
        <v>224</v>
      </c>
      <c r="B11" s="813"/>
      <c r="C11" s="686">
        <f>huishoudens!B8</f>
        <v>32690.736999646837</v>
      </c>
      <c r="D11" s="686">
        <f>huishoudens!C8</f>
        <v>0</v>
      </c>
      <c r="E11" s="686">
        <f>huishoudens!D8</f>
        <v>49995.74822858</v>
      </c>
      <c r="F11" s="686">
        <f>huishoudens!E8</f>
        <v>12882.400408041047</v>
      </c>
      <c r="G11" s="686">
        <f>huishoudens!F8</f>
        <v>33521.663545629795</v>
      </c>
      <c r="H11" s="686">
        <f>huishoudens!G8</f>
        <v>0</v>
      </c>
      <c r="I11" s="686">
        <f>huishoudens!H8</f>
        <v>0</v>
      </c>
      <c r="J11" s="686">
        <f>huishoudens!I8</f>
        <v>0</v>
      </c>
      <c r="K11" s="686">
        <f>huishoudens!J8</f>
        <v>1406.4602728779109</v>
      </c>
      <c r="L11" s="686">
        <f>huishoudens!K8</f>
        <v>0</v>
      </c>
      <c r="M11" s="686">
        <f>huishoudens!L8</f>
        <v>0</v>
      </c>
      <c r="N11" s="686">
        <f>huishoudens!M8</f>
        <v>0</v>
      </c>
      <c r="O11" s="686">
        <f>huishoudens!N8</f>
        <v>22439.192596035537</v>
      </c>
      <c r="P11" s="686">
        <f>huishoudens!O8</f>
        <v>499.95747128553205</v>
      </c>
      <c r="Q11" s="687">
        <f>huishoudens!P8</f>
        <v>442.42629092277093</v>
      </c>
      <c r="R11" s="689">
        <f>SUM(C11:Q11)</f>
        <v>153878.58581301945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2652.6102769999998</v>
      </c>
      <c r="D13" s="686">
        <f>industrie!C18</f>
        <v>0</v>
      </c>
      <c r="E13" s="686">
        <f>industrie!D18</f>
        <v>1643.8181784640001</v>
      </c>
      <c r="F13" s="686">
        <f>industrie!E18</f>
        <v>274.11287921142525</v>
      </c>
      <c r="G13" s="686">
        <f>industrie!F18</f>
        <v>894.06603070055348</v>
      </c>
      <c r="H13" s="686">
        <f>industrie!G18</f>
        <v>0</v>
      </c>
      <c r="I13" s="686">
        <f>industrie!H18</f>
        <v>0</v>
      </c>
      <c r="J13" s="686">
        <f>industrie!I18</f>
        <v>0</v>
      </c>
      <c r="K13" s="686">
        <f>industrie!J18</f>
        <v>17.857419583725353</v>
      </c>
      <c r="L13" s="686">
        <f>industrie!K18</f>
        <v>0</v>
      </c>
      <c r="M13" s="686">
        <f>industrie!L18</f>
        <v>0</v>
      </c>
      <c r="N13" s="686">
        <f>industrie!M18</f>
        <v>0</v>
      </c>
      <c r="O13" s="686">
        <f>industrie!N18</f>
        <v>132.19011182975657</v>
      </c>
      <c r="P13" s="686">
        <f>industrie!O18</f>
        <v>0</v>
      </c>
      <c r="Q13" s="687">
        <f>industrie!P18</f>
        <v>0</v>
      </c>
      <c r="R13" s="689">
        <f>SUM(C13:Q13)</f>
        <v>5614.6548967894605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47117.623611646835</v>
      </c>
      <c r="D16" s="722">
        <f t="shared" ref="D16:R16" ca="1" si="0">SUM(D9:D15)</f>
        <v>62.357142857142847</v>
      </c>
      <c r="E16" s="722">
        <f t="shared" ca="1" si="0"/>
        <v>60834.113982092007</v>
      </c>
      <c r="F16" s="722">
        <f t="shared" si="0"/>
        <v>13318.463131436827</v>
      </c>
      <c r="G16" s="722">
        <f t="shared" ca="1" si="0"/>
        <v>35541.397409906342</v>
      </c>
      <c r="H16" s="722">
        <f t="shared" si="0"/>
        <v>0</v>
      </c>
      <c r="I16" s="722">
        <f t="shared" si="0"/>
        <v>0</v>
      </c>
      <c r="J16" s="722">
        <f t="shared" si="0"/>
        <v>0</v>
      </c>
      <c r="K16" s="722">
        <f t="shared" si="0"/>
        <v>1424.3323330094333</v>
      </c>
      <c r="L16" s="722">
        <f t="shared" si="0"/>
        <v>0</v>
      </c>
      <c r="M16" s="722">
        <f t="shared" ca="1" si="0"/>
        <v>0</v>
      </c>
      <c r="N16" s="722">
        <f t="shared" si="0"/>
        <v>0</v>
      </c>
      <c r="O16" s="722">
        <f t="shared" ca="1" si="0"/>
        <v>23029.251100842266</v>
      </c>
      <c r="P16" s="722">
        <f t="shared" si="0"/>
        <v>519.54651434889672</v>
      </c>
      <c r="Q16" s="722">
        <f t="shared" si="0"/>
        <v>652.58284414875106</v>
      </c>
      <c r="R16" s="722">
        <f t="shared" ca="1" si="0"/>
        <v>182499.66807028852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826.87978244636258</v>
      </c>
      <c r="I19" s="686">
        <f>transport!H54</f>
        <v>0</v>
      </c>
      <c r="J19" s="686">
        <f>transport!I54</f>
        <v>0</v>
      </c>
      <c r="K19" s="686">
        <f>transport!J54</f>
        <v>0</v>
      </c>
      <c r="L19" s="686">
        <f>transport!K54</f>
        <v>0</v>
      </c>
      <c r="M19" s="686">
        <f>transport!L54</f>
        <v>0</v>
      </c>
      <c r="N19" s="686">
        <f>transport!M54</f>
        <v>45.950839231200341</v>
      </c>
      <c r="O19" s="686">
        <f>transport!N54</f>
        <v>0</v>
      </c>
      <c r="P19" s="686">
        <f>transport!O54</f>
        <v>0</v>
      </c>
      <c r="Q19" s="687">
        <f>transport!P54</f>
        <v>0</v>
      </c>
      <c r="R19" s="689">
        <f>SUM(C19:Q19)</f>
        <v>872.83062167756293</v>
      </c>
      <c r="S19" s="67"/>
    </row>
    <row r="20" spans="1:19" s="448" customFormat="1">
      <c r="A20" s="808" t="s">
        <v>306</v>
      </c>
      <c r="B20" s="813"/>
      <c r="C20" s="686">
        <f>transport!B14</f>
        <v>42.593583644299819</v>
      </c>
      <c r="D20" s="686">
        <f>transport!C14</f>
        <v>0</v>
      </c>
      <c r="E20" s="686">
        <f>transport!D14</f>
        <v>169.05710103436914</v>
      </c>
      <c r="F20" s="686">
        <f>transport!E14</f>
        <v>141.26164091890379</v>
      </c>
      <c r="G20" s="686">
        <f>transport!F14</f>
        <v>0</v>
      </c>
      <c r="H20" s="686">
        <f>transport!G14</f>
        <v>65043.896798055328</v>
      </c>
      <c r="I20" s="686">
        <f>transport!H14</f>
        <v>15715.824759442179</v>
      </c>
      <c r="J20" s="686">
        <f>transport!I14</f>
        <v>0</v>
      </c>
      <c r="K20" s="686">
        <f>transport!J14</f>
        <v>0</v>
      </c>
      <c r="L20" s="686">
        <f>transport!K14</f>
        <v>0</v>
      </c>
      <c r="M20" s="686">
        <f>transport!L14</f>
        <v>0</v>
      </c>
      <c r="N20" s="686">
        <f>transport!M14</f>
        <v>4789.7974005183578</v>
      </c>
      <c r="O20" s="686">
        <f>transport!N14</f>
        <v>0</v>
      </c>
      <c r="P20" s="686">
        <f>transport!O14</f>
        <v>0</v>
      </c>
      <c r="Q20" s="687">
        <f>transport!P14</f>
        <v>0</v>
      </c>
      <c r="R20" s="689">
        <f>SUM(C20:Q20)</f>
        <v>85902.431283613449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42.593583644299819</v>
      </c>
      <c r="D22" s="811">
        <f t="shared" ref="D22:R22" si="1">SUM(D18:D21)</f>
        <v>0</v>
      </c>
      <c r="E22" s="811">
        <f t="shared" si="1"/>
        <v>169.05710103436914</v>
      </c>
      <c r="F22" s="811">
        <f t="shared" si="1"/>
        <v>141.26164091890379</v>
      </c>
      <c r="G22" s="811">
        <f t="shared" si="1"/>
        <v>0</v>
      </c>
      <c r="H22" s="811">
        <f t="shared" si="1"/>
        <v>65870.776580501697</v>
      </c>
      <c r="I22" s="811">
        <f t="shared" si="1"/>
        <v>15715.824759442179</v>
      </c>
      <c r="J22" s="811">
        <f t="shared" si="1"/>
        <v>0</v>
      </c>
      <c r="K22" s="811">
        <f t="shared" si="1"/>
        <v>0</v>
      </c>
      <c r="L22" s="811">
        <f t="shared" si="1"/>
        <v>0</v>
      </c>
      <c r="M22" s="811">
        <f t="shared" si="1"/>
        <v>0</v>
      </c>
      <c r="N22" s="811">
        <f t="shared" si="1"/>
        <v>4835.7482397495578</v>
      </c>
      <c r="O22" s="811">
        <f t="shared" si="1"/>
        <v>0</v>
      </c>
      <c r="P22" s="811">
        <f t="shared" si="1"/>
        <v>0</v>
      </c>
      <c r="Q22" s="811">
        <f t="shared" si="1"/>
        <v>0</v>
      </c>
      <c r="R22" s="811">
        <f t="shared" si="1"/>
        <v>86775.261905291016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1063.1624619999998</v>
      </c>
      <c r="D24" s="686">
        <f>+landbouw!C8</f>
        <v>62.357142857142847</v>
      </c>
      <c r="E24" s="686">
        <f>+landbouw!D8</f>
        <v>130.86258213599999</v>
      </c>
      <c r="F24" s="686">
        <f>+landbouw!E8</f>
        <v>33.180949851291295</v>
      </c>
      <c r="G24" s="686">
        <f>+landbouw!F8</f>
        <v>3757.3339146684698</v>
      </c>
      <c r="H24" s="686">
        <f>+landbouw!G8</f>
        <v>0</v>
      </c>
      <c r="I24" s="686">
        <f>+landbouw!H8</f>
        <v>0</v>
      </c>
      <c r="J24" s="686">
        <f>+landbouw!I8</f>
        <v>0</v>
      </c>
      <c r="K24" s="686">
        <f>+landbouw!J8</f>
        <v>292.9086312480577</v>
      </c>
      <c r="L24" s="686">
        <f>+landbouw!K8</f>
        <v>0</v>
      </c>
      <c r="M24" s="686">
        <f>+landbouw!L8</f>
        <v>0</v>
      </c>
      <c r="N24" s="686">
        <f>+landbouw!M8</f>
        <v>0</v>
      </c>
      <c r="O24" s="686">
        <f>+landbouw!N8</f>
        <v>0</v>
      </c>
      <c r="P24" s="686">
        <f>+landbouw!O8</f>
        <v>0</v>
      </c>
      <c r="Q24" s="687">
        <f>+landbouw!P8</f>
        <v>0</v>
      </c>
      <c r="R24" s="689">
        <f>SUM(C24:Q24)</f>
        <v>5339.8056827609616</v>
      </c>
      <c r="S24" s="67"/>
    </row>
    <row r="25" spans="1:19" s="448" customFormat="1" ht="15" thickBot="1">
      <c r="A25" s="830" t="s">
        <v>724</v>
      </c>
      <c r="B25" s="949"/>
      <c r="C25" s="950">
        <f>IF(Onbekend_ele_kWh="---",0,Onbekend_ele_kWh)/1000+IF(REST_rest_ele_kWh="---",0,REST_rest_ele_kWh)/1000</f>
        <v>676.21815599999991</v>
      </c>
      <c r="D25" s="950"/>
      <c r="E25" s="950">
        <f>IF(onbekend_gas_kWh="---",0,onbekend_gas_kWh)/1000+IF(REST_rest_gas_kWh="---",0,REST_rest_gas_kWh)/1000</f>
        <v>1580.8491329999999</v>
      </c>
      <c r="F25" s="950"/>
      <c r="G25" s="950"/>
      <c r="H25" s="950"/>
      <c r="I25" s="950"/>
      <c r="J25" s="950"/>
      <c r="K25" s="950"/>
      <c r="L25" s="950"/>
      <c r="M25" s="950"/>
      <c r="N25" s="950"/>
      <c r="O25" s="950"/>
      <c r="P25" s="950"/>
      <c r="Q25" s="951"/>
      <c r="R25" s="689">
        <f>SUM(C25:Q25)</f>
        <v>2257.0672889999996</v>
      </c>
      <c r="S25" s="67"/>
    </row>
    <row r="26" spans="1:19" s="448" customFormat="1" ht="15.75" thickBot="1">
      <c r="A26" s="694" t="s">
        <v>725</v>
      </c>
      <c r="B26" s="816"/>
      <c r="C26" s="811">
        <f>SUM(C24:C25)</f>
        <v>1739.3806179999997</v>
      </c>
      <c r="D26" s="811">
        <f t="shared" ref="D26:R26" si="2">SUM(D24:D25)</f>
        <v>62.357142857142847</v>
      </c>
      <c r="E26" s="811">
        <f t="shared" si="2"/>
        <v>1711.7117151359998</v>
      </c>
      <c r="F26" s="811">
        <f t="shared" si="2"/>
        <v>33.180949851291295</v>
      </c>
      <c r="G26" s="811">
        <f t="shared" si="2"/>
        <v>3757.3339146684698</v>
      </c>
      <c r="H26" s="811">
        <f t="shared" si="2"/>
        <v>0</v>
      </c>
      <c r="I26" s="811">
        <f t="shared" si="2"/>
        <v>0</v>
      </c>
      <c r="J26" s="811">
        <f t="shared" si="2"/>
        <v>0</v>
      </c>
      <c r="K26" s="811">
        <f t="shared" si="2"/>
        <v>292.9086312480577</v>
      </c>
      <c r="L26" s="811">
        <f t="shared" si="2"/>
        <v>0</v>
      </c>
      <c r="M26" s="811">
        <f t="shared" si="2"/>
        <v>0</v>
      </c>
      <c r="N26" s="811">
        <f t="shared" si="2"/>
        <v>0</v>
      </c>
      <c r="O26" s="811">
        <f t="shared" si="2"/>
        <v>0</v>
      </c>
      <c r="P26" s="811">
        <f t="shared" si="2"/>
        <v>0</v>
      </c>
      <c r="Q26" s="811">
        <f t="shared" si="2"/>
        <v>0</v>
      </c>
      <c r="R26" s="811">
        <f t="shared" si="2"/>
        <v>7596.8729717609613</v>
      </c>
      <c r="S26" s="67"/>
    </row>
    <row r="27" spans="1:19" s="448" customFormat="1" ht="17.25" thickTop="1" thickBot="1">
      <c r="A27" s="695" t="s">
        <v>115</v>
      </c>
      <c r="B27" s="803"/>
      <c r="C27" s="696">
        <f ca="1">C22+C16+C26</f>
        <v>48899.59781329114</v>
      </c>
      <c r="D27" s="696">
        <f t="shared" ref="D27:R27" ca="1" si="3">D22+D16+D26</f>
        <v>124.71428571428569</v>
      </c>
      <c r="E27" s="696">
        <f t="shared" ca="1" si="3"/>
        <v>62714.882798262377</v>
      </c>
      <c r="F27" s="696">
        <f t="shared" si="3"/>
        <v>13492.905722207022</v>
      </c>
      <c r="G27" s="696">
        <f t="shared" ca="1" si="3"/>
        <v>39298.731324574808</v>
      </c>
      <c r="H27" s="696">
        <f t="shared" si="3"/>
        <v>65870.776580501697</v>
      </c>
      <c r="I27" s="696">
        <f t="shared" si="3"/>
        <v>15715.824759442179</v>
      </c>
      <c r="J27" s="696">
        <f t="shared" si="3"/>
        <v>0</v>
      </c>
      <c r="K27" s="696">
        <f t="shared" si="3"/>
        <v>1717.240964257491</v>
      </c>
      <c r="L27" s="696">
        <f t="shared" si="3"/>
        <v>0</v>
      </c>
      <c r="M27" s="696">
        <f t="shared" ca="1" si="3"/>
        <v>0</v>
      </c>
      <c r="N27" s="696">
        <f t="shared" si="3"/>
        <v>4835.7482397495578</v>
      </c>
      <c r="O27" s="696">
        <f t="shared" ca="1" si="3"/>
        <v>23029.251100842266</v>
      </c>
      <c r="P27" s="696">
        <f t="shared" si="3"/>
        <v>519.54651434889672</v>
      </c>
      <c r="Q27" s="696">
        <f t="shared" si="3"/>
        <v>652.58284414875106</v>
      </c>
      <c r="R27" s="696">
        <f t="shared" ca="1" si="3"/>
        <v>276871.80294734053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2341.2090674152255</v>
      </c>
      <c r="D40" s="686">
        <f ca="1">tertiair!C20</f>
        <v>0</v>
      </c>
      <c r="E40" s="686">
        <f ca="1">tertiair!D20</f>
        <v>1857.2986101596962</v>
      </c>
      <c r="F40" s="686">
        <f>tertiair!E20</f>
        <v>36.7626146298485</v>
      </c>
      <c r="G40" s="686">
        <f ca="1">tertiair!F20</f>
        <v>300.55331156479087</v>
      </c>
      <c r="H40" s="686">
        <f>tertiair!G20</f>
        <v>0</v>
      </c>
      <c r="I40" s="686">
        <f>tertiair!H20</f>
        <v>0</v>
      </c>
      <c r="J40" s="686">
        <f>tertiair!I20</f>
        <v>0</v>
      </c>
      <c r="K40" s="686">
        <f>tertiair!J20</f>
        <v>5.1827539201008705E-3</v>
      </c>
      <c r="L40" s="686">
        <f>tertiair!K20</f>
        <v>0</v>
      </c>
      <c r="M40" s="686">
        <f ca="1">tertiair!L20</f>
        <v>0</v>
      </c>
      <c r="N40" s="686">
        <f>tertiair!M20</f>
        <v>0</v>
      </c>
      <c r="O40" s="686">
        <f ca="1">tertiair!N20</f>
        <v>0</v>
      </c>
      <c r="P40" s="686">
        <f>tertiair!O20</f>
        <v>0</v>
      </c>
      <c r="Q40" s="769">
        <f>tertiair!P20</f>
        <v>0</v>
      </c>
      <c r="R40" s="849">
        <f t="shared" ca="1" si="4"/>
        <v>4535.8287865234824</v>
      </c>
    </row>
    <row r="41" spans="1:18">
      <c r="A41" s="821" t="s">
        <v>224</v>
      </c>
      <c r="B41" s="828"/>
      <c r="C41" s="686">
        <f ca="1">huishoudens!B12</f>
        <v>6500.2593540760126</v>
      </c>
      <c r="D41" s="686">
        <f ca="1">huishoudens!C12</f>
        <v>0</v>
      </c>
      <c r="E41" s="686">
        <f>huishoudens!D12</f>
        <v>10099.141142173161</v>
      </c>
      <c r="F41" s="686">
        <f>huishoudens!E12</f>
        <v>2924.3048926253177</v>
      </c>
      <c r="G41" s="686">
        <f>huishoudens!F12</f>
        <v>8950.2841666831555</v>
      </c>
      <c r="H41" s="686">
        <f>huishoudens!G12</f>
        <v>0</v>
      </c>
      <c r="I41" s="686">
        <f>huishoudens!H12</f>
        <v>0</v>
      </c>
      <c r="J41" s="686">
        <f>huishoudens!I12</f>
        <v>0</v>
      </c>
      <c r="K41" s="686">
        <f>huishoudens!J12</f>
        <v>497.88693659878044</v>
      </c>
      <c r="L41" s="686">
        <f>huishoudens!K12</f>
        <v>0</v>
      </c>
      <c r="M41" s="686">
        <f>huishoudens!L12</f>
        <v>0</v>
      </c>
      <c r="N41" s="686">
        <f>huishoudens!M12</f>
        <v>0</v>
      </c>
      <c r="O41" s="686">
        <f>huishoudens!N12</f>
        <v>0</v>
      </c>
      <c r="P41" s="686">
        <f>huishoudens!O12</f>
        <v>0</v>
      </c>
      <c r="Q41" s="769">
        <f>huishoudens!P12</f>
        <v>0</v>
      </c>
      <c r="R41" s="849">
        <f t="shared" ca="1" si="4"/>
        <v>28971.876492156429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527.44772214752106</v>
      </c>
      <c r="D43" s="686">
        <f ca="1">industrie!C22</f>
        <v>0</v>
      </c>
      <c r="E43" s="686">
        <f>industrie!D22</f>
        <v>332.05127204972803</v>
      </c>
      <c r="F43" s="686">
        <f>industrie!E22</f>
        <v>62.223623580993532</v>
      </c>
      <c r="G43" s="686">
        <f>industrie!F22</f>
        <v>238.7156301970478</v>
      </c>
      <c r="H43" s="686">
        <f>industrie!G22</f>
        <v>0</v>
      </c>
      <c r="I43" s="686">
        <f>industrie!H22</f>
        <v>0</v>
      </c>
      <c r="J43" s="686">
        <f>industrie!I22</f>
        <v>0</v>
      </c>
      <c r="K43" s="686">
        <f>industrie!J22</f>
        <v>6.3215265326387744</v>
      </c>
      <c r="L43" s="686">
        <f>industrie!K22</f>
        <v>0</v>
      </c>
      <c r="M43" s="686">
        <f>industrie!L22</f>
        <v>0</v>
      </c>
      <c r="N43" s="686">
        <f>industrie!M22</f>
        <v>0</v>
      </c>
      <c r="O43" s="686">
        <f>industrie!N22</f>
        <v>0</v>
      </c>
      <c r="P43" s="686">
        <f>industrie!O22</f>
        <v>0</v>
      </c>
      <c r="Q43" s="769">
        <f>industrie!P22</f>
        <v>0</v>
      </c>
      <c r="R43" s="848">
        <f t="shared" ca="1" si="4"/>
        <v>1166.759774507929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9368.9161436387585</v>
      </c>
      <c r="D46" s="722">
        <f t="shared" ref="D46:Q46" ca="1" si="5">SUM(D39:D45)</f>
        <v>0</v>
      </c>
      <c r="E46" s="722">
        <f t="shared" ca="1" si="5"/>
        <v>12288.491024382585</v>
      </c>
      <c r="F46" s="722">
        <f t="shared" si="5"/>
        <v>3023.2911308361599</v>
      </c>
      <c r="G46" s="722">
        <f t="shared" ca="1" si="5"/>
        <v>9489.553108444994</v>
      </c>
      <c r="H46" s="722">
        <f t="shared" si="5"/>
        <v>0</v>
      </c>
      <c r="I46" s="722">
        <f t="shared" si="5"/>
        <v>0</v>
      </c>
      <c r="J46" s="722">
        <f t="shared" si="5"/>
        <v>0</v>
      </c>
      <c r="K46" s="722">
        <f t="shared" si="5"/>
        <v>504.2136458853393</v>
      </c>
      <c r="L46" s="722">
        <f t="shared" si="5"/>
        <v>0</v>
      </c>
      <c r="M46" s="722">
        <f t="shared" ca="1" si="5"/>
        <v>0</v>
      </c>
      <c r="N46" s="722">
        <f t="shared" si="5"/>
        <v>0</v>
      </c>
      <c r="O46" s="722">
        <f t="shared" ca="1" si="5"/>
        <v>0</v>
      </c>
      <c r="P46" s="722">
        <f t="shared" si="5"/>
        <v>0</v>
      </c>
      <c r="Q46" s="722">
        <f t="shared" si="5"/>
        <v>0</v>
      </c>
      <c r="R46" s="722">
        <f ca="1">SUM(R39:R45)</f>
        <v>34674.465053187836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220.77690191317882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220.77690191317882</v>
      </c>
    </row>
    <row r="50" spans="1:18">
      <c r="A50" s="824" t="s">
        <v>306</v>
      </c>
      <c r="B50" s="834"/>
      <c r="C50" s="692">
        <f ca="1">transport!B18</f>
        <v>8.4693514407604216</v>
      </c>
      <c r="D50" s="692">
        <f>transport!C18</f>
        <v>0</v>
      </c>
      <c r="E50" s="692">
        <f>transport!D18</f>
        <v>34.149534408942571</v>
      </c>
      <c r="F50" s="692">
        <f>transport!E18</f>
        <v>32.066392488591163</v>
      </c>
      <c r="G50" s="692">
        <f>transport!F18</f>
        <v>0</v>
      </c>
      <c r="H50" s="692">
        <f>transport!G18</f>
        <v>17366.720445080773</v>
      </c>
      <c r="I50" s="692">
        <f>transport!H18</f>
        <v>3913.2403651011027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21354.646088520167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8.4693514407604216</v>
      </c>
      <c r="D52" s="722">
        <f t="shared" ref="D52:Q52" ca="1" si="6">SUM(D48:D51)</f>
        <v>0</v>
      </c>
      <c r="E52" s="722">
        <f t="shared" si="6"/>
        <v>34.149534408942571</v>
      </c>
      <c r="F52" s="722">
        <f t="shared" si="6"/>
        <v>32.066392488591163</v>
      </c>
      <c r="G52" s="722">
        <f t="shared" si="6"/>
        <v>0</v>
      </c>
      <c r="H52" s="722">
        <f t="shared" si="6"/>
        <v>17587.49734699395</v>
      </c>
      <c r="I52" s="722">
        <f t="shared" si="6"/>
        <v>3913.2403651011027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21575.422990433344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211.40030396355519</v>
      </c>
      <c r="D54" s="692">
        <f ca="1">+landbouw!C12</f>
        <v>0</v>
      </c>
      <c r="E54" s="692">
        <f>+landbouw!D12</f>
        <v>26.434241591471999</v>
      </c>
      <c r="F54" s="692">
        <f>+landbouw!E12</f>
        <v>7.5320756162431239</v>
      </c>
      <c r="G54" s="692">
        <f>+landbouw!F12</f>
        <v>1003.2081552164815</v>
      </c>
      <c r="H54" s="692">
        <f>+landbouw!G12</f>
        <v>0</v>
      </c>
      <c r="I54" s="692">
        <f>+landbouw!H12</f>
        <v>0</v>
      </c>
      <c r="J54" s="692">
        <f>+landbouw!I12</f>
        <v>0</v>
      </c>
      <c r="K54" s="692">
        <f>+landbouw!J12</f>
        <v>103.68965546181242</v>
      </c>
      <c r="L54" s="692">
        <f>+landbouw!K12</f>
        <v>0</v>
      </c>
      <c r="M54" s="692">
        <f>+landbouw!L12</f>
        <v>0</v>
      </c>
      <c r="N54" s="692">
        <f>+landbouw!M12</f>
        <v>0</v>
      </c>
      <c r="O54" s="692">
        <f>+landbouw!N12</f>
        <v>0</v>
      </c>
      <c r="P54" s="692">
        <f>+landbouw!O12</f>
        <v>0</v>
      </c>
      <c r="Q54" s="693">
        <f>+landbouw!P12</f>
        <v>0</v>
      </c>
      <c r="R54" s="721">
        <f ca="1">SUM(C54:Q54)</f>
        <v>1352.2644318495643</v>
      </c>
    </row>
    <row r="55" spans="1:18" ht="15" thickBot="1">
      <c r="A55" s="824" t="s">
        <v>724</v>
      </c>
      <c r="B55" s="834"/>
      <c r="C55" s="692">
        <f ca="1">C25*'EF ele_warmte'!B12</f>
        <v>134.45990507899893</v>
      </c>
      <c r="D55" s="692"/>
      <c r="E55" s="692">
        <f>E25*EF_CO2_aardgas</f>
        <v>319.331524866</v>
      </c>
      <c r="F55" s="692"/>
      <c r="G55" s="692"/>
      <c r="H55" s="692"/>
      <c r="I55" s="692"/>
      <c r="J55" s="692"/>
      <c r="K55" s="692"/>
      <c r="L55" s="692"/>
      <c r="M55" s="692"/>
      <c r="N55" s="692"/>
      <c r="O55" s="692"/>
      <c r="P55" s="692"/>
      <c r="Q55" s="693"/>
      <c r="R55" s="721">
        <f ca="1">SUM(C55:Q55)</f>
        <v>453.79142994499892</v>
      </c>
    </row>
    <row r="56" spans="1:18" ht="15.75" thickBot="1">
      <c r="A56" s="822" t="s">
        <v>725</v>
      </c>
      <c r="B56" s="835"/>
      <c r="C56" s="722">
        <f ca="1">SUM(C54:C55)</f>
        <v>345.86020904255412</v>
      </c>
      <c r="D56" s="722">
        <f t="shared" ref="D56:Q56" ca="1" si="7">SUM(D54:D55)</f>
        <v>0</v>
      </c>
      <c r="E56" s="722">
        <f t="shared" si="7"/>
        <v>345.76576645747201</v>
      </c>
      <c r="F56" s="722">
        <f t="shared" si="7"/>
        <v>7.5320756162431239</v>
      </c>
      <c r="G56" s="722">
        <f t="shared" si="7"/>
        <v>1003.2081552164815</v>
      </c>
      <c r="H56" s="722">
        <f t="shared" si="7"/>
        <v>0</v>
      </c>
      <c r="I56" s="722">
        <f t="shared" si="7"/>
        <v>0</v>
      </c>
      <c r="J56" s="722">
        <f t="shared" si="7"/>
        <v>0</v>
      </c>
      <c r="K56" s="722">
        <f t="shared" si="7"/>
        <v>103.68965546181242</v>
      </c>
      <c r="L56" s="722">
        <f t="shared" si="7"/>
        <v>0</v>
      </c>
      <c r="M56" s="722">
        <f t="shared" si="7"/>
        <v>0</v>
      </c>
      <c r="N56" s="722">
        <f t="shared" si="7"/>
        <v>0</v>
      </c>
      <c r="O56" s="722">
        <f t="shared" si="7"/>
        <v>0</v>
      </c>
      <c r="P56" s="722">
        <f t="shared" si="7"/>
        <v>0</v>
      </c>
      <c r="Q56" s="723">
        <f t="shared" si="7"/>
        <v>0</v>
      </c>
      <c r="R56" s="724">
        <f ca="1">SUM(R54:R55)</f>
        <v>1806.0558617945633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9723.2457041220732</v>
      </c>
      <c r="D61" s="730">
        <f t="shared" ref="D61:Q61" ca="1" si="8">D46+D52+D56</f>
        <v>0</v>
      </c>
      <c r="E61" s="730">
        <f t="shared" ca="1" si="8"/>
        <v>12668.406325249</v>
      </c>
      <c r="F61" s="730">
        <f t="shared" si="8"/>
        <v>3062.8895989409943</v>
      </c>
      <c r="G61" s="730">
        <f t="shared" ca="1" si="8"/>
        <v>10492.761263661476</v>
      </c>
      <c r="H61" s="730">
        <f t="shared" si="8"/>
        <v>17587.49734699395</v>
      </c>
      <c r="I61" s="730">
        <f t="shared" si="8"/>
        <v>3913.2403651011027</v>
      </c>
      <c r="J61" s="730">
        <f t="shared" si="8"/>
        <v>0</v>
      </c>
      <c r="K61" s="730">
        <f t="shared" si="8"/>
        <v>607.90330134715168</v>
      </c>
      <c r="L61" s="730">
        <f t="shared" si="8"/>
        <v>0</v>
      </c>
      <c r="M61" s="730">
        <f t="shared" ca="1" si="8"/>
        <v>0</v>
      </c>
      <c r="N61" s="730">
        <f t="shared" si="8"/>
        <v>0</v>
      </c>
      <c r="O61" s="730">
        <f t="shared" ca="1" si="8"/>
        <v>0</v>
      </c>
      <c r="P61" s="730">
        <f t="shared" si="8"/>
        <v>0</v>
      </c>
      <c r="Q61" s="730">
        <f t="shared" si="8"/>
        <v>0</v>
      </c>
      <c r="R61" s="730">
        <f ca="1">R46+R52+R56</f>
        <v>58055.943905415741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0.19884101585553837</v>
      </c>
      <c r="D63" s="776">
        <f t="shared" ca="1" si="9"/>
        <v>0</v>
      </c>
      <c r="E63" s="975">
        <f t="shared" ca="1" si="9"/>
        <v>0.20199999999999999</v>
      </c>
      <c r="F63" s="776">
        <f t="shared" si="9"/>
        <v>0.22700000000000001</v>
      </c>
      <c r="G63" s="776">
        <f t="shared" ca="1" si="9"/>
        <v>0.26700000000000007</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4815.7109168111574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87.299999999999983</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102.70588235294116</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4903.0109168111576</v>
      </c>
      <c r="C78" s="748">
        <f>SUM(C72:C77)</f>
        <v>0</v>
      </c>
      <c r="D78" s="749">
        <f t="shared" ref="D78:H78" si="10">SUM(D76:D77)</f>
        <v>0</v>
      </c>
      <c r="E78" s="749">
        <f t="shared" si="10"/>
        <v>0</v>
      </c>
      <c r="F78" s="749">
        <f t="shared" si="10"/>
        <v>0</v>
      </c>
      <c r="G78" s="749">
        <f t="shared" si="10"/>
        <v>0</v>
      </c>
      <c r="H78" s="749">
        <f t="shared" si="10"/>
        <v>0</v>
      </c>
      <c r="I78" s="749">
        <f>SUM(I76:I77)</f>
        <v>0</v>
      </c>
      <c r="J78" s="749">
        <f>SUM(J76:J77)</f>
        <v>102.70588235294116</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124.71428571428569</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146.72268907563023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124.71428571428569</v>
      </c>
      <c r="C90" s="748">
        <f>SUM(C87:C89)</f>
        <v>0</v>
      </c>
      <c r="D90" s="748">
        <f t="shared" ref="D90:H90" si="12">SUM(D87:D89)</f>
        <v>0</v>
      </c>
      <c r="E90" s="748">
        <f t="shared" si="12"/>
        <v>0</v>
      </c>
      <c r="F90" s="748">
        <f t="shared" si="12"/>
        <v>0</v>
      </c>
      <c r="G90" s="748">
        <f t="shared" si="12"/>
        <v>0</v>
      </c>
      <c r="H90" s="748">
        <f t="shared" si="12"/>
        <v>0</v>
      </c>
      <c r="I90" s="748">
        <f>SUM(I87:I89)</f>
        <v>0</v>
      </c>
      <c r="J90" s="748">
        <f>SUM(J87:J89)</f>
        <v>146.72268907563023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4815.7109168111574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87.299999999999983</v>
      </c>
      <c r="C8" s="548">
        <f>B49</f>
        <v>0</v>
      </c>
      <c r="D8" s="549"/>
      <c r="E8" s="549">
        <f>E49</f>
        <v>0</v>
      </c>
      <c r="F8" s="550"/>
      <c r="G8" s="551"/>
      <c r="H8" s="549">
        <f>I49</f>
        <v>0</v>
      </c>
      <c r="I8" s="549">
        <f>G49+F49</f>
        <v>0</v>
      </c>
      <c r="J8" s="549">
        <f>H49+D49+C49</f>
        <v>102.70588235294116</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4903.0109168111576</v>
      </c>
      <c r="C10" s="563">
        <f t="shared" ref="C10:L10" si="0">SUM(C8:C9)</f>
        <v>0</v>
      </c>
      <c r="D10" s="563">
        <f t="shared" si="0"/>
        <v>0</v>
      </c>
      <c r="E10" s="563">
        <f t="shared" si="0"/>
        <v>0</v>
      </c>
      <c r="F10" s="563">
        <f t="shared" si="0"/>
        <v>0</v>
      </c>
      <c r="G10" s="563">
        <f t="shared" si="0"/>
        <v>0</v>
      </c>
      <c r="H10" s="563">
        <f t="shared" si="0"/>
        <v>0</v>
      </c>
      <c r="I10" s="563">
        <f t="shared" si="0"/>
        <v>0</v>
      </c>
      <c r="J10" s="563">
        <f t="shared" si="0"/>
        <v>102.70588235294116</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124.71428571428569</v>
      </c>
      <c r="C17" s="579">
        <f>B50</f>
        <v>0</v>
      </c>
      <c r="D17" s="580"/>
      <c r="E17" s="580">
        <f>E50</f>
        <v>0</v>
      </c>
      <c r="F17" s="581"/>
      <c r="G17" s="582"/>
      <c r="H17" s="579">
        <f>I50</f>
        <v>0</v>
      </c>
      <c r="I17" s="580">
        <f>G50+F50</f>
        <v>0</v>
      </c>
      <c r="J17" s="580">
        <f>H50+D50+C50</f>
        <v>146.72268907563023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124.71428571428569</v>
      </c>
      <c r="C20" s="562">
        <f>SUM(C17:C19)</f>
        <v>0</v>
      </c>
      <c r="D20" s="562">
        <f t="shared" ref="D20:L20" si="1">SUM(D17:D19)</f>
        <v>0</v>
      </c>
      <c r="E20" s="562">
        <f t="shared" si="1"/>
        <v>0</v>
      </c>
      <c r="F20" s="562">
        <f t="shared" si="1"/>
        <v>0</v>
      </c>
      <c r="G20" s="562">
        <f t="shared" si="1"/>
        <v>0</v>
      </c>
      <c r="H20" s="562">
        <f t="shared" si="1"/>
        <v>0</v>
      </c>
      <c r="I20" s="562">
        <f t="shared" si="1"/>
        <v>0</v>
      </c>
      <c r="J20" s="562">
        <f t="shared" si="1"/>
        <v>146.72268907563023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41027</v>
      </c>
      <c r="C28" s="791">
        <v>9550</v>
      </c>
      <c r="D28" s="640" t="s">
        <v>888</v>
      </c>
      <c r="E28" s="639" t="s">
        <v>889</v>
      </c>
      <c r="F28" s="639" t="s">
        <v>890</v>
      </c>
      <c r="G28" s="639" t="s">
        <v>891</v>
      </c>
      <c r="H28" s="639" t="s">
        <v>892</v>
      </c>
      <c r="I28" s="639" t="s">
        <v>889</v>
      </c>
      <c r="J28" s="790">
        <v>40920</v>
      </c>
      <c r="K28" s="790">
        <v>41030</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63.75">
      <c r="A29" s="592"/>
      <c r="B29" s="791">
        <v>41027</v>
      </c>
      <c r="C29" s="791">
        <v>9552</v>
      </c>
      <c r="D29" s="640" t="s">
        <v>894</v>
      </c>
      <c r="E29" s="639" t="s">
        <v>895</v>
      </c>
      <c r="F29" s="639" t="s">
        <v>896</v>
      </c>
      <c r="G29" s="639" t="s">
        <v>891</v>
      </c>
      <c r="H29" s="639" t="s">
        <v>892</v>
      </c>
      <c r="I29" s="639" t="s">
        <v>897</v>
      </c>
      <c r="J29" s="790">
        <v>41379</v>
      </c>
      <c r="K29" s="790">
        <v>41379</v>
      </c>
      <c r="L29" s="639" t="s">
        <v>893</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1600</v>
      </c>
      <c r="Y29" s="639" t="s">
        <v>49</v>
      </c>
      <c r="Z29" s="641" t="s">
        <v>155</v>
      </c>
    </row>
    <row r="30" spans="1:26" s="573" customFormat="1">
      <c r="A30" s="595" t="s">
        <v>279</v>
      </c>
      <c r="B30" s="596"/>
      <c r="C30" s="596"/>
      <c r="D30" s="596"/>
      <c r="E30" s="596"/>
      <c r="F30" s="596"/>
      <c r="G30" s="596"/>
      <c r="H30" s="596"/>
      <c r="I30" s="596"/>
      <c r="J30" s="596"/>
      <c r="K30" s="596"/>
      <c r="L30" s="597"/>
      <c r="M30" s="597">
        <f>SUM(M28:M29)</f>
        <v>19.399999999999999</v>
      </c>
      <c r="N30" s="597">
        <f>SUM(N28:N29)</f>
        <v>87.299999999999983</v>
      </c>
      <c r="O30" s="597">
        <f>SUM(O28:O29)</f>
        <v>124.71428571428569</v>
      </c>
      <c r="P30" s="597">
        <f>SUM(P28:P29)</f>
        <v>0</v>
      </c>
      <c r="Q30" s="597">
        <f>SUM(Q28:Q29)</f>
        <v>249.42857142857139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9.6999999999999993</v>
      </c>
      <c r="N32" s="597">
        <f ca="1">SUMIF($Z$28:AD29,"tertiair",N28:N29)</f>
        <v>43.649999999999991</v>
      </c>
      <c r="O32" s="597">
        <f ca="1">SUMIF($Z$28:AE29,"tertiair",O28:O29)</f>
        <v>62.357142857142847</v>
      </c>
      <c r="P32" s="597">
        <f ca="1">SUMIF($Z$28:AF29,"tertiair",P28:P29)</f>
        <v>0</v>
      </c>
      <c r="Q32" s="597">
        <f ca="1">SUMIF($Z$28:AG29,"tertiair",Q28:Q29)</f>
        <v>124.71428571428569</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102.70588235294116</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146.72268907563023</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32690.736999646837</v>
      </c>
      <c r="C4" s="452">
        <f>huishoudens!C8</f>
        <v>0</v>
      </c>
      <c r="D4" s="452">
        <f>huishoudens!D8</f>
        <v>49995.74822858</v>
      </c>
      <c r="E4" s="452">
        <f>huishoudens!E8</f>
        <v>12882.400408041047</v>
      </c>
      <c r="F4" s="452">
        <f>huishoudens!F8</f>
        <v>33521.663545629795</v>
      </c>
      <c r="G4" s="452">
        <f>huishoudens!G8</f>
        <v>0</v>
      </c>
      <c r="H4" s="452">
        <f>huishoudens!H8</f>
        <v>0</v>
      </c>
      <c r="I4" s="452">
        <f>huishoudens!I8</f>
        <v>0</v>
      </c>
      <c r="J4" s="452">
        <f>huishoudens!J8</f>
        <v>1406.4602728779109</v>
      </c>
      <c r="K4" s="452">
        <f>huishoudens!K8</f>
        <v>0</v>
      </c>
      <c r="L4" s="452">
        <f>huishoudens!L8</f>
        <v>0</v>
      </c>
      <c r="M4" s="452">
        <f>huishoudens!M8</f>
        <v>0</v>
      </c>
      <c r="N4" s="452">
        <f>huishoudens!N8</f>
        <v>22439.192596035537</v>
      </c>
      <c r="O4" s="452">
        <f>huishoudens!O8</f>
        <v>499.95747128553205</v>
      </c>
      <c r="P4" s="453">
        <f>huishoudens!P8</f>
        <v>442.42629092277093</v>
      </c>
      <c r="Q4" s="454">
        <f>SUM(B4:P4)</f>
        <v>153878.58581301945</v>
      </c>
    </row>
    <row r="5" spans="1:17">
      <c r="A5" s="451" t="s">
        <v>155</v>
      </c>
      <c r="B5" s="452">
        <f ca="1">tertiair!B16</f>
        <v>10368.665335</v>
      </c>
      <c r="C5" s="452">
        <f ca="1">tertiair!C16</f>
        <v>62.357142857142847</v>
      </c>
      <c r="D5" s="452">
        <f ca="1">tertiair!D16</f>
        <v>9194.547575048</v>
      </c>
      <c r="E5" s="452">
        <f>tertiair!E16</f>
        <v>161.94984418435462</v>
      </c>
      <c r="F5" s="452">
        <f ca="1">tertiair!F16</f>
        <v>1125.6678335759957</v>
      </c>
      <c r="G5" s="452">
        <f>tertiair!G16</f>
        <v>0</v>
      </c>
      <c r="H5" s="452">
        <f>tertiair!H16</f>
        <v>0</v>
      </c>
      <c r="I5" s="452">
        <f>tertiair!I16</f>
        <v>0</v>
      </c>
      <c r="J5" s="452">
        <f>tertiair!J16</f>
        <v>1.4640547796895116E-2</v>
      </c>
      <c r="K5" s="452">
        <f>tertiair!K16</f>
        <v>0</v>
      </c>
      <c r="L5" s="452">
        <f ca="1">tertiair!L16</f>
        <v>0</v>
      </c>
      <c r="M5" s="452">
        <f>tertiair!M16</f>
        <v>0</v>
      </c>
      <c r="N5" s="452">
        <f ca="1">tertiair!N16</f>
        <v>457.8683929769735</v>
      </c>
      <c r="O5" s="452">
        <f>tertiair!O16</f>
        <v>19.589043063364617</v>
      </c>
      <c r="P5" s="453">
        <f>tertiair!P16</f>
        <v>210.15655322598008</v>
      </c>
      <c r="Q5" s="451">
        <f t="shared" ref="Q5:Q14" ca="1" si="0">SUM(B5:P5)</f>
        <v>21600.81636047961</v>
      </c>
    </row>
    <row r="6" spans="1:17">
      <c r="A6" s="451" t="s">
        <v>193</v>
      </c>
      <c r="B6" s="452">
        <f>'openbare verlichting'!B8</f>
        <v>1405.6110000000001</v>
      </c>
      <c r="C6" s="452"/>
      <c r="D6" s="452"/>
      <c r="E6" s="452"/>
      <c r="F6" s="452"/>
      <c r="G6" s="452"/>
      <c r="H6" s="452"/>
      <c r="I6" s="452"/>
      <c r="J6" s="452"/>
      <c r="K6" s="452"/>
      <c r="L6" s="452"/>
      <c r="M6" s="452"/>
      <c r="N6" s="452"/>
      <c r="O6" s="452"/>
      <c r="P6" s="453"/>
      <c r="Q6" s="451">
        <f t="shared" si="0"/>
        <v>1405.6110000000001</v>
      </c>
    </row>
    <row r="7" spans="1:17">
      <c r="A7" s="451" t="s">
        <v>111</v>
      </c>
      <c r="B7" s="452">
        <f>landbouw!B8</f>
        <v>1063.1624619999998</v>
      </c>
      <c r="C7" s="452">
        <f>landbouw!C8</f>
        <v>62.357142857142847</v>
      </c>
      <c r="D7" s="452">
        <f>landbouw!D8</f>
        <v>130.86258213599999</v>
      </c>
      <c r="E7" s="452">
        <f>landbouw!E8</f>
        <v>33.180949851291295</v>
      </c>
      <c r="F7" s="452">
        <f>landbouw!F8</f>
        <v>3757.3339146684698</v>
      </c>
      <c r="G7" s="452">
        <f>landbouw!G8</f>
        <v>0</v>
      </c>
      <c r="H7" s="452">
        <f>landbouw!H8</f>
        <v>0</v>
      </c>
      <c r="I7" s="452">
        <f>landbouw!I8</f>
        <v>0</v>
      </c>
      <c r="J7" s="452">
        <f>landbouw!J8</f>
        <v>292.9086312480577</v>
      </c>
      <c r="K7" s="452">
        <f>landbouw!K8</f>
        <v>0</v>
      </c>
      <c r="L7" s="452">
        <f>landbouw!L8</f>
        <v>0</v>
      </c>
      <c r="M7" s="452">
        <f>landbouw!M8</f>
        <v>0</v>
      </c>
      <c r="N7" s="452">
        <f>landbouw!N8</f>
        <v>0</v>
      </c>
      <c r="O7" s="452">
        <f>landbouw!O8</f>
        <v>0</v>
      </c>
      <c r="P7" s="453">
        <f>landbouw!P8</f>
        <v>0</v>
      </c>
      <c r="Q7" s="451">
        <f t="shared" si="0"/>
        <v>5339.8056827609616</v>
      </c>
    </row>
    <row r="8" spans="1:17">
      <c r="A8" s="451" t="s">
        <v>625</v>
      </c>
      <c r="B8" s="452">
        <f>industrie!B18</f>
        <v>2652.6102769999998</v>
      </c>
      <c r="C8" s="452">
        <f>industrie!C18</f>
        <v>0</v>
      </c>
      <c r="D8" s="452">
        <f>industrie!D18</f>
        <v>1643.8181784640001</v>
      </c>
      <c r="E8" s="452">
        <f>industrie!E18</f>
        <v>274.11287921142525</v>
      </c>
      <c r="F8" s="452">
        <f>industrie!F18</f>
        <v>894.06603070055348</v>
      </c>
      <c r="G8" s="452">
        <f>industrie!G18</f>
        <v>0</v>
      </c>
      <c r="H8" s="452">
        <f>industrie!H18</f>
        <v>0</v>
      </c>
      <c r="I8" s="452">
        <f>industrie!I18</f>
        <v>0</v>
      </c>
      <c r="J8" s="452">
        <f>industrie!J18</f>
        <v>17.857419583725353</v>
      </c>
      <c r="K8" s="452">
        <f>industrie!K18</f>
        <v>0</v>
      </c>
      <c r="L8" s="452">
        <f>industrie!L18</f>
        <v>0</v>
      </c>
      <c r="M8" s="452">
        <f>industrie!M18</f>
        <v>0</v>
      </c>
      <c r="N8" s="452">
        <f>industrie!N18</f>
        <v>132.19011182975657</v>
      </c>
      <c r="O8" s="452">
        <f>industrie!O18</f>
        <v>0</v>
      </c>
      <c r="P8" s="453">
        <f>industrie!P18</f>
        <v>0</v>
      </c>
      <c r="Q8" s="451">
        <f t="shared" si="0"/>
        <v>5614.6548967894605</v>
      </c>
    </row>
    <row r="9" spans="1:17" s="457" customFormat="1">
      <c r="A9" s="455" t="s">
        <v>551</v>
      </c>
      <c r="B9" s="456">
        <f>transport!B14</f>
        <v>42.593583644299819</v>
      </c>
      <c r="C9" s="456">
        <f>transport!C14</f>
        <v>0</v>
      </c>
      <c r="D9" s="456">
        <f>transport!D14</f>
        <v>169.05710103436914</v>
      </c>
      <c r="E9" s="456">
        <f>transport!E14</f>
        <v>141.26164091890379</v>
      </c>
      <c r="F9" s="456">
        <f>transport!F14</f>
        <v>0</v>
      </c>
      <c r="G9" s="456">
        <f>transport!G14</f>
        <v>65043.896798055328</v>
      </c>
      <c r="H9" s="456">
        <f>transport!H14</f>
        <v>15715.824759442179</v>
      </c>
      <c r="I9" s="456">
        <f>transport!I14</f>
        <v>0</v>
      </c>
      <c r="J9" s="456">
        <f>transport!J14</f>
        <v>0</v>
      </c>
      <c r="K9" s="456">
        <f>transport!K14</f>
        <v>0</v>
      </c>
      <c r="L9" s="456">
        <f>transport!L14</f>
        <v>0</v>
      </c>
      <c r="M9" s="456">
        <f>transport!M14</f>
        <v>4789.7974005183578</v>
      </c>
      <c r="N9" s="456">
        <f>transport!N14</f>
        <v>0</v>
      </c>
      <c r="O9" s="456">
        <f>transport!O14</f>
        <v>0</v>
      </c>
      <c r="P9" s="456">
        <f>transport!P14</f>
        <v>0</v>
      </c>
      <c r="Q9" s="455">
        <f>SUM(B9:P9)</f>
        <v>85902.431283613449</v>
      </c>
    </row>
    <row r="10" spans="1:17">
      <c r="A10" s="451" t="s">
        <v>541</v>
      </c>
      <c r="B10" s="452">
        <f>transport!B54</f>
        <v>0</v>
      </c>
      <c r="C10" s="452">
        <f>transport!C54</f>
        <v>0</v>
      </c>
      <c r="D10" s="452">
        <f>transport!D54</f>
        <v>0</v>
      </c>
      <c r="E10" s="452">
        <f>transport!E54</f>
        <v>0</v>
      </c>
      <c r="F10" s="452">
        <f>transport!F54</f>
        <v>0</v>
      </c>
      <c r="G10" s="452">
        <f>transport!G54</f>
        <v>826.87978244636258</v>
      </c>
      <c r="H10" s="452">
        <f>transport!H54</f>
        <v>0</v>
      </c>
      <c r="I10" s="452">
        <f>transport!I54</f>
        <v>0</v>
      </c>
      <c r="J10" s="452">
        <f>transport!J54</f>
        <v>0</v>
      </c>
      <c r="K10" s="452">
        <f>transport!K54</f>
        <v>0</v>
      </c>
      <c r="L10" s="452">
        <f>transport!L54</f>
        <v>0</v>
      </c>
      <c r="M10" s="452">
        <f>transport!M54</f>
        <v>45.950839231200341</v>
      </c>
      <c r="N10" s="452">
        <f>transport!N54</f>
        <v>0</v>
      </c>
      <c r="O10" s="452">
        <f>transport!O54</f>
        <v>0</v>
      </c>
      <c r="P10" s="453">
        <f>transport!P54</f>
        <v>0</v>
      </c>
      <c r="Q10" s="451">
        <f t="shared" si="0"/>
        <v>872.83062167756293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676.21815599999991</v>
      </c>
      <c r="C14" s="459"/>
      <c r="D14" s="459">
        <f>'SEAP template'!E25</f>
        <v>1580.8491329999999</v>
      </c>
      <c r="E14" s="459"/>
      <c r="F14" s="459"/>
      <c r="G14" s="459"/>
      <c r="H14" s="459"/>
      <c r="I14" s="459"/>
      <c r="J14" s="459"/>
      <c r="K14" s="459"/>
      <c r="L14" s="459"/>
      <c r="M14" s="459"/>
      <c r="N14" s="459"/>
      <c r="O14" s="459"/>
      <c r="P14" s="460"/>
      <c r="Q14" s="451">
        <f t="shared" si="0"/>
        <v>2257.0672889999996</v>
      </c>
    </row>
    <row r="15" spans="1:17" s="463" customFormat="1">
      <c r="A15" s="461" t="s">
        <v>545</v>
      </c>
      <c r="B15" s="462">
        <f ca="1">SUM(B4:B14)</f>
        <v>48899.59781329114</v>
      </c>
      <c r="C15" s="462">
        <f t="shared" ref="C15:Q15" ca="1" si="1">SUM(C4:C14)</f>
        <v>124.71428571428569</v>
      </c>
      <c r="D15" s="462">
        <f t="shared" ca="1" si="1"/>
        <v>62714.88279826237</v>
      </c>
      <c r="E15" s="462">
        <f t="shared" si="1"/>
        <v>13492.905722207022</v>
      </c>
      <c r="F15" s="462">
        <f t="shared" ca="1" si="1"/>
        <v>39298.731324574808</v>
      </c>
      <c r="G15" s="462">
        <f t="shared" si="1"/>
        <v>65870.776580501697</v>
      </c>
      <c r="H15" s="462">
        <f t="shared" si="1"/>
        <v>15715.824759442179</v>
      </c>
      <c r="I15" s="462">
        <f t="shared" si="1"/>
        <v>0</v>
      </c>
      <c r="J15" s="462">
        <f t="shared" si="1"/>
        <v>1717.240964257491</v>
      </c>
      <c r="K15" s="462">
        <f t="shared" si="1"/>
        <v>0</v>
      </c>
      <c r="L15" s="462">
        <f t="shared" ca="1" si="1"/>
        <v>0</v>
      </c>
      <c r="M15" s="462">
        <f t="shared" si="1"/>
        <v>4835.7482397495578</v>
      </c>
      <c r="N15" s="462">
        <f t="shared" ca="1" si="1"/>
        <v>23029.251100842266</v>
      </c>
      <c r="O15" s="462">
        <f t="shared" si="1"/>
        <v>519.54651434889672</v>
      </c>
      <c r="P15" s="462">
        <f t="shared" si="1"/>
        <v>652.58284414875106</v>
      </c>
      <c r="Q15" s="462">
        <f t="shared" ca="1" si="1"/>
        <v>276871.80294734053</v>
      </c>
    </row>
    <row r="17" spans="1:17">
      <c r="A17" s="464" t="s">
        <v>546</v>
      </c>
      <c r="B17" s="781">
        <f ca="1">huishoudens!B10</f>
        <v>0.1988410158555384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6500.2593540760126</v>
      </c>
      <c r="C22" s="452">
        <f t="shared" ref="C22:C32" ca="1" si="3">C4*$C$17</f>
        <v>0</v>
      </c>
      <c r="D22" s="452">
        <f t="shared" ref="D22:D32" si="4">D4*$D$17</f>
        <v>10099.141142173161</v>
      </c>
      <c r="E22" s="452">
        <f t="shared" ref="E22:E32" si="5">E4*$E$17</f>
        <v>2924.3048926253177</v>
      </c>
      <c r="F22" s="452">
        <f t="shared" ref="F22:F32" si="6">F4*$F$17</f>
        <v>8950.2841666831555</v>
      </c>
      <c r="G22" s="452">
        <f t="shared" ref="G22:G32" si="7">G4*$G$17</f>
        <v>0</v>
      </c>
      <c r="H22" s="452">
        <f t="shared" ref="H22:H32" si="8">H4*$H$17</f>
        <v>0</v>
      </c>
      <c r="I22" s="452">
        <f t="shared" ref="I22:I32" si="9">I4*$I$17</f>
        <v>0</v>
      </c>
      <c r="J22" s="452">
        <f t="shared" ref="J22:J32" si="10">J4*$J$17</f>
        <v>497.88693659878044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28971.876492156429</v>
      </c>
    </row>
    <row r="23" spans="1:17">
      <c r="A23" s="451" t="s">
        <v>155</v>
      </c>
      <c r="B23" s="452">
        <f t="shared" ca="1" si="2"/>
        <v>2061.7159482775064</v>
      </c>
      <c r="C23" s="452">
        <f t="shared" ca="1" si="3"/>
        <v>0</v>
      </c>
      <c r="D23" s="452">
        <f t="shared" ca="1" si="4"/>
        <v>1857.2986101596962</v>
      </c>
      <c r="E23" s="452">
        <f t="shared" si="5"/>
        <v>36.7626146298485</v>
      </c>
      <c r="F23" s="452">
        <f t="shared" ca="1" si="6"/>
        <v>300.55331156479087</v>
      </c>
      <c r="G23" s="452">
        <f t="shared" si="7"/>
        <v>0</v>
      </c>
      <c r="H23" s="452">
        <f t="shared" si="8"/>
        <v>0</v>
      </c>
      <c r="I23" s="452">
        <f t="shared" si="9"/>
        <v>0</v>
      </c>
      <c r="J23" s="452">
        <f t="shared" si="10"/>
        <v>5.1827539201008705E-3</v>
      </c>
      <c r="K23" s="452">
        <f t="shared" si="11"/>
        <v>0</v>
      </c>
      <c r="L23" s="452">
        <f t="shared" ca="1" si="12"/>
        <v>0</v>
      </c>
      <c r="M23" s="452">
        <f t="shared" si="13"/>
        <v>0</v>
      </c>
      <c r="N23" s="452">
        <f t="shared" ca="1" si="14"/>
        <v>0</v>
      </c>
      <c r="O23" s="452">
        <f t="shared" si="15"/>
        <v>0</v>
      </c>
      <c r="P23" s="453">
        <f t="shared" si="16"/>
        <v>0</v>
      </c>
      <c r="Q23" s="451">
        <f t="shared" ref="Q23:Q31" ca="1" si="17">SUM(B23:P23)</f>
        <v>4256.3356673857625</v>
      </c>
    </row>
    <row r="24" spans="1:17">
      <c r="A24" s="451" t="s">
        <v>193</v>
      </c>
      <c r="B24" s="452">
        <f t="shared" ca="1" si="2"/>
        <v>279.49311913771919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279.49311913771919</v>
      </c>
    </row>
    <row r="25" spans="1:17">
      <c r="A25" s="451" t="s">
        <v>111</v>
      </c>
      <c r="B25" s="452">
        <f t="shared" ca="1" si="2"/>
        <v>211.40030396355519</v>
      </c>
      <c r="C25" s="452">
        <f t="shared" ca="1" si="3"/>
        <v>0</v>
      </c>
      <c r="D25" s="452">
        <f t="shared" si="4"/>
        <v>26.434241591471999</v>
      </c>
      <c r="E25" s="452">
        <f t="shared" si="5"/>
        <v>7.5320756162431239</v>
      </c>
      <c r="F25" s="452">
        <f t="shared" si="6"/>
        <v>1003.2081552164815</v>
      </c>
      <c r="G25" s="452">
        <f t="shared" si="7"/>
        <v>0</v>
      </c>
      <c r="H25" s="452">
        <f t="shared" si="8"/>
        <v>0</v>
      </c>
      <c r="I25" s="452">
        <f t="shared" si="9"/>
        <v>0</v>
      </c>
      <c r="J25" s="452">
        <f t="shared" si="10"/>
        <v>103.68965546181242</v>
      </c>
      <c r="K25" s="452">
        <f t="shared" si="11"/>
        <v>0</v>
      </c>
      <c r="L25" s="452">
        <f t="shared" si="12"/>
        <v>0</v>
      </c>
      <c r="M25" s="452">
        <f t="shared" si="13"/>
        <v>0</v>
      </c>
      <c r="N25" s="452">
        <f t="shared" si="14"/>
        <v>0</v>
      </c>
      <c r="O25" s="452">
        <f t="shared" si="15"/>
        <v>0</v>
      </c>
      <c r="P25" s="453">
        <f t="shared" si="16"/>
        <v>0</v>
      </c>
      <c r="Q25" s="451">
        <f t="shared" ca="1" si="17"/>
        <v>1352.2644318495643</v>
      </c>
    </row>
    <row r="26" spans="1:17">
      <c r="A26" s="451" t="s">
        <v>625</v>
      </c>
      <c r="B26" s="452">
        <f t="shared" ca="1" si="2"/>
        <v>527.44772214752106</v>
      </c>
      <c r="C26" s="452">
        <f t="shared" ca="1" si="3"/>
        <v>0</v>
      </c>
      <c r="D26" s="452">
        <f t="shared" si="4"/>
        <v>332.05127204972803</v>
      </c>
      <c r="E26" s="452">
        <f t="shared" si="5"/>
        <v>62.223623580993532</v>
      </c>
      <c r="F26" s="452">
        <f t="shared" si="6"/>
        <v>238.7156301970478</v>
      </c>
      <c r="G26" s="452">
        <f t="shared" si="7"/>
        <v>0</v>
      </c>
      <c r="H26" s="452">
        <f t="shared" si="8"/>
        <v>0</v>
      </c>
      <c r="I26" s="452">
        <f t="shared" si="9"/>
        <v>0</v>
      </c>
      <c r="J26" s="452">
        <f t="shared" si="10"/>
        <v>6.3215265326387744</v>
      </c>
      <c r="K26" s="452">
        <f t="shared" si="11"/>
        <v>0</v>
      </c>
      <c r="L26" s="452">
        <f t="shared" si="12"/>
        <v>0</v>
      </c>
      <c r="M26" s="452">
        <f t="shared" si="13"/>
        <v>0</v>
      </c>
      <c r="N26" s="452">
        <f t="shared" si="14"/>
        <v>0</v>
      </c>
      <c r="O26" s="452">
        <f t="shared" si="15"/>
        <v>0</v>
      </c>
      <c r="P26" s="453">
        <f t="shared" si="16"/>
        <v>0</v>
      </c>
      <c r="Q26" s="451">
        <f t="shared" ca="1" si="17"/>
        <v>1166.759774507929</v>
      </c>
    </row>
    <row r="27" spans="1:17" s="457" customFormat="1">
      <c r="A27" s="455" t="s">
        <v>551</v>
      </c>
      <c r="B27" s="775">
        <f t="shared" ca="1" si="2"/>
        <v>8.4693514407604216</v>
      </c>
      <c r="C27" s="456">
        <f t="shared" ca="1" si="3"/>
        <v>0</v>
      </c>
      <c r="D27" s="456">
        <f t="shared" si="4"/>
        <v>34.149534408942571</v>
      </c>
      <c r="E27" s="456">
        <f t="shared" si="5"/>
        <v>32.066392488591163</v>
      </c>
      <c r="F27" s="456">
        <f t="shared" si="6"/>
        <v>0</v>
      </c>
      <c r="G27" s="456">
        <f t="shared" si="7"/>
        <v>17366.720445080773</v>
      </c>
      <c r="H27" s="456">
        <f t="shared" si="8"/>
        <v>3913.2403651011027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21354.646088520167</v>
      </c>
    </row>
    <row r="28" spans="1:17" ht="16.5" customHeight="1">
      <c r="A28" s="451" t="s">
        <v>541</v>
      </c>
      <c r="B28" s="452">
        <f t="shared" ca="1" si="2"/>
        <v>0</v>
      </c>
      <c r="C28" s="452">
        <f t="shared" ca="1" si="3"/>
        <v>0</v>
      </c>
      <c r="D28" s="452">
        <f t="shared" si="4"/>
        <v>0</v>
      </c>
      <c r="E28" s="452">
        <f t="shared" si="5"/>
        <v>0</v>
      </c>
      <c r="F28" s="452">
        <f t="shared" si="6"/>
        <v>0</v>
      </c>
      <c r="G28" s="452">
        <f t="shared" si="7"/>
        <v>220.77690191317882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220.77690191317882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134.45990507899893</v>
      </c>
      <c r="C32" s="452">
        <f t="shared" ca="1" si="3"/>
        <v>0</v>
      </c>
      <c r="D32" s="452">
        <f t="shared" si="4"/>
        <v>319.331524866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453.79142994499892</v>
      </c>
    </row>
    <row r="33" spans="1:17" s="463" customFormat="1">
      <c r="A33" s="461" t="s">
        <v>545</v>
      </c>
      <c r="B33" s="462">
        <f ca="1">SUM(B22:B32)</f>
        <v>9723.245704122075</v>
      </c>
      <c r="C33" s="462">
        <f t="shared" ref="C33:Q33" ca="1" si="19">SUM(C22:C32)</f>
        <v>0</v>
      </c>
      <c r="D33" s="462">
        <f t="shared" ca="1" si="19"/>
        <v>12668.406325249</v>
      </c>
      <c r="E33" s="462">
        <f t="shared" si="19"/>
        <v>3062.8895989409943</v>
      </c>
      <c r="F33" s="462">
        <f t="shared" ca="1" si="19"/>
        <v>10492.761263661476</v>
      </c>
      <c r="G33" s="462">
        <f t="shared" si="19"/>
        <v>17587.49734699395</v>
      </c>
      <c r="H33" s="462">
        <f t="shared" si="19"/>
        <v>3913.2403651011027</v>
      </c>
      <c r="I33" s="462">
        <f t="shared" si="19"/>
        <v>0</v>
      </c>
      <c r="J33" s="462">
        <f t="shared" si="19"/>
        <v>607.9033013471518</v>
      </c>
      <c r="K33" s="462">
        <f t="shared" si="19"/>
        <v>0</v>
      </c>
      <c r="L33" s="462">
        <f t="shared" ca="1" si="19"/>
        <v>0</v>
      </c>
      <c r="M33" s="462">
        <f t="shared" si="19"/>
        <v>0</v>
      </c>
      <c r="N33" s="462">
        <f t="shared" ca="1" si="19"/>
        <v>0</v>
      </c>
      <c r="O33" s="462">
        <f t="shared" si="19"/>
        <v>0</v>
      </c>
      <c r="P33" s="462">
        <f t="shared" si="19"/>
        <v>0</v>
      </c>
      <c r="Q33" s="462">
        <f t="shared" ca="1" si="19"/>
        <v>58055.943905415748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4815.7109168111574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87.299999999999983</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102.70588235294116</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4903.0109168111576</v>
      </c>
      <c r="C10" s="1031">
        <f>SUM(C4:C9)</f>
        <v>0</v>
      </c>
      <c r="D10" s="1031">
        <f t="shared" ref="D10:H10" si="0">SUM(D8:D9)</f>
        <v>0</v>
      </c>
      <c r="E10" s="1031">
        <f t="shared" si="0"/>
        <v>0</v>
      </c>
      <c r="F10" s="1031">
        <f t="shared" si="0"/>
        <v>0</v>
      </c>
      <c r="G10" s="1031">
        <f t="shared" si="0"/>
        <v>0</v>
      </c>
      <c r="H10" s="1031">
        <f t="shared" si="0"/>
        <v>0</v>
      </c>
      <c r="I10" s="1031">
        <f>SUM(I8:I9)</f>
        <v>0</v>
      </c>
      <c r="J10" s="1031">
        <f>SUM(J8:J9)</f>
        <v>102.70588235294116</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0.1988410158555384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124.71428571428569</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146.72268907563023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124.71428571428569</v>
      </c>
      <c r="C20" s="1031">
        <f>SUM(C17:C19)</f>
        <v>0</v>
      </c>
      <c r="D20" s="1031">
        <f t="shared" ref="D20:H20" si="2">SUM(D17:D19)</f>
        <v>0</v>
      </c>
      <c r="E20" s="1031">
        <f t="shared" si="2"/>
        <v>0</v>
      </c>
      <c r="F20" s="1031">
        <f t="shared" si="2"/>
        <v>0</v>
      </c>
      <c r="G20" s="1031">
        <f t="shared" si="2"/>
        <v>0</v>
      </c>
      <c r="H20" s="1031">
        <f t="shared" si="2"/>
        <v>0</v>
      </c>
      <c r="I20" s="1031">
        <f>SUM(I17:I19)</f>
        <v>0</v>
      </c>
      <c r="J20" s="1031">
        <f>SUM(J17:J19)</f>
        <v>146.72268907563023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0.1988410158555384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2020-06-20T15:34:49Z</dcterms:modified>
</cp:coreProperties>
</file>