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D16" i="16" s="1"/>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8" i="17" s="1"/>
  <c r="D12" i="17" s="1"/>
  <c r="E54" i="14" s="1"/>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7" i="49"/>
  <c r="C10" i="13"/>
  <c r="C12" i="13" s="1"/>
  <c r="C22" i="59"/>
  <c r="C29" i="20"/>
  <c r="C56" i="22"/>
  <c r="C58" i="22" s="1"/>
  <c r="D49" i="14" s="1"/>
  <c r="D52" i="14" s="1"/>
  <c r="C10" i="17"/>
  <c r="C12" i="17" s="1"/>
  <c r="D54" i="14" s="1"/>
  <c r="D56" i="14" s="1"/>
  <c r="C18" i="15"/>
  <c r="C20" i="15" s="1"/>
  <c r="D40" i="14" s="1"/>
  <c r="C17" i="19"/>
  <c r="C19" i="19" s="1"/>
  <c r="D39" i="14" s="1"/>
  <c r="F26" i="48"/>
  <c r="F33" i="48" s="1"/>
  <c r="B90" i="14"/>
  <c r="B17" i="59"/>
  <c r="B20" i="59" s="1"/>
  <c r="C90" i="14"/>
  <c r="C17" i="59"/>
  <c r="C20" i="59" s="1"/>
  <c r="J26" i="48"/>
  <c r="J33" i="48" s="1"/>
  <c r="J15" i="48"/>
  <c r="E15" i="48"/>
  <c r="D41" i="14"/>
  <c r="D46" i="14" s="1"/>
  <c r="O46" i="14"/>
  <c r="O61" i="14" s="1"/>
  <c r="O63" i="14" s="1"/>
  <c r="K46" i="14"/>
  <c r="K61" i="14" s="1"/>
  <c r="K63" i="14" s="1"/>
  <c r="F16" i="14"/>
  <c r="R13" i="14"/>
  <c r="R16" i="14" s="1"/>
  <c r="R27" i="14" s="1"/>
  <c r="Q8" i="48"/>
  <c r="Q15" i="48" s="1"/>
  <c r="C17" i="48" l="1"/>
  <c r="C24" i="48" s="1"/>
  <c r="D61" i="14"/>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<sst xmlns="http://schemas.openxmlformats.org/spreadsheetml/2006/main" count="2420" uniqueCount="898">
  <si>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</si>
  <si>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</si>
  <si>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</si>
  <si>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</si>
  <si>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</si>
  <si>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</si>
  <si>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</si>
  <si>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</si>
  <si>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</si>
  <si>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</si>
  <si>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</si>
  <si>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</si>
  <si>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</si>
  <si>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</si>
  <si>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</si>
  <si>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</si>
  <si>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</si>
  <si>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</si>
  <si>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</si>
  <si>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</si>
  <si>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</si>
  <si>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</si>
  <si>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</si>
  <si>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</si>
  <si>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</si>
  <si>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</si>
  <si>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</si>
  <si>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</si>
  <si>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</si>
  <si>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</si>
  <si>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</si>
  <si>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</si>
  <si>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</si>
  <si>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</si>
  <si>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</si>
  <si>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</si>
  <si>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</si>
  <si>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</si>
  <si>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</si>
  <si>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</si>
  <si>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</si>
  <si>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</si>
  <si>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</si>
  <si>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</si>
  <si>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</si>
  <si>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</si>
  <si>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</si>
  <si>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</si>
  <si>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</si>
  <si>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</si>
  <si>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</si>
  <si>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</si>
  <si>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</si>
  <si>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</si>
  <si>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</si>
  <si>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</si>
  <si>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</si>
  <si>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</si>
  <si>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</si>
  <si>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</si>
  <si>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</si>
  <si>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</si>
  <si>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</si>
  <si>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</si>
  <si>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</si>
  <si>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</si>
  <si>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</si>
  <si>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</si>
  <si>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</si>
  <si>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</si>
  <si>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</si>
  <si>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</si>
  <si>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</si>
  <si>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</si>
  <si>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</si>
  <si>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</si>
  <si>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</si>
  <si>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</si>
  <si>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</si>
  <si>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</si>
  <si>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</si>
  <si>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</si>
  <si>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</si>
  <si>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</si>
  <si>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</si>
  <si>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</si>
  <si>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</si>
  <si>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</si>
  <si>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</si>
  <si>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</si>
  <si>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</si>
  <si>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</si>
  <si>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</si>
  <si>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</si>
  <si>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</si>
  <si>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</si>
  <si>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</si>
  <si>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</si>
  <si>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</si>
  <si>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</si>
  <si>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</si>
  <si>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</si>
  <si>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</si>
  <si>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</si>
  <si>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</si>
  <si>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</si>
  <si>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</si>
  <si>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</si>
  <si>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</si>
  <si>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</si>
  <si>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</si>
  <si>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</si>
  <si>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</si>
  <si>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</si>
  <si>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</si>
  <si>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</si>
  <si>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</si>
  <si>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</si>
  <si>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</si>
  <si>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</si>
  <si>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</si>
  <si>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</si>
  <si>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</si>
  <si>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</si>
  <si>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</si>
  <si>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</si>
  <si>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</si>
  <si>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</si>
  <si>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</si>
  <si>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</si>
  <si>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</si>
  <si>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</si>
  <si>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</si>
  <si>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</si>
  <si>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</si>
  <si>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</si>
  <si>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</si>
  <si>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</si>
  <si>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</si>
  <si>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</si>
  <si>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</si>
  <si>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</si>
  <si>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</si>
  <si>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</si>
  <si>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</si>
  <si>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</si>
  <si>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</si>
  <si>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</si>
  <si>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</si>
  <si>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</si>
  <si>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</si>
  <si>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</si>
  <si>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</si>
  <si>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</si>
  <si>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</si>
  <si>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</si>
  <si>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</si>
  <si>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</si>
  <si>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</si>
  <si>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</si>
  <si>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</si>
  <si>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</si>
  <si>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</si>
  <si>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</si>
  <si>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</si>
  <si>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</si>
  <si>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</si>
  <si>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</si>
  <si>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</si>
  <si>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</si>
  <si>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</si>
  <si>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</si>
  <si>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</si>
  <si>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</si>
  <si>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</si>
  <si>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</si>
  <si>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</si>
  <si>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</si>
  <si>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</si>
  <si>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</si>
  <si>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</si>
  <si>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</si>
  <si>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</si>
  <si>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</si>
  <si>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</si>
  <si>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</si>
  <si>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</si>
  <si>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</si>
  <si>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</si>
  <si>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</si>
  <si>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</si>
  <si>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</si>
  <si>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</si>
  <si>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</si>
  <si>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</si>
  <si>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</si>
  <si>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</si>
  <si>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</si>
  <si>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</si>
  <si>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</si>
  <si>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</si>
  <si>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</si>
  <si>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</si>
  <si>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</si>
  <si>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</si>
  <si>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</si>
  <si>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</si>
  <si>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</si>
  <si>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</si>
  <si>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</si>
  <si>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</si>
  <si>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</si>
  <si>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</si>
  <si>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</si>
  <si>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</si>
  <si>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</si>
  <si>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</si>
  <si>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</si>
  <si>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</si>
  <si>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</si>
  <si>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</si>
  <si>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</si>
  <si>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</si>
  <si>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</si>
  <si>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</si>
  <si>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</si>
  <si>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</si>
  <si>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</si>
  <si>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</si>
  <si>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</si>
  <si>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</si>
  <si>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</si>
  <si>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</si>
  <si>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</si>
  <si>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</si>
  <si>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</si>
  <si>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</si>
  <si>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</si>
  <si>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</si>
  <si>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</si>
  <si>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</si>
  <si>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</si>
  <si>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</si>
  <si>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</si>
  <si>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</si>
  <si>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</si>
  <si>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</si>
  <si>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</si>
  <si>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</si>
  <si>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</si>
  <si>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</si>
  <si>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</si>
  <si>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</si>
  <si>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</si>
  <si>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</si>
  <si>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</si>
  <si>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</si>
  <si>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</si>
  <si>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</si>
  <si>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</si>
  <si>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</si>
  <si>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</si>
  <si>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</si>
  <si>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</si>
  <si>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</si>
  <si>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</si>
  <si>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</si>
  <si>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</si>
  <si>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</si>
  <si>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</si>
  <si>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</si>
  <si>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</si>
  <si>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</si>
  <si>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</si>
  <si>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</si>
  <si>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</si>
  <si>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</si>
  <si>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</si>
  <si>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</si>
  <si>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</si>
  <si>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</si>
  <si>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</si>
  <si>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</si>
  <si>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</si>
  <si>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</si>
  <si>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</si>
  <si>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</si>
  <si>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</si>
  <si>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</si>
  <si>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</si>
  <si>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</si>
  <si>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</si>
  <si>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</si>
  <si>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</si>
  <si>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</si>
  <si>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</si>
  <si>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</si>
  <si>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</si>
  <si>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</si>
  <si>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</si>
  <si>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</si>
  <si>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</si>
  <si>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</si>
  <si>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</si>
  <si>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</si>
  <si>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</si>
  <si>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</si>
  <si>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</si>
  <si>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</si>
  <si>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</si>
  <si>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</si>
  <si>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</si>
  <si>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</si>
  <si>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</si>
  <si>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</si>
  <si>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</si>
  <si>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</si>
  <si>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</si>
  <si>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</si>
  <si>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</si>
  <si>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</si>
  <si>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</si>
  <si>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</si>
  <si>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</si>
  <si>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</si>
  <si>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</si>
  <si>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</si>
  <si>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</si>
  <si>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</si>
  <si>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</si>
  <si>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</si>
  <si>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</si>
  <si>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</si>
  <si>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</si>
  <si>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</si>
  <si>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</si>
  <si>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</si>
  <si>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</si>
  <si>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</si>
  <si>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</si>
  <si>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</si>
  <si>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</si>
  <si>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</si>
  <si>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</si>
  <si>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</si>
  <si>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</si>
  <si>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</si>
  <si>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</si>
  <si>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</si>
  <si>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</si>
  <si>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</si>
  <si>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</si>
  <si>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</si>
  <si>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</si>
  <si>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</si>
  <si>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</si>
  <si>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</si>
  <si>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</si>
  <si>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</si>
  <si>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</si>
  <si>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</si>
  <si>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</si>
  <si>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</si>
  <si>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</si>
  <si>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</si>
  <si>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</si>
  <si>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</si>
  <si>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</si>
  <si>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</si>
  <si>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</si>
  <si>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</si>
  <si>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</si>
  <si>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</si>
  <si>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</si>
  <si>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</si>
  <si>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</si>
  <si>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</si>
  <si>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</si>
  <si>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</si>
  <si>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</si>
  <si>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</si>
  <si>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</si>
  <si>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</si>
  <si>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</si>
  <si>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</si>
  <si>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</si>
  <si>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</si>
  <si>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</si>
  <si>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</si>
  <si>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</si>
  <si>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</si>
  <si>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</si>
  <si>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</si>
  <si>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</si>
  <si>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</si>
  <si>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</si>
  <si>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</si>
  <si>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</si>
  <si>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</si>
  <si>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</si>
  <si>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</si>
  <si>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</si>
  <si>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</si>
  <si>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</si>
  <si>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</si>
  <si>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</si>
  <si>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</si>
  <si>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</si>
  <si>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</si>
  <si>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</si>
  <si>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</si>
  <si>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</si>
  <si>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</si>
  <si>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</si>
  <si>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</si>
  <si>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</si>
  <si>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</si>
  <si>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</si>
  <si>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</si>
  <si>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</si>
  <si>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</si>
  <si>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</si>
  <si>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</si>
  <si>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</si>
  <si>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</si>
  <si>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</si>
  <si>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</si>
  <si>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</si>
  <si>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</si>
  <si>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</si>
  <si>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</si>
  <si>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</si>
  <si>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</si>
  <si>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</si>
  <si>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</si>
  <si>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</si>
  <si>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</si>
  <si>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</si>
  <si>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</si>
  <si>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</si>
  <si>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</si>
  <si>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</si>
  <si>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</si>
  <si>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</si>
  <si>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</si>
  <si>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</si>
  <si>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</si>
  <si>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</si>
  <si>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</si>
  <si>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</si>
  <si>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</si>
  <si>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</si>
  <si>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</si>
  <si>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</si>
  <si>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</si>
  <si>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</si>
  <si>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</si>
  <si>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</si>
  <si>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</si>
  <si>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</si>
  <si>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</si>
  <si>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</si>
  <si>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</si>
  <si>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</si>
  <si>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</si>
  <si>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</si>
  <si>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</si>
  <si>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</si>
  <si>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</si>
  <si>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</si>
  <si>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</si>
  <si>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</si>
  <si>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</si>
  <si>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</si>
  <si>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</si>
  <si>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</si>
  <si>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</si>
  <si>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</si>
  <si>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</si>
  <si>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</si>
  <si>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</si>
  <si>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</si>
  <si>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</si>
  <si>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</si>
  <si>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</si>
  <si>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</si>
  <si>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</si>
  <si>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</si>
  <si>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</si>
  <si>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</si>
  <si>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</si>
  <si>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</si>
  <si>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</si>
  <si>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</si>
  <si>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</si>
  <si>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</si>
  <si>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</si>
  <si>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</si>
  <si>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</si>
  <si>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</si>
  <si>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</si>
  <si>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</si>
  <si>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</si>
  <si>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</si>
  <si>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</si>
  <si>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</si>
  <si>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</si>
  <si>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</si>
  <si>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</si>
  <si>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</si>
  <si>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</si>
  <si>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</si>
  <si>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</si>
  <si>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</si>
  <si>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</si>
  <si>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</si>
  <si>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</si>
  <si>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</si>
  <si>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</si>
  <si>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</si>
  <si>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</si>
  <si>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</si>
  <si>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</si>
  <si>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</si>
  <si>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</si>
  <si>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</si>
  <si>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</si>
  <si>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</si>
  <si>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</si>
  <si>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</si>
  <si>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</si>
  <si>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</si>
  <si>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</si>
  <si>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</si>
  <si>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</si>
  <si>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</si>
  <si>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</si>
  <si>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</si>
  <si>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</si>
  <si>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</si>
  <si>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</si>
  <si>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</si>
  <si>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</si>
  <si>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</si>
  <si>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</si>
  <si>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</si>
  <si>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</si>
  <si>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</si>
  <si>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</si>
  <si>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</si>
  <si>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</si>
  <si>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</si>
  <si>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</si>
  <si>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</si>
  <si>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</si>
  <si>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</si>
  <si>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</si>
  <si>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</si>
  <si>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</si>
  <si>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</si>
  <si>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</si>
  <si>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</si>
  <si>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</si>
  <si>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</si>
  <si>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</si>
  <si>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</si>
  <si>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</si>
  <si>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</si>
  <si>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</si>
  <si>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</si>
  <si>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</si>
  <si>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</si>
  <si>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</si>
  <si>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</si>
  <si>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</si>
  <si>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</si>
  <si>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</si>
  <si>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</si>
  <si>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</si>
  <si>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</si>
  <si>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</si>
  <si>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</si>
  <si>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</si>
  <si>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</si>
  <si>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</si>
  <si>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</si>
  <si>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</si>
  <si>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</si>
  <si>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</si>
  <si>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</si>
  <si>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</si>
  <si>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</si>
  <si>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</si>
  <si>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</si>
  <si>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</si>
  <si>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</si>
  <si>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</si>
  <si>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</si>
  <si>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</si>
  <si>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</si>
  <si>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</si>
  <si>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</si>
  <si>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</si>
  <si>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</si>
  <si>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</si>
  <si>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</si>
  <si>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</si>
  <si>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</si>
  <si>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</si>
  <si>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</si>
  <si>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</si>
  <si>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</si>
  <si>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</si>
  <si>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</si>
  <si>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</si>
  <si>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</si>
  <si>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</si>
  <si>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</si>
  <si>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</si>
  <si>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</si>
  <si>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</si>
  <si>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</si>
  <si>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</si>
  <si>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</si>
  <si>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</si>
  <si>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</si>
  <si>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</si>
  <si>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</si>
  <si>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</si>
  <si>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</si>
  <si>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</si>
  <si>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</si>
  <si>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</si>
  <si>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</si>
  <si>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</si>
  <si>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</si>
  <si>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</si>
  <si>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</si>
  <si>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</si>
  <si>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</si>
  <si>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</si>
  <si>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</si>
  <si>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</si>
  <si>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</si>
  <si>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</si>
  <si>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</si>
  <si>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</si>
  <si>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</si>
  <si>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</si>
  <si>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</si>
  <si>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</si>
  <si>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</si>
  <si>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</si>
  <si>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</si>
  <si>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</si>
  <si>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</si>
  <si>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</si>
  <si>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</si>
  <si>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</si>
  <si>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</si>
  <si>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</si>
  <si>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</si>
  <si>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</si>
  <si>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</si>
  <si>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</si>
  <si>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</si>
  <si>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</si>
  <si>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</si>
  <si>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</si>
  <si>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</si>
  <si>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</si>
  <si>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</si>
  <si>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</si>
  <si>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</si>
  <si>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</si>
  <si>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</si>
  <si>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</si>
  <si>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</si>
  <si>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</si>
  <si>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</si>
  <si>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</si>
  <si>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</si>
  <si>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</si>
  <si>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</si>
  <si>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</si>
  <si>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</si>
  <si>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</si>
  <si>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</si>
  <si>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</si>
  <si>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</si>
  <si>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</si>
  <si>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</si>
  <si>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</si>
  <si>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</si>
  <si>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</si>
  <si>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</si>
  <si>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</si>
  <si>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</si>
  <si>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</si>
  <si>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</si>
  <si>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</si>
  <si>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</si>
  <si>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</si>
  <si>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</si>
  <si>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</si>
  <si>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</si>
  <si>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</si>
  <si>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</si>
  <si>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</si>
  <si>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</si>
  <si>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</si>
  <si>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</si>
  <si>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</si>
  <si>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</si>
  <si>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</si>
  <si>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</si>
  <si>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</si>
  <si>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</si>
  <si>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</si>
  <si>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</si>
  <si>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</si>
  <si>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</si>
  <si>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</si>
  <si>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</si>
  <si>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</si>
  <si>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</si>
  <si>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</si>
  <si>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</si>
  <si>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</si>
  <si>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</si>
  <si>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</si>
  <si>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</si>
  <si>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</si>
  <si>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</si>
  <si>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</si>
  <si>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</si>
  <si>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</si>
  <si>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</si>
  <si>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</si>
  <si>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</si>
  <si>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</si>
  <si>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</si>
  <si>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</si>
  <si>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</si>
  <si>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</si>
  <si>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</si>
  <si>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</si>
  <si>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</si>
  <si>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</si>
  <si>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</si>
  <si>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</si>
  <si>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</si>
  <si>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</si>
  <si>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</si>
  <si>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</si>
  <si>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</si>
  <si>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</si>
  <si>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</si>
  <si>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</si>
  <si>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</si>
  <si>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</si>
  <si>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</si>
  <si>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</si>
  <si>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</si>
  <si>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</si>
  <si>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</si>
  <si>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</si>
  <si>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</si>
  <si>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</si>
  <si>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</si>
  <si>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</si>
  <si>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</si>
  <si>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</si>
  <si>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</si>
  <si>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</si>
  <si>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</si>
  <si>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</si>
  <si>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</si>
  <si>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</si>
  <si>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</si>
  <si>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</si>
  <si>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</si>
  <si>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</si>
  <si>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</si>
  <si>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</si>
  <si>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</si>
  <si>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</si>
  <si>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</si>
  <si>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</si>
  <si>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</si>
  <si>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</si>
  <si>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</si>
  <si>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</si>
  <si>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</si>
  <si>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</si>
  <si>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</si>
  <si>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</si>
  <si>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</si>
  <si>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</si>
  <si>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</si>
  <si>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</si>
  <si>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</si>
  <si>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</si>
  <si>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</si>
  <si>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</si>
  <si>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</si>
  <si>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</si>
  <si>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</si>
  <si>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</si>
  <si>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</si>
  <si>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</si>
  <si>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</si>
  <si>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</si>
  <si>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</si>
  <si>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</si>
  <si>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</si>
  <si>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</si>
  <si>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</si>
  <si>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</si>
  <si>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</si>
  <si>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</si>
  <si>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</si>
  <si>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</si>
  <si>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</si>
  <si>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</si>
  <si>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</si>
  <si>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</si>
  <si>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</si>
  <si>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</si>
  <si>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</si>
  <si>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</si>
  <si>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</si>
  <si>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</si>
  <si>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</si>
  <si>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</si>
  <si>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</si>
  <si>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</si>
  <si>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</si>
  <si>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</si>
  <si>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</si>
  <si>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</si>
  <si>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</si>
  <si>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</si>
  <si>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</si>
  <si>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</si>
  <si>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</si>
  <si>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</si>
  <si>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</si>
  <si>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</si>
  <si>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</si>
  <si>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</si>
  <si>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</si>
  <si>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</si>
  <si>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</si>
  <si>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</si>
  <si>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</si>
  <si>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</si>
  <si>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</si>
  <si>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</si>
  <si>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</si>
  <si>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</si>
  <si>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</si>
  <si>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</si>
  <si>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</si>
  <si>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</si>
  <si>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</si>
  <si>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</si>
  <si>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</si>
  <si>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</si>
  <si>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</si>
  <si>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</si>
  <si>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</si>
  <si>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</si>
  <si>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</si>
  <si>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</si>
  <si>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</si>
  <si>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</si>
  <si>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</si>
  <si>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</si>
  <si>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</si>
  <si>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</si>
  <si>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</si>
  <si>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</si>
  <si>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</si>
  <si>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</si>
  <si>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38025</t>
  </si>
  <si>
    <t>VEURNE</t>
  </si>
  <si>
    <t>referentietaak LNE (2017); Jaarverslag De Lijn</t>
  </si>
  <si>
    <t>AZ Sint-Augustinus Veurne</t>
  </si>
  <si>
    <t>Ieperse Steenweg 100 , 8630 Veurne</t>
  </si>
  <si>
    <t>WKK-0251 AZ Sint-Augustinus Veurne</t>
  </si>
  <si>
    <t>interne verbrandingsmotor</t>
  </si>
  <si>
    <t>WKK interne verbrandinsgmotor (gas)</t>
  </si>
  <si>
    <t>GASELWEST</t>
  </si>
  <si>
    <t>Biolectric nv</t>
  </si>
  <si>
    <t>Jan de Malschelaan 4 B, 9140 Temse</t>
  </si>
  <si>
    <t>WKK-0454 Pieter De Zeure</t>
  </si>
  <si>
    <t>Zwart-Paardstraat 2 , 8630 Veurne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</si>
</sst>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94306.527180277393</c:v>
                </c:pt>
                <c:pt idx="1">
                  <c:v>61208.553866168382</c:v>
                </c:pt>
                <c:pt idx="2">
                  <c:v>918.42600000000004</c:v>
                </c:pt>
                <c:pt idx="3">
                  <c:v>22753.582014641994</c:v>
                </c:pt>
                <c:pt idx="4">
                  <c:v>235451.01609351559</c:v>
                </c:pt>
                <c:pt idx="5">
                  <c:v>197217.63165054898</c:v>
                </c:pt>
                <c:pt idx="6">
                  <c:v>1147.2342686397126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94306.527180277393</c:v>
                </c:pt>
                <c:pt idx="1">
                  <c:v>61208.553866168382</c:v>
                </c:pt>
                <c:pt idx="2">
                  <c:v>918.42600000000004</c:v>
                </c:pt>
                <c:pt idx="3">
                  <c:v>22753.582014641994</c:v>
                </c:pt>
                <c:pt idx="4">
                  <c:v>235451.01609351559</c:v>
                </c:pt>
                <c:pt idx="5">
                  <c:v>197217.63165054898</c:v>
                </c:pt>
                <c:pt idx="6">
                  <c:v>1147.2342686397126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16749.108579079439</c:v>
                </c:pt>
                <c:pt idx="1">
                  <c:v>12134.932071490053</c:v>
                </c:pt>
                <c:pt idx="2">
                  <c:v>181.84446049356336</c:v>
                </c:pt>
                <c:pt idx="3">
                  <c:v>5843.9055356811405</c:v>
                </c:pt>
                <c:pt idx="4">
                  <c:v>47681.988213010656</c:v>
                </c:pt>
                <c:pt idx="5">
                  <c:v>49300.452464839742</c:v>
                </c:pt>
                <c:pt idx="6">
                  <c:v>290.18554265672162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16749.108579079439</c:v>
                </c:pt>
                <c:pt idx="1">
                  <c:v>12134.932071490053</c:v>
                </c:pt>
                <c:pt idx="2">
                  <c:v>181.84446049356336</c:v>
                </c:pt>
                <c:pt idx="3">
                  <c:v>5843.9055356811405</c:v>
                </c:pt>
                <c:pt idx="4">
                  <c:v>47681.988213010656</c:v>
                </c:pt>
                <c:pt idx="5">
                  <c:v>49300.452464839742</c:v>
                </c:pt>
                <c:pt idx="6">
                  <c:v>290.18554265672162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38025</v>
      </c>
      <c r="B6" s="390"/>
      <c r="C6" s="391"/>
    </row>
    <row r="7" spans="1:7" s="388" customFormat="1" ht="15.75" customHeight="1">
      <c r="A7" s="392" t="str">
        <f>txtMunicipality</f>
        <v>VEURNE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0.19799576720776998</v>
      </c>
      <c r="C17" s="501">
        <f ca="1">'EF ele_warmte'!B22</f>
        <v>0.22998102466793169</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0.19799576720776998</v>
      </c>
      <c r="C29" s="502">
        <f ca="1">'EF ele_warmte'!B22</f>
        <v>0.22998102466793169</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5162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8070.0899999999901</v>
      </c>
      <c r="C14" s="330"/>
      <c r="D14" s="330"/>
      <c r="E14" s="330"/>
      <c r="F14" s="330"/>
    </row>
    <row r="15" spans="1:6">
      <c r="A15" s="1298" t="s">
        <v>183</v>
      </c>
      <c r="B15" s="1299">
        <v>1135</v>
      </c>
      <c r="C15" s="330"/>
      <c r="D15" s="330"/>
      <c r="E15" s="330"/>
      <c r="F15" s="330"/>
    </row>
    <row r="16" spans="1:6">
      <c r="A16" s="1298" t="s">
        <v>6</v>
      </c>
      <c r="B16" s="1299">
        <v>2444</v>
      </c>
      <c r="C16" s="330"/>
      <c r="D16" s="330"/>
      <c r="E16" s="330"/>
      <c r="F16" s="330"/>
    </row>
    <row r="17" spans="1:6">
      <c r="A17" s="1298" t="s">
        <v>7</v>
      </c>
      <c r="B17" s="1299">
        <v>1978</v>
      </c>
      <c r="C17" s="330"/>
      <c r="D17" s="330"/>
      <c r="E17" s="330"/>
      <c r="F17" s="330"/>
    </row>
    <row r="18" spans="1:6">
      <c r="A18" s="1298" t="s">
        <v>8</v>
      </c>
      <c r="B18" s="1299">
        <v>3004</v>
      </c>
      <c r="C18" s="330"/>
      <c r="D18" s="330"/>
      <c r="E18" s="330"/>
      <c r="F18" s="330"/>
    </row>
    <row r="19" spans="1:6">
      <c r="A19" s="1298" t="s">
        <v>9</v>
      </c>
      <c r="B19" s="1299">
        <v>2993</v>
      </c>
      <c r="C19" s="330"/>
      <c r="D19" s="330"/>
      <c r="E19" s="330"/>
      <c r="F19" s="330"/>
    </row>
    <row r="20" spans="1:6">
      <c r="A20" s="1298" t="s">
        <v>10</v>
      </c>
      <c r="B20" s="1299">
        <v>1325</v>
      </c>
      <c r="C20" s="330"/>
      <c r="D20" s="330"/>
      <c r="E20" s="330"/>
      <c r="F20" s="330"/>
    </row>
    <row r="21" spans="1:6">
      <c r="A21" s="1298" t="s">
        <v>11</v>
      </c>
      <c r="B21" s="1299">
        <v>21538</v>
      </c>
      <c r="C21" s="330"/>
      <c r="D21" s="330"/>
      <c r="E21" s="330"/>
      <c r="F21" s="330"/>
    </row>
    <row r="22" spans="1:6">
      <c r="A22" s="1298" t="s">
        <v>12</v>
      </c>
      <c r="B22" s="1299">
        <v>50726</v>
      </c>
      <c r="C22" s="330"/>
      <c r="D22" s="330"/>
      <c r="E22" s="330"/>
      <c r="F22" s="330"/>
    </row>
    <row r="23" spans="1:6">
      <c r="A23" s="1298" t="s">
        <v>13</v>
      </c>
      <c r="B23" s="1299">
        <v>788</v>
      </c>
      <c r="C23" s="330"/>
      <c r="D23" s="330"/>
      <c r="E23" s="330"/>
      <c r="F23" s="330"/>
    </row>
    <row r="24" spans="1:6">
      <c r="A24" s="1298" t="s">
        <v>14</v>
      </c>
      <c r="B24" s="1299">
        <v>53</v>
      </c>
      <c r="C24" s="330"/>
      <c r="D24" s="330"/>
      <c r="E24" s="330"/>
      <c r="F24" s="330"/>
    </row>
    <row r="25" spans="1:6">
      <c r="A25" s="1298" t="s">
        <v>15</v>
      </c>
      <c r="B25" s="1299">
        <v>5544</v>
      </c>
      <c r="C25" s="330"/>
      <c r="D25" s="330"/>
      <c r="E25" s="330"/>
      <c r="F25" s="330"/>
    </row>
    <row r="26" spans="1:6">
      <c r="A26" s="1298" t="s">
        <v>16</v>
      </c>
      <c r="B26" s="1299">
        <v>519</v>
      </c>
      <c r="C26" s="330"/>
      <c r="D26" s="330"/>
      <c r="E26" s="330"/>
      <c r="F26" s="330"/>
    </row>
    <row r="27" spans="1:6">
      <c r="A27" s="1298" t="s">
        <v>17</v>
      </c>
      <c r="B27" s="1299">
        <v>14</v>
      </c>
      <c r="C27" s="330"/>
      <c r="D27" s="330"/>
      <c r="E27" s="330"/>
      <c r="F27" s="330"/>
    </row>
    <row r="28" spans="1:6" s="43" customFormat="1">
      <c r="A28" s="1300" t="s">
        <v>18</v>
      </c>
      <c r="B28" s="1301">
        <v>755805</v>
      </c>
      <c r="C28" s="336"/>
      <c r="D28" s="336"/>
      <c r="E28" s="336"/>
      <c r="F28" s="336"/>
    </row>
    <row r="29" spans="1:6">
      <c r="A29" s="1300" t="s">
        <v>705</v>
      </c>
      <c r="B29" s="1301">
        <v>141</v>
      </c>
      <c r="C29" s="336"/>
      <c r="D29" s="336"/>
      <c r="E29" s="336"/>
      <c r="F29" s="336"/>
    </row>
    <row r="30" spans="1:6">
      <c r="A30" s="1293" t="s">
        <v>706</v>
      </c>
      <c r="B30" s="1302">
        <v>82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3</v>
      </c>
      <c r="F36" s="1299">
        <v>15896.221</v>
      </c>
    </row>
    <row r="37" spans="1:6">
      <c r="A37" s="1298" t="s">
        <v>24</v>
      </c>
      <c r="B37" s="1298" t="s">
        <v>27</v>
      </c>
      <c r="C37" s="1299">
        <v>0</v>
      </c>
      <c r="D37" s="1299">
        <v>0</v>
      </c>
      <c r="E37" s="1299">
        <v>0</v>
      </c>
      <c r="F37" s="1299">
        <v>0</v>
      </c>
    </row>
    <row r="38" spans="1:6">
      <c r="A38" s="1298" t="s">
        <v>24</v>
      </c>
      <c r="B38" s="1298" t="s">
        <v>28</v>
      </c>
      <c r="C38" s="1299">
        <v>3</v>
      </c>
      <c r="D38" s="1299">
        <v>460051.44300000003</v>
      </c>
      <c r="E38" s="1299">
        <v>3</v>
      </c>
      <c r="F38" s="1299">
        <v>178427.264</v>
      </c>
    </row>
    <row r="39" spans="1:6">
      <c r="A39" s="1298" t="s">
        <v>29</v>
      </c>
      <c r="B39" s="1298" t="s">
        <v>30</v>
      </c>
      <c r="C39" s="1299">
        <v>3879</v>
      </c>
      <c r="D39" s="1299">
        <v>50908061.909999996</v>
      </c>
      <c r="E39" s="1299">
        <v>4940</v>
      </c>
      <c r="F39" s="1299">
        <v>15818878.25</v>
      </c>
    </row>
    <row r="40" spans="1:6">
      <c r="A40" s="1298" t="s">
        <v>29</v>
      </c>
      <c r="B40" s="1298" t="s">
        <v>28</v>
      </c>
      <c r="C40" s="1299">
        <v>0</v>
      </c>
      <c r="D40" s="1299">
        <v>0</v>
      </c>
      <c r="E40" s="1299">
        <v>0</v>
      </c>
      <c r="F40" s="1299">
        <v>0</v>
      </c>
    </row>
    <row r="41" spans="1:6">
      <c r="A41" s="1298" t="s">
        <v>31</v>
      </c>
      <c r="B41" s="1298" t="s">
        <v>32</v>
      </c>
      <c r="C41" s="1299">
        <v>66</v>
      </c>
      <c r="D41" s="1299">
        <v>1771819.334</v>
      </c>
      <c r="E41" s="1299">
        <v>154</v>
      </c>
      <c r="F41" s="1299">
        <v>7916959.7249999996</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5</v>
      </c>
      <c r="D44" s="1299">
        <v>243555.636</v>
      </c>
      <c r="E44" s="1299">
        <v>20</v>
      </c>
      <c r="F44" s="1299">
        <v>720071.17299999995</v>
      </c>
    </row>
    <row r="45" spans="1:6">
      <c r="A45" s="1298" t="s">
        <v>31</v>
      </c>
      <c r="B45" s="1298" t="s">
        <v>36</v>
      </c>
      <c r="C45" s="1299">
        <v>0</v>
      </c>
      <c r="D45" s="1299">
        <v>0</v>
      </c>
      <c r="E45" s="1299">
        <v>3</v>
      </c>
      <c r="F45" s="1299">
        <v>81991.091</v>
      </c>
    </row>
    <row r="46" spans="1:6">
      <c r="A46" s="1298" t="s">
        <v>31</v>
      </c>
      <c r="B46" s="1298" t="s">
        <v>37</v>
      </c>
      <c r="C46" s="1299">
        <v>0</v>
      </c>
      <c r="D46" s="1299">
        <v>0</v>
      </c>
      <c r="E46" s="1299">
        <v>0</v>
      </c>
      <c r="F46" s="1299">
        <v>0</v>
      </c>
    </row>
    <row r="47" spans="1:6">
      <c r="A47" s="1298" t="s">
        <v>31</v>
      </c>
      <c r="B47" s="1298" t="s">
        <v>38</v>
      </c>
      <c r="C47" s="1299">
        <v>0</v>
      </c>
      <c r="D47" s="1299">
        <v>0</v>
      </c>
      <c r="E47" s="1299">
        <v>4</v>
      </c>
      <c r="F47" s="1299">
        <v>226033.02900000001</v>
      </c>
    </row>
    <row r="48" spans="1:6">
      <c r="A48" s="1298" t="s">
        <v>31</v>
      </c>
      <c r="B48" s="1298" t="s">
        <v>28</v>
      </c>
      <c r="C48" s="1299">
        <v>41</v>
      </c>
      <c r="D48" s="1299">
        <v>168754890</v>
      </c>
      <c r="E48" s="1299">
        <v>35</v>
      </c>
      <c r="F48" s="1299">
        <v>24624723.66</v>
      </c>
    </row>
    <row r="49" spans="1:6">
      <c r="A49" s="1298" t="s">
        <v>31</v>
      </c>
      <c r="B49" s="1298" t="s">
        <v>39</v>
      </c>
      <c r="C49" s="1299">
        <v>0</v>
      </c>
      <c r="D49" s="1299">
        <v>0</v>
      </c>
      <c r="E49" s="1299">
        <v>0</v>
      </c>
      <c r="F49" s="1299">
        <v>0</v>
      </c>
    </row>
    <row r="50" spans="1:6">
      <c r="A50" s="1298" t="s">
        <v>31</v>
      </c>
      <c r="B50" s="1298" t="s">
        <v>40</v>
      </c>
      <c r="C50" s="1299">
        <v>15</v>
      </c>
      <c r="D50" s="1299">
        <v>8332553.46</v>
      </c>
      <c r="E50" s="1299">
        <v>31</v>
      </c>
      <c r="F50" s="1299">
        <v>21654640.469999999</v>
      </c>
    </row>
    <row r="51" spans="1:6">
      <c r="A51" s="1298" t="s">
        <v>41</v>
      </c>
      <c r="B51" s="1298" t="s">
        <v>42</v>
      </c>
      <c r="C51" s="1299">
        <v>11</v>
      </c>
      <c r="D51" s="1299">
        <v>167550.731</v>
      </c>
      <c r="E51" s="1299">
        <v>198</v>
      </c>
      <c r="F51" s="1299">
        <v>4466854.5829999996</v>
      </c>
    </row>
    <row r="52" spans="1:6">
      <c r="A52" s="1298" t="s">
        <v>41</v>
      </c>
      <c r="B52" s="1298" t="s">
        <v>28</v>
      </c>
      <c r="C52" s="1299">
        <v>4</v>
      </c>
      <c r="D52" s="1299">
        <v>73219.804000000004</v>
      </c>
      <c r="E52" s="1299">
        <v>8</v>
      </c>
      <c r="F52" s="1299">
        <v>175750.508</v>
      </c>
    </row>
    <row r="53" spans="1:6">
      <c r="A53" s="1298" t="s">
        <v>43</v>
      </c>
      <c r="B53" s="1298" t="s">
        <v>44</v>
      </c>
      <c r="C53" s="1299">
        <v>131</v>
      </c>
      <c r="D53" s="1299">
        <v>1767002.189</v>
      </c>
      <c r="E53" s="1299">
        <v>275</v>
      </c>
      <c r="F53" s="1299">
        <v>870001.9</v>
      </c>
    </row>
    <row r="54" spans="1:6">
      <c r="A54" s="1298" t="s">
        <v>45</v>
      </c>
      <c r="B54" s="1298" t="s">
        <v>46</v>
      </c>
      <c r="C54" s="1299">
        <v>0</v>
      </c>
      <c r="D54" s="1299">
        <v>0</v>
      </c>
      <c r="E54" s="1299">
        <v>1</v>
      </c>
      <c r="F54" s="1299">
        <v>918426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75</v>
      </c>
      <c r="D57" s="1299">
        <v>4336912.7290000003</v>
      </c>
      <c r="E57" s="1299">
        <v>109</v>
      </c>
      <c r="F57" s="1299">
        <v>2078168.5349999999</v>
      </c>
    </row>
    <row r="58" spans="1:6">
      <c r="A58" s="1298" t="s">
        <v>48</v>
      </c>
      <c r="B58" s="1298" t="s">
        <v>50</v>
      </c>
      <c r="C58" s="1299">
        <v>38</v>
      </c>
      <c r="D58" s="1299">
        <v>6187594.2980000004</v>
      </c>
      <c r="E58" s="1299">
        <v>48</v>
      </c>
      <c r="F58" s="1299">
        <v>5163706.4040000001</v>
      </c>
    </row>
    <row r="59" spans="1:6">
      <c r="A59" s="1298" t="s">
        <v>48</v>
      </c>
      <c r="B59" s="1298" t="s">
        <v>51</v>
      </c>
      <c r="C59" s="1299">
        <v>140</v>
      </c>
      <c r="D59" s="1299">
        <v>7094377.0429999996</v>
      </c>
      <c r="E59" s="1299">
        <v>221</v>
      </c>
      <c r="F59" s="1299">
        <v>9310422.9030000009</v>
      </c>
    </row>
    <row r="60" spans="1:6">
      <c r="A60" s="1298" t="s">
        <v>48</v>
      </c>
      <c r="B60" s="1298" t="s">
        <v>52</v>
      </c>
      <c r="C60" s="1299">
        <v>74</v>
      </c>
      <c r="D60" s="1299">
        <v>2912254.5610000002</v>
      </c>
      <c r="E60" s="1299">
        <v>107</v>
      </c>
      <c r="F60" s="1299">
        <v>2350347.1069999998</v>
      </c>
    </row>
    <row r="61" spans="1:6">
      <c r="A61" s="1298" t="s">
        <v>48</v>
      </c>
      <c r="B61" s="1298" t="s">
        <v>53</v>
      </c>
      <c r="C61" s="1299">
        <v>166</v>
      </c>
      <c r="D61" s="1299">
        <v>6059978.6179999998</v>
      </c>
      <c r="E61" s="1299">
        <v>420</v>
      </c>
      <c r="F61" s="1299">
        <v>4090498.0529999998</v>
      </c>
    </row>
    <row r="62" spans="1:6">
      <c r="A62" s="1298" t="s">
        <v>48</v>
      </c>
      <c r="B62" s="1298" t="s">
        <v>54</v>
      </c>
      <c r="C62" s="1299">
        <v>19</v>
      </c>
      <c r="D62" s="1299">
        <v>2161032.71</v>
      </c>
      <c r="E62" s="1299">
        <v>19</v>
      </c>
      <c r="F62" s="1299">
        <v>832237.31299999997</v>
      </c>
    </row>
    <row r="63" spans="1:6">
      <c r="A63" s="1298" t="s">
        <v>48</v>
      </c>
      <c r="B63" s="1298" t="s">
        <v>28</v>
      </c>
      <c r="C63" s="1299">
        <v>83</v>
      </c>
      <c r="D63" s="1299">
        <v>4059184.2910000002</v>
      </c>
      <c r="E63" s="1299">
        <v>91</v>
      </c>
      <c r="F63" s="1299">
        <v>3261620.1</v>
      </c>
    </row>
    <row r="64" spans="1:6">
      <c r="A64" s="1298" t="s">
        <v>55</v>
      </c>
      <c r="B64" s="1298" t="s">
        <v>56</v>
      </c>
      <c r="C64" s="1299">
        <v>0</v>
      </c>
      <c r="D64" s="1299">
        <v>0</v>
      </c>
      <c r="E64" s="1299">
        <v>0</v>
      </c>
      <c r="F64" s="1299">
        <v>0</v>
      </c>
    </row>
    <row r="65" spans="1:6">
      <c r="A65" s="1298" t="s">
        <v>55</v>
      </c>
      <c r="B65" s="1298" t="s">
        <v>28</v>
      </c>
      <c r="C65" s="1299">
        <v>4</v>
      </c>
      <c r="D65" s="1299">
        <v>823072.52800000005</v>
      </c>
      <c r="E65" s="1299">
        <v>3</v>
      </c>
      <c r="F65" s="1299">
        <v>38755.336000000003</v>
      </c>
    </row>
    <row r="66" spans="1:6">
      <c r="A66" s="1298" t="s">
        <v>55</v>
      </c>
      <c r="B66" s="1298" t="s">
        <v>57</v>
      </c>
      <c r="C66" s="1299">
        <v>0</v>
      </c>
      <c r="D66" s="1299">
        <v>0</v>
      </c>
      <c r="E66" s="1299">
        <v>20</v>
      </c>
      <c r="F66" s="1299">
        <v>446829.95500000002</v>
      </c>
    </row>
    <row r="67" spans="1:6">
      <c r="A67" s="1300" t="s">
        <v>55</v>
      </c>
      <c r="B67" s="1300" t="s">
        <v>58</v>
      </c>
      <c r="C67" s="1299">
        <v>0</v>
      </c>
      <c r="D67" s="1299">
        <v>0</v>
      </c>
      <c r="E67" s="1299">
        <v>0</v>
      </c>
      <c r="F67" s="1299">
        <v>0</v>
      </c>
    </row>
    <row r="68" spans="1:6">
      <c r="A68" s="1293" t="s">
        <v>55</v>
      </c>
      <c r="B68" s="1293" t="s">
        <v>59</v>
      </c>
      <c r="C68" s="1302">
        <v>0</v>
      </c>
      <c r="D68" s="1302">
        <v>0</v>
      </c>
      <c r="E68" s="1302">
        <v>8</v>
      </c>
      <c r="F68" s="1302">
        <v>298260.603</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63569452</v>
      </c>
      <c r="E73" s="450"/>
      <c r="F73" s="330"/>
    </row>
    <row r="74" spans="1:6">
      <c r="A74" s="1298" t="s">
        <v>63</v>
      </c>
      <c r="B74" s="1298" t="s">
        <v>647</v>
      </c>
      <c r="C74" s="1312" t="s">
        <v>649</v>
      </c>
      <c r="D74" s="1313">
        <v>7466014.5</v>
      </c>
      <c r="E74" s="450"/>
      <c r="F74" s="330"/>
    </row>
    <row r="75" spans="1:6">
      <c r="A75" s="1298" t="s">
        <v>64</v>
      </c>
      <c r="B75" s="1298" t="s">
        <v>646</v>
      </c>
      <c r="C75" s="1312" t="s">
        <v>650</v>
      </c>
      <c r="D75" s="1313">
        <v>15763292</v>
      </c>
      <c r="E75" s="450"/>
      <c r="F75" s="330"/>
    </row>
    <row r="76" spans="1:6">
      <c r="A76" s="1298" t="s">
        <v>64</v>
      </c>
      <c r="B76" s="1298" t="s">
        <v>647</v>
      </c>
      <c r="C76" s="1312" t="s">
        <v>651</v>
      </c>
      <c r="D76" s="1313">
        <v>2371405.5</v>
      </c>
      <c r="E76" s="450"/>
      <c r="F76" s="330"/>
    </row>
    <row r="77" spans="1:6">
      <c r="A77" s="1298" t="s">
        <v>65</v>
      </c>
      <c r="B77" s="1298" t="s">
        <v>646</v>
      </c>
      <c r="C77" s="1312" t="s">
        <v>652</v>
      </c>
      <c r="D77" s="1313">
        <v>66882328</v>
      </c>
      <c r="E77" s="450"/>
      <c r="F77" s="330"/>
    </row>
    <row r="78" spans="1:6">
      <c r="A78" s="1293" t="s">
        <v>65</v>
      </c>
      <c r="B78" s="1293" t="s">
        <v>647</v>
      </c>
      <c r="C78" s="1293" t="s">
        <v>653</v>
      </c>
      <c r="D78" s="1314">
        <v>26451959</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314925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3232.4928340725241</v>
      </c>
      <c r="C91" s="330"/>
      <c r="D91" s="330"/>
      <c r="E91" s="330"/>
      <c r="F91" s="330"/>
    </row>
    <row r="92" spans="1:6">
      <c r="A92" s="1293" t="s">
        <v>68</v>
      </c>
      <c r="B92" s="1294">
        <v>8186.5098443222878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2583</v>
      </c>
      <c r="C97" s="330"/>
      <c r="D97" s="330"/>
      <c r="E97" s="330"/>
      <c r="F97" s="330"/>
    </row>
    <row r="98" spans="1:6">
      <c r="A98" s="1298" t="s">
        <v>71</v>
      </c>
      <c r="B98" s="1299">
        <v>0</v>
      </c>
      <c r="C98" s="330"/>
      <c r="D98" s="330"/>
      <c r="E98" s="330"/>
      <c r="F98" s="330"/>
    </row>
    <row r="99" spans="1:6">
      <c r="A99" s="1298" t="s">
        <v>72</v>
      </c>
      <c r="B99" s="1299">
        <v>141</v>
      </c>
      <c r="C99" s="330"/>
      <c r="D99" s="330"/>
      <c r="E99" s="330"/>
      <c r="F99" s="330"/>
    </row>
    <row r="100" spans="1:6">
      <c r="A100" s="1298" t="s">
        <v>73</v>
      </c>
      <c r="B100" s="1299">
        <v>366</v>
      </c>
      <c r="C100" s="330"/>
      <c r="D100" s="330"/>
      <c r="E100" s="330"/>
      <c r="F100" s="330"/>
    </row>
    <row r="101" spans="1:6">
      <c r="A101" s="1298" t="s">
        <v>74</v>
      </c>
      <c r="B101" s="1299">
        <v>85</v>
      </c>
      <c r="C101" s="330"/>
      <c r="D101" s="330"/>
      <c r="E101" s="330"/>
      <c r="F101" s="330"/>
    </row>
    <row r="102" spans="1:6">
      <c r="A102" s="1298" t="s">
        <v>75</v>
      </c>
      <c r="B102" s="1299">
        <v>65</v>
      </c>
      <c r="C102" s="330"/>
      <c r="D102" s="330"/>
      <c r="E102" s="330"/>
      <c r="F102" s="330"/>
    </row>
    <row r="103" spans="1:6">
      <c r="A103" s="1298" t="s">
        <v>76</v>
      </c>
      <c r="B103" s="1299">
        <v>106</v>
      </c>
      <c r="C103" s="330"/>
      <c r="D103" s="330"/>
      <c r="E103" s="330"/>
      <c r="F103" s="330"/>
    </row>
    <row r="104" spans="1:6">
      <c r="A104" s="1298" t="s">
        <v>77</v>
      </c>
      <c r="B104" s="1299">
        <v>1077</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1</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13</v>
      </c>
      <c r="C123" s="1299">
        <v>23</v>
      </c>
      <c r="D123" s="330"/>
      <c r="E123" s="330"/>
      <c r="F123" s="330"/>
    </row>
    <row r="124" spans="1:6" s="43" customFormat="1">
      <c r="A124" s="1300" t="s">
        <v>88</v>
      </c>
      <c r="B124" s="1321">
        <v>2</v>
      </c>
      <c r="C124" s="1321">
        <v>3</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238</v>
      </c>
      <c r="C129" s="330"/>
      <c r="D129" s="330"/>
      <c r="E129" s="330"/>
      <c r="F129" s="330"/>
    </row>
    <row r="130" spans="1:6">
      <c r="A130" s="1298" t="s">
        <v>294</v>
      </c>
      <c r="B130" s="1299">
        <v>7</v>
      </c>
      <c r="C130" s="330"/>
      <c r="D130" s="330"/>
      <c r="E130" s="330"/>
      <c r="F130" s="330"/>
    </row>
    <row r="131" spans="1:6">
      <c r="A131" s="1298" t="s">
        <v>295</v>
      </c>
      <c r="B131" s="1299">
        <v>2</v>
      </c>
      <c r="C131" s="330"/>
      <c r="D131" s="330"/>
      <c r="E131" s="330"/>
      <c r="F131" s="330"/>
    </row>
    <row r="132" spans="1:6">
      <c r="A132" s="1293" t="s">
        <v>296</v>
      </c>
      <c r="B132" s="1294">
        <v>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109173.25263914533</v>
      </c>
      <c r="C3" s="43" t="s">
        <v>169</v>
      </c>
      <c r="D3" s="43"/>
      <c r="E3" s="154"/>
      <c r="F3" s="43"/>
      <c r="G3" s="43"/>
      <c r="H3" s="43"/>
      <c r="I3" s="43"/>
      <c r="J3" s="43"/>
      <c r="K3" s="96"/>
    </row>
    <row r="4" spans="1:11">
      <c r="A4" s="358" t="s">
        <v>170</v>
      </c>
      <c r="B4" s="49">
        <f>IF(ISERROR('SEAP template'!B78+'SEAP template'!C78),0,'SEAP template'!B78+'SEAP template'!C78)</f>
        <v>12772.152678394812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311.19882352941175</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0.19799576720776998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444.56974789915967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1933.0714285714287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0.22998102466793169</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918.42600000000004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918.42600000000004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0.19799576720776998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181.84446049356336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15818.87825</v>
      </c>
      <c r="C5" s="17">
        <f>IF(ISERROR('Eigen informatie GS &amp; warmtenet'!B59),0,'Eigen informatie GS &amp; warmtenet'!B59)</f>
        <v>0</v>
      </c>
      <c r="D5" s="30">
        <f>(SUM(HH_hh_gas_kWh,HH_rest_gas_kWh)/1000)*0.902</f>
        <v>45919.071842819998</v>
      </c>
      <c r="E5" s="17">
        <f>B46*B57</f>
        <v>16305.573712242007</v>
      </c>
      <c r="F5" s="17">
        <f>B51*B62</f>
        <v>0</v>
      </c>
      <c r="G5" s="18"/>
      <c r="H5" s="17"/>
      <c r="I5" s="17"/>
      <c r="J5" s="17">
        <f>B50*B61+C50*C61</f>
        <v>0</v>
      </c>
      <c r="K5" s="17"/>
      <c r="L5" s="17"/>
      <c r="M5" s="17"/>
      <c r="N5" s="17">
        <f>B48*B59+C48*C59</f>
        <v>12264.464507147926</v>
      </c>
      <c r="O5" s="17">
        <f>B69*B70*B71</f>
        <v>523.76496991817646</v>
      </c>
      <c r="P5" s="17">
        <f>B77*B78*B79/1000-B77*B78*B79/1000/B80</f>
        <v>242.28106407675551</v>
      </c>
    </row>
    <row r="6" spans="1:16">
      <c r="A6" s="16" t="s">
        <v>611</v>
      </c>
      <c r="B6" s="783">
        <f>kWh_PV_kleiner_dan_10kW</f>
        <v>3232.4928340725241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19051.371084072525</v>
      </c>
      <c r="C8" s="21">
        <f>C5</f>
        <v>0</v>
      </c>
      <c r="D8" s="21">
        <f>D5</f>
        <v>45919.071842819998</v>
      </c>
      <c r="E8" s="21">
        <f>E5</f>
        <v>16305.573712242007</v>
      </c>
      <c r="F8" s="21">
        <f>F5</f>
        <v>0</v>
      </c>
      <c r="G8" s="21"/>
      <c r="H8" s="21"/>
      <c r="I8" s="21"/>
      <c r="J8" s="21">
        <f>J5</f>
        <v>0</v>
      </c>
      <c r="K8" s="21"/>
      <c r="L8" s="21">
        <f>L5</f>
        <v>0</v>
      </c>
      <c r="M8" s="21">
        <f>M5</f>
        <v>0</v>
      </c>
      <c r="N8" s="21">
        <f>N5</f>
        <v>12264.464507147926</v>
      </c>
      <c r="O8" s="21">
        <f>O5</f>
        <v>523.76496991817646</v>
      </c>
      <c r="P8" s="21">
        <f>P5</f>
        <v>242.28106407675551</v>
      </c>
    </row>
    <row r="9" spans="1:16">
      <c r="B9" s="19"/>
      <c r="C9" s="19"/>
      <c r="D9" s="258"/>
      <c r="E9" s="19"/>
      <c r="F9" s="19"/>
      <c r="G9" s="19"/>
      <c r="H9" s="19"/>
      <c r="I9" s="19"/>
      <c r="J9" s="19"/>
      <c r="K9" s="19"/>
      <c r="L9" s="19"/>
      <c r="M9" s="19"/>
      <c r="N9" s="19"/>
      <c r="O9" s="19"/>
      <c r="P9" s="19"/>
    </row>
    <row r="10" spans="1:16">
      <c r="A10" s="24" t="s">
        <v>213</v>
      </c>
      <c r="B10" s="25">
        <f ca="1">'EF ele_warmte'!B12</f>
        <v>0.19799576720776998</v>
      </c>
      <c r="C10" s="25">
        <f ca="1">'EF ele_warmte'!B22</f>
        <v>0.22998102466793169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3772.0908341508643</v>
      </c>
      <c r="C12" s="23">
        <f ca="1">C10*C8</f>
        <v>0</v>
      </c>
      <c r="D12" s="23">
        <f>D8*D10</f>
        <v>9275.6525122496405</v>
      </c>
      <c r="E12" s="23">
        <f>E10*E8</f>
        <v>3701.3652326789356</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2583</v>
      </c>
      <c r="C18" s="166" t="s">
        <v>110</v>
      </c>
      <c r="D18" s="228"/>
      <c r="E18" s="15"/>
    </row>
    <row r="19" spans="1:7">
      <c r="A19" s="171" t="s">
        <v>71</v>
      </c>
      <c r="B19" s="37">
        <f>aantalw2001_ander</f>
        <v>0</v>
      </c>
      <c r="C19" s="166" t="s">
        <v>110</v>
      </c>
      <c r="D19" s="229"/>
      <c r="E19" s="15"/>
    </row>
    <row r="20" spans="1:7">
      <c r="A20" s="171" t="s">
        <v>72</v>
      </c>
      <c r="B20" s="37">
        <f>aantalw2001_propaan</f>
        <v>141</v>
      </c>
      <c r="C20" s="167">
        <f>IF(ISERROR(B20/SUM($B$20,$B$21,$B$22)*100),0,B20/SUM($B$20,$B$21,$B$22)*100)</f>
        <v>23.817567567567568</v>
      </c>
      <c r="D20" s="229"/>
      <c r="E20" s="15"/>
    </row>
    <row r="21" spans="1:7">
      <c r="A21" s="171" t="s">
        <v>73</v>
      </c>
      <c r="B21" s="37">
        <f>aantalw2001_elektriciteit</f>
        <v>366</v>
      </c>
      <c r="C21" s="167">
        <f>IF(ISERROR(B21/SUM($B$20,$B$21,$B$22)*100),0,B21/SUM($B$20,$B$21,$B$22)*100)</f>
        <v>61.824324324324323</v>
      </c>
      <c r="D21" s="229"/>
      <c r="E21" s="15"/>
    </row>
    <row r="22" spans="1:7">
      <c r="A22" s="171" t="s">
        <v>74</v>
      </c>
      <c r="B22" s="37">
        <f>aantalw2001_hout</f>
        <v>85</v>
      </c>
      <c r="C22" s="167">
        <f>IF(ISERROR(B22/SUM($B$20,$B$21,$B$22)*100),0,B22/SUM($B$20,$B$21,$B$22)*100)</f>
        <v>14.358108108108109</v>
      </c>
      <c r="D22" s="229"/>
      <c r="E22" s="15"/>
    </row>
    <row r="23" spans="1:7">
      <c r="A23" s="171" t="s">
        <v>75</v>
      </c>
      <c r="B23" s="37">
        <f>aantalw2001_niet_gespec</f>
        <v>65</v>
      </c>
      <c r="C23" s="166" t="s">
        <v>110</v>
      </c>
      <c r="D23" s="228"/>
      <c r="E23" s="15"/>
    </row>
    <row r="24" spans="1:7">
      <c r="A24" s="171" t="s">
        <v>76</v>
      </c>
      <c r="B24" s="37">
        <f>aantalw2001_steenkool</f>
        <v>106</v>
      </c>
      <c r="C24" s="166" t="s">
        <v>110</v>
      </c>
      <c r="D24" s="229"/>
      <c r="E24" s="15"/>
    </row>
    <row r="25" spans="1:7">
      <c r="A25" s="171" t="s">
        <v>77</v>
      </c>
      <c r="B25" s="37">
        <f>aantalw2001_stookolie</f>
        <v>1077</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5162</v>
      </c>
      <c r="C28" s="36"/>
      <c r="D28" s="228"/>
    </row>
    <row r="29" spans="1:7" s="15" customFormat="1">
      <c r="A29" s="230" t="s">
        <v>819</v>
      </c>
      <c r="B29" s="37">
        <f>SUM(HH_hh_gas_aantal,HH_rest_gas_aantal)</f>
        <v>3879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3879</v>
      </c>
      <c r="C32" s="167">
        <f>IF(ISERROR(B32/SUM($B$32,$B$34,$B$35,$B$36,$B$38,$B$39)*100),0,B32/SUM($B$32,$B$34,$B$35,$B$36,$B$38,$B$39)*100)</f>
        <v>75.481611208406292</v>
      </c>
      <c r="D32" s="233"/>
      <c r="G32" s="15"/>
    </row>
    <row r="33" spans="1:7">
      <c r="A33" s="171" t="s">
        <v>71</v>
      </c>
      <c r="B33" s="34" t="s">
        <v>110</v>
      </c>
      <c r="C33" s="167"/>
      <c r="D33" s="233"/>
      <c r="G33" s="15"/>
    </row>
    <row r="34" spans="1:7">
      <c r="A34" s="171" t="s">
        <v>72</v>
      </c>
      <c r="B34" s="33">
        <f>IF((($B$28-$B$32-$B$39-$B$77-$B$38)*C20/100)&lt;0,0,($B$28-$B$32-$B$39-$B$77-$B$38)*C20/100)</f>
        <v>300.10135135135135</v>
      </c>
      <c r="C34" s="167">
        <f>IF(ISERROR(B34/SUM($B$32,$B$34,$B$35,$B$36,$B$38,$B$39)*100),0,B34/SUM($B$32,$B$34,$B$35,$B$36,$B$38,$B$39)*100)</f>
        <v>5.8396838169167413</v>
      </c>
      <c r="D34" s="233"/>
      <c r="G34" s="15"/>
    </row>
    <row r="35" spans="1:7">
      <c r="A35" s="171" t="s">
        <v>73</v>
      </c>
      <c r="B35" s="33">
        <f>IF((($B$28-$B$32-$B$39-$B$77-$B$38)*C21/100)&lt;0,0,($B$28-$B$32-$B$39-$B$77-$B$38)*C21/100)</f>
        <v>778.98648648648657</v>
      </c>
      <c r="C35" s="167">
        <f>IF(ISERROR(B35/SUM($B$32,$B$34,$B$35,$B$36,$B$38,$B$39)*100),0,B35/SUM($B$32,$B$34,$B$35,$B$36,$B$38,$B$39)*100)</f>
        <v>15.158328205613669</v>
      </c>
      <c r="D35" s="233"/>
      <c r="G35" s="15"/>
    </row>
    <row r="36" spans="1:7">
      <c r="A36" s="171" t="s">
        <v>74</v>
      </c>
      <c r="B36" s="33">
        <f>IF((($B$28-$B$32-$B$39-$B$77-$B$38)*C22/100)&lt;0,0,($B$28-$B$32-$B$39-$B$77-$B$38)*C22/100)</f>
        <v>180.91216216216216</v>
      </c>
      <c r="C36" s="167">
        <f>IF(ISERROR(B36/SUM($B$32,$B$34,$B$35,$B$36,$B$38,$B$39)*100),0,B36/SUM($B$32,$B$34,$B$35,$B$36,$B$38,$B$39)*100)</f>
        <v>3.5203767690632835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3879</v>
      </c>
      <c r="C44" s="34" t="s">
        <v>110</v>
      </c>
      <c r="D44" s="174"/>
    </row>
    <row r="45" spans="1:7">
      <c r="A45" s="171" t="s">
        <v>71</v>
      </c>
      <c r="B45" s="33" t="str">
        <f t="shared" si="0"/>
        <v>-</v>
      </c>
      <c r="C45" s="34" t="s">
        <v>110</v>
      </c>
      <c r="D45" s="174"/>
    </row>
    <row r="46" spans="1:7">
      <c r="A46" s="171" t="s">
        <v>72</v>
      </c>
      <c r="B46" s="33">
        <f t="shared" si="0"/>
        <v>300.10135135135135</v>
      </c>
      <c r="C46" s="34" t="s">
        <v>110</v>
      </c>
      <c r="D46" s="174"/>
    </row>
    <row r="47" spans="1:7">
      <c r="A47" s="171" t="s">
        <v>73</v>
      </c>
      <c r="B47" s="33">
        <f t="shared" si="0"/>
        <v>778.98648648648657</v>
      </c>
      <c r="C47" s="34" t="s">
        <v>110</v>
      </c>
      <c r="D47" s="174"/>
    </row>
    <row r="48" spans="1:7">
      <c r="A48" s="171" t="s">
        <v>74</v>
      </c>
      <c r="B48" s="33">
        <f t="shared" si="0"/>
        <v>180.91216216216216</v>
      </c>
      <c r="C48" s="33">
        <f>B48*10</f>
        <v>1809.1216216216217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264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27087.000415000002</v>
      </c>
      <c r="C5" s="17">
        <f>IF(ISERROR('Eigen informatie GS &amp; warmtenet'!B60),0,'Eigen informatie GS &amp; warmtenet'!B60)</f>
        <v>0</v>
      </c>
      <c r="D5" s="30">
        <f>SUM(D6:D12)</f>
        <v>29595.823493500004</v>
      </c>
      <c r="E5" s="17">
        <f>SUM(E6:E12)</f>
        <v>384.22710771992632</v>
      </c>
      <c r="F5" s="17">
        <f>SUM(F6:F12)</f>
        <v>2893.2373342621104</v>
      </c>
      <c r="G5" s="18"/>
      <c r="H5" s="17"/>
      <c r="I5" s="17"/>
      <c r="J5" s="17">
        <f>SUM(J6:J12)</f>
        <v>4.1529824924167104E-2</v>
      </c>
      <c r="K5" s="17"/>
      <c r="L5" s="17"/>
      <c r="M5" s="17"/>
      <c r="N5" s="17">
        <f>SUM(N6:N12)</f>
        <v>1670.0791696018177</v>
      </c>
      <c r="O5" s="17">
        <f>B38*B39*B40</f>
        <v>34.280825360888088</v>
      </c>
      <c r="P5" s="17">
        <f>B46*B47*B48/1000-B46*B47*B48/1000/B49</f>
        <v>105.07827661299004</v>
      </c>
      <c r="R5" s="32"/>
    </row>
    <row r="6" spans="1:18">
      <c r="A6" s="32" t="s">
        <v>53</v>
      </c>
      <c r="B6" s="37">
        <f>B26</f>
        <v>4090.4980529999998</v>
      </c>
      <c r="C6" s="33"/>
      <c r="D6" s="37">
        <f>IF(ISERROR(TER_kantoor_gas_kWh/1000),0,TER_kantoor_gas_kWh/1000)*0.902</f>
        <v>5466.1007134360007</v>
      </c>
      <c r="E6" s="33">
        <f>$C$26*'E Balans VL '!I12/100/3.6*1000000</f>
        <v>32.914926315490753</v>
      </c>
      <c r="F6" s="33">
        <f>$C$26*('E Balans VL '!L12+'E Balans VL '!N12)/100/3.6*1000000</f>
        <v>500.10641764111261</v>
      </c>
      <c r="G6" s="34"/>
      <c r="H6" s="33"/>
      <c r="I6" s="33"/>
      <c r="J6" s="33">
        <f>$C$26*('E Balans VL '!D12+'E Balans VL '!E12)/100/3.6*1000000</f>
        <v>0</v>
      </c>
      <c r="K6" s="33"/>
      <c r="L6" s="33"/>
      <c r="M6" s="33"/>
      <c r="N6" s="33">
        <f>$C$26*'E Balans VL '!Y12/100/3.6*1000000</f>
        <v>2.19844126826063</v>
      </c>
      <c r="O6" s="33"/>
      <c r="P6" s="33"/>
      <c r="R6" s="32"/>
    </row>
    <row r="7" spans="1:18">
      <c r="A7" s="32" t="s">
        <v>52</v>
      </c>
      <c r="B7" s="37">
        <f t="shared" ref="B7:B12" si="0">B27</f>
        <v>2350.3471070000001</v>
      </c>
      <c r="C7" s="33"/>
      <c r="D7" s="37">
        <f>IF(ISERROR(TER_horeca_gas_kWh/1000),0,TER_horeca_gas_kWh/1000)*0.902</f>
        <v>2626.8536140220003</v>
      </c>
      <c r="E7" s="33">
        <f>$C$27*'E Balans VL '!I9/100/3.6*1000000</f>
        <v>25.236956485696677</v>
      </c>
      <c r="F7" s="33">
        <f>$C$27*('E Balans VL '!L9+'E Balans VL '!N9)/100/3.6*1000000</f>
        <v>282.68976412735134</v>
      </c>
      <c r="G7" s="34"/>
      <c r="H7" s="33"/>
      <c r="I7" s="33"/>
      <c r="J7" s="33">
        <f>$C$27*('E Balans VL '!D9+'E Balans VL '!E9)/100/3.6*1000000</f>
        <v>0</v>
      </c>
      <c r="K7" s="33"/>
      <c r="L7" s="33"/>
      <c r="M7" s="33"/>
      <c r="N7" s="33">
        <f>$C$27*'E Balans VL '!Y9/100/3.6*1000000</f>
        <v>0.35236466734468858</v>
      </c>
      <c r="O7" s="33"/>
      <c r="P7" s="33"/>
      <c r="R7" s="32"/>
    </row>
    <row r="8" spans="1:18">
      <c r="A8" s="6" t="s">
        <v>51</v>
      </c>
      <c r="B8" s="37">
        <f t="shared" si="0"/>
        <v>9310.4229030000006</v>
      </c>
      <c r="C8" s="33"/>
      <c r="D8" s="37">
        <f>IF(ISERROR(TER_handel_gas_kWh/1000),0,TER_handel_gas_kWh/1000)*0.902</f>
        <v>6399.1280927859998</v>
      </c>
      <c r="E8" s="33">
        <f>$C$28*'E Balans VL '!I13/100/3.6*1000000</f>
        <v>249.86324713330987</v>
      </c>
      <c r="F8" s="33">
        <f>$C$28*('E Balans VL '!L13+'E Balans VL '!N13)/100/3.6*1000000</f>
        <v>888.50129957912498</v>
      </c>
      <c r="G8" s="34"/>
      <c r="H8" s="33"/>
      <c r="I8" s="33"/>
      <c r="J8" s="33">
        <f>$C$28*('E Balans VL '!D13+'E Balans VL '!E13)/100/3.6*1000000</f>
        <v>0</v>
      </c>
      <c r="K8" s="33"/>
      <c r="L8" s="33"/>
      <c r="M8" s="33"/>
      <c r="N8" s="33">
        <f>$C$28*'E Balans VL '!Y13/100/3.6*1000000</f>
        <v>3.690757501846595</v>
      </c>
      <c r="O8" s="33"/>
      <c r="P8" s="33"/>
      <c r="R8" s="32"/>
    </row>
    <row r="9" spans="1:18">
      <c r="A9" s="32" t="s">
        <v>50</v>
      </c>
      <c r="B9" s="37">
        <f t="shared" si="0"/>
        <v>5163.7064040000005</v>
      </c>
      <c r="C9" s="33"/>
      <c r="D9" s="37">
        <f>IF(ISERROR(TER_gezond_gas_kWh/1000),0,TER_gezond_gas_kWh/1000)*0.902</f>
        <v>5581.2100567960006</v>
      </c>
      <c r="E9" s="33">
        <f>$C$29*'E Balans VL '!I10/100/3.6*1000000</f>
        <v>9.6784671769128678</v>
      </c>
      <c r="F9" s="33">
        <f>$C$29*('E Balans VL '!L10+'E Balans VL '!N10)/100/3.6*1000000</f>
        <v>424.50378159935497</v>
      </c>
      <c r="G9" s="34"/>
      <c r="H9" s="33"/>
      <c r="I9" s="33"/>
      <c r="J9" s="33">
        <f>$C$29*('E Balans VL '!D10+'E Balans VL '!E10)/100/3.6*1000000</f>
        <v>0</v>
      </c>
      <c r="K9" s="33"/>
      <c r="L9" s="33"/>
      <c r="M9" s="33"/>
      <c r="N9" s="33">
        <f>$C$29*'E Balans VL '!Y10/100/3.6*1000000</f>
        <v>40.17748850167704</v>
      </c>
      <c r="O9" s="33"/>
      <c r="P9" s="33"/>
      <c r="R9" s="32"/>
    </row>
    <row r="10" spans="1:18">
      <c r="A10" s="32" t="s">
        <v>49</v>
      </c>
      <c r="B10" s="37">
        <f t="shared" si="0"/>
        <v>2078.1685349999998</v>
      </c>
      <c r="C10" s="33"/>
      <c r="D10" s="37">
        <f>IF(ISERROR(TER_ander_gas_kWh/1000),0,TER_ander_gas_kWh/1000)*0.902</f>
        <v>3911.8952815580005</v>
      </c>
      <c r="E10" s="33">
        <f>$C$30*'E Balans VL '!I14/100/3.6*1000000</f>
        <v>3.2035178544588954</v>
      </c>
      <c r="F10" s="33">
        <f>$C$30*('E Balans VL '!L14+'E Balans VL '!N14)/100/3.6*1000000</f>
        <v>322.63623876871594</v>
      </c>
      <c r="G10" s="34"/>
      <c r="H10" s="33"/>
      <c r="I10" s="33"/>
      <c r="J10" s="33">
        <f>$C$30*('E Balans VL '!D14+'E Balans VL '!E14)/100/3.6*1000000</f>
        <v>3.5279102569700238E-2</v>
      </c>
      <c r="K10" s="33"/>
      <c r="L10" s="33"/>
      <c r="M10" s="33"/>
      <c r="N10" s="33">
        <f>$C$30*'E Balans VL '!Y14/100/3.6*1000000</f>
        <v>1374.8496979544132</v>
      </c>
      <c r="O10" s="33"/>
      <c r="P10" s="33"/>
      <c r="R10" s="32"/>
    </row>
    <row r="11" spans="1:18">
      <c r="A11" s="32" t="s">
        <v>54</v>
      </c>
      <c r="B11" s="37">
        <f t="shared" si="0"/>
        <v>832.23731299999997</v>
      </c>
      <c r="C11" s="33"/>
      <c r="D11" s="37">
        <f>IF(ISERROR(TER_onderwijs_gas_kWh/1000),0,TER_onderwijs_gas_kWh/1000)*0.902</f>
        <v>1949.2515044199999</v>
      </c>
      <c r="E11" s="33">
        <f>$C$31*'E Balans VL '!I11/100/3.6*1000000</f>
        <v>21.227735709313727</v>
      </c>
      <c r="F11" s="33">
        <f>$C$31*('E Balans VL '!L11+'E Balans VL '!N11)/100/3.6*1000000</f>
        <v>100.08437020414306</v>
      </c>
      <c r="G11" s="34"/>
      <c r="H11" s="33"/>
      <c r="I11" s="33"/>
      <c r="J11" s="33">
        <f>$C$31*('E Balans VL '!D11+'E Balans VL '!E11)/100/3.6*1000000</f>
        <v>0</v>
      </c>
      <c r="K11" s="33"/>
      <c r="L11" s="33"/>
      <c r="M11" s="33"/>
      <c r="N11" s="33">
        <f>$C$31*'E Balans VL '!Y11/100/3.6*1000000</f>
        <v>1.8508754773465856</v>
      </c>
      <c r="O11" s="33"/>
      <c r="P11" s="33"/>
      <c r="R11" s="32"/>
    </row>
    <row r="12" spans="1:18">
      <c r="A12" s="32" t="s">
        <v>259</v>
      </c>
      <c r="B12" s="37">
        <f t="shared" si="0"/>
        <v>3261.6201000000001</v>
      </c>
      <c r="C12" s="33"/>
      <c r="D12" s="37">
        <f>IF(ISERROR(TER_rest_gas_kWh/1000),0,TER_rest_gas_kWh/1000)*0.902</f>
        <v>3661.384230482</v>
      </c>
      <c r="E12" s="33">
        <f>$C$32*'E Balans VL '!I8/100/3.6*1000000</f>
        <v>42.102257044743567</v>
      </c>
      <c r="F12" s="33">
        <f>$C$32*('E Balans VL '!L8+'E Balans VL '!N8)/100/3.6*1000000</f>
        <v>374.71546234230743</v>
      </c>
      <c r="G12" s="34"/>
      <c r="H12" s="33"/>
      <c r="I12" s="33"/>
      <c r="J12" s="33">
        <f>$C$32*('E Balans VL '!D8+'E Balans VL '!E8)/100/3.6*1000000</f>
        <v>6.2507223544668658E-3</v>
      </c>
      <c r="K12" s="33"/>
      <c r="L12" s="33"/>
      <c r="M12" s="33"/>
      <c r="N12" s="33">
        <f>$C$32*'E Balans VL '!Y8/100/3.6*1000000</f>
        <v>246.95954423092914</v>
      </c>
      <c r="O12" s="33"/>
      <c r="P12" s="33"/>
      <c r="R12" s="32"/>
    </row>
    <row r="13" spans="1:18">
      <c r="A13" s="16" t="s">
        <v>478</v>
      </c>
      <c r="B13" s="247">
        <f ca="1">'lokale energieproductie'!N39+'lokale energieproductie'!N32</f>
        <v>1309.5</v>
      </c>
      <c r="C13" s="247">
        <f ca="1">'lokale energieproductie'!O39+'lokale energieproductie'!O32</f>
        <v>1870.7142857142858</v>
      </c>
      <c r="D13" s="308">
        <f ca="1">('lokale energieproductie'!P32+'lokale energieproductie'!P39)*(-1)</f>
        <v>-3741.4285714285716</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28396.500415000002</v>
      </c>
      <c r="C16" s="21">
        <f t="shared" ca="1" si="1"/>
        <v>1870.7142857142858</v>
      </c>
      <c r="D16" s="21">
        <f t="shared" ca="1" si="1"/>
        <v>25854.394922071431</v>
      </c>
      <c r="E16" s="21">
        <f t="shared" si="1"/>
        <v>384.22710771992632</v>
      </c>
      <c r="F16" s="21">
        <f t="shared" ca="1" si="1"/>
        <v>2893.2373342621104</v>
      </c>
      <c r="G16" s="21">
        <f t="shared" si="1"/>
        <v>0</v>
      </c>
      <c r="H16" s="21">
        <f t="shared" si="1"/>
        <v>0</v>
      </c>
      <c r="I16" s="21">
        <f t="shared" si="1"/>
        <v>0</v>
      </c>
      <c r="J16" s="21">
        <f t="shared" si="1"/>
        <v>4.1529824924167104E-2</v>
      </c>
      <c r="K16" s="21">
        <f t="shared" si="1"/>
        <v>0</v>
      </c>
      <c r="L16" s="21">
        <f t="shared" ca="1" si="1"/>
        <v>0</v>
      </c>
      <c r="M16" s="21">
        <f t="shared" si="1"/>
        <v>0</v>
      </c>
      <c r="N16" s="21">
        <f t="shared" ca="1" si="1"/>
        <v>1670.0791696018177</v>
      </c>
      <c r="O16" s="21">
        <f>O5</f>
        <v>34.280825360888088</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0.19799576720776998</v>
      </c>
      <c r="C18" s="25">
        <f ca="1">'EF ele_warmte'!B22</f>
        <v>0.22998102466793169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5622.3868856836843</v>
      </c>
      <c r="C20" s="23">
        <f t="shared" ref="C20:P20" ca="1" si="2">C16*C18</f>
        <v>430.22878828950934</v>
      </c>
      <c r="D20" s="23">
        <f t="shared" ca="1" si="2"/>
        <v>5222.5877742584298</v>
      </c>
      <c r="E20" s="23">
        <f t="shared" si="2"/>
        <v>87.219553452423284</v>
      </c>
      <c r="F20" s="23">
        <f t="shared" ca="1" si="2"/>
        <v>772.49436824798352</v>
      </c>
      <c r="G20" s="23">
        <f t="shared" si="2"/>
        <v>0</v>
      </c>
      <c r="H20" s="23">
        <f t="shared" si="2"/>
        <v>0</v>
      </c>
      <c r="I20" s="23">
        <f t="shared" si="2"/>
        <v>0</v>
      </c>
      <c r="J20" s="23">
        <f t="shared" si="2"/>
        <v>1.4701558023155153E-2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4090.4980529999998</v>
      </c>
      <c r="C26" s="39">
        <f>IF(ISERROR(B26*3.6/1000000/'E Balans VL '!Z12*100),0,B26*3.6/1000000/'E Balans VL '!Z12*100)</f>
        <v>8.6776173818427255E-2</v>
      </c>
      <c r="D26" s="237" t="s">
        <v>708</v>
      </c>
      <c r="F26" s="6"/>
    </row>
    <row r="27" spans="1:18">
      <c r="A27" s="231" t="s">
        <v>52</v>
      </c>
      <c r="B27" s="33">
        <f>IF(ISERROR(TER_horeca_ele_kWh/1000),0,TER_horeca_ele_kWh/1000)</f>
        <v>2350.3471070000001</v>
      </c>
      <c r="C27" s="39">
        <f>IF(ISERROR(B27*3.6/1000000/'E Balans VL '!Z9*100),0,B27*3.6/1000000/'E Balans VL '!Z9*100)</f>
        <v>0.17700195772235999</v>
      </c>
      <c r="D27" s="237" t="s">
        <v>708</v>
      </c>
      <c r="F27" s="6"/>
    </row>
    <row r="28" spans="1:18">
      <c r="A28" s="171" t="s">
        <v>51</v>
      </c>
      <c r="B28" s="33">
        <f>IF(ISERROR(TER_handel_ele_kWh/1000),0,TER_handel_ele_kWh/1000)</f>
        <v>9310.4229030000006</v>
      </c>
      <c r="C28" s="39">
        <f>IF(ISERROR(B28*3.6/1000000/'E Balans VL '!Z13*100),0,B28*3.6/1000000/'E Balans VL '!Z13*100)</f>
        <v>0.27024858747185204</v>
      </c>
      <c r="D28" s="237" t="s">
        <v>708</v>
      </c>
      <c r="F28" s="6"/>
    </row>
    <row r="29" spans="1:18">
      <c r="A29" s="231" t="s">
        <v>50</v>
      </c>
      <c r="B29" s="33">
        <f>IF(ISERROR(TER_gezond_ele_kWh/1000),0,TER_gezond_ele_kWh/1000)</f>
        <v>5163.7064040000005</v>
      </c>
      <c r="C29" s="39">
        <f>IF(ISERROR(B29*3.6/1000000/'E Balans VL '!Z10*100),0,B29*3.6/1000000/'E Balans VL '!Z10*100)</f>
        <v>0.52076594881409555</v>
      </c>
      <c r="D29" s="237" t="s">
        <v>708</v>
      </c>
      <c r="F29" s="6"/>
    </row>
    <row r="30" spans="1:18">
      <c r="A30" s="231" t="s">
        <v>49</v>
      </c>
      <c r="B30" s="33">
        <f>IF(ISERROR(TER_ander_ele_kWh/1000),0,TER_ander_ele_kWh/1000)</f>
        <v>2078.1685349999998</v>
      </c>
      <c r="C30" s="39">
        <f>IF(ISERROR(B30*3.6/1000000/'E Balans VL '!Z14*100),0,B30*3.6/1000000/'E Balans VL '!Z14*100)</f>
        <v>0.15079947863144386</v>
      </c>
      <c r="D30" s="237" t="s">
        <v>708</v>
      </c>
      <c r="F30" s="6"/>
    </row>
    <row r="31" spans="1:18">
      <c r="A31" s="231" t="s">
        <v>54</v>
      </c>
      <c r="B31" s="33">
        <f>IF(ISERROR(TER_onderwijs_ele_kWh/1000),0,TER_onderwijs_ele_kWh/1000)</f>
        <v>832.23731299999997</v>
      </c>
      <c r="C31" s="39">
        <f>IF(ISERROR(B31*3.6/1000000/'E Balans VL '!Z11*100),0,B31*3.6/1000000/'E Balans VL '!Z11*100)</f>
        <v>0.23722152448643974</v>
      </c>
      <c r="D31" s="237" t="s">
        <v>708</v>
      </c>
    </row>
    <row r="32" spans="1:18">
      <c r="A32" s="231" t="s">
        <v>259</v>
      </c>
      <c r="B32" s="33">
        <f>IF(ISERROR(TER_rest_ele_kWh/1000),0,TER_rest_ele_kWh/1000)</f>
        <v>3261.6201000000001</v>
      </c>
      <c r="C32" s="39">
        <f>IF(ISERROR(B32*3.6/1000000/'E Balans VL '!Z8*100),0,B32*3.6/1000000/'E Balans VL '!Z8*100)</f>
        <v>2.6718527498289586E-2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7</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55224.419147999994</v>
      </c>
      <c r="C5" s="17">
        <f>IF(ISERROR('Eigen informatie GS &amp; warmtenet'!B61),0,'Eigen informatie GS &amp; warmtenet'!B61)</f>
        <v>0</v>
      </c>
      <c r="D5" s="30">
        <f>SUM(D6:D15)</f>
        <v>161550.74222386</v>
      </c>
      <c r="E5" s="17">
        <f>SUM(E6:E15)</f>
        <v>3405.1481593174867</v>
      </c>
      <c r="F5" s="17">
        <f>SUM(F6:F15)</f>
        <v>12211.740805259773</v>
      </c>
      <c r="G5" s="18"/>
      <c r="H5" s="17"/>
      <c r="I5" s="17"/>
      <c r="J5" s="17">
        <f>SUM(J6:J15)</f>
        <v>228.90852771128669</v>
      </c>
      <c r="K5" s="17"/>
      <c r="L5" s="17"/>
      <c r="M5" s="17"/>
      <c r="N5" s="17">
        <f>SUM(N6:N15)</f>
        <v>2830.057229367048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720.07117299999993</v>
      </c>
      <c r="C8" s="33"/>
      <c r="D8" s="37">
        <f>IF( ISERROR(IND_metaal_Gas_kWH/1000),0,IND_metaal_Gas_kWH/1000)*0.902</f>
        <v>219.687183672</v>
      </c>
      <c r="E8" s="33">
        <f>C30*'E Balans VL '!I18/100/3.6*1000000</f>
        <v>5.1948081200119613</v>
      </c>
      <c r="F8" s="33">
        <f>C30*'E Balans VL '!L18/100/3.6*1000000+C30*'E Balans VL '!N18/100/3.6*1000000</f>
        <v>68.105455783439311</v>
      </c>
      <c r="G8" s="34"/>
      <c r="H8" s="33"/>
      <c r="I8" s="33"/>
      <c r="J8" s="40">
        <f>C30*'E Balans VL '!D18/100/3.6*1000000+C30*'E Balans VL '!E18/100/3.6*1000000</f>
        <v>0.72425177027964449</v>
      </c>
      <c r="K8" s="33"/>
      <c r="L8" s="33"/>
      <c r="M8" s="33"/>
      <c r="N8" s="33">
        <f>C30*'E Balans VL '!Y18/100/3.6*1000000</f>
        <v>9.1036047469579966</v>
      </c>
      <c r="O8" s="33"/>
      <c r="P8" s="33"/>
      <c r="R8" s="32"/>
    </row>
    <row r="9" spans="1:18">
      <c r="A9" s="6" t="s">
        <v>32</v>
      </c>
      <c r="B9" s="37">
        <f t="shared" si="0"/>
        <v>7916.9597249999997</v>
      </c>
      <c r="C9" s="33"/>
      <c r="D9" s="37">
        <f>IF( ISERROR(IND_andere_gas_kWh/1000),0,IND_andere_gas_kWh/1000)*0.902</f>
        <v>1598.1810392680002</v>
      </c>
      <c r="E9" s="33">
        <f>C31*'E Balans VL '!I19/100/3.6*1000000</f>
        <v>2193.8954028117778</v>
      </c>
      <c r="F9" s="33">
        <f>C31*'E Balans VL '!L19/100/3.6*1000000+C31*'E Balans VL '!N19/100/3.6*1000000</f>
        <v>6561.5933287618218</v>
      </c>
      <c r="G9" s="34"/>
      <c r="H9" s="33"/>
      <c r="I9" s="33"/>
      <c r="J9" s="40">
        <f>C31*'E Balans VL '!D19/100/3.6*1000000+C31*'E Balans VL '!E19/100/3.6*1000000</f>
        <v>0</v>
      </c>
      <c r="K9" s="33"/>
      <c r="L9" s="33"/>
      <c r="M9" s="33"/>
      <c r="N9" s="33">
        <f>C31*'E Balans VL '!Y19/100/3.6*1000000</f>
        <v>574.67444113438501</v>
      </c>
      <c r="O9" s="33"/>
      <c r="P9" s="33"/>
      <c r="R9" s="32"/>
    </row>
    <row r="10" spans="1:18">
      <c r="A10" s="6" t="s">
        <v>40</v>
      </c>
      <c r="B10" s="37">
        <f t="shared" si="0"/>
        <v>21654.640469999998</v>
      </c>
      <c r="C10" s="33"/>
      <c r="D10" s="37">
        <f>IF( ISERROR(IND_voed_gas_kWh/1000),0,IND_voed_gas_kWh/1000)*0.902</f>
        <v>7515.963220919999</v>
      </c>
      <c r="E10" s="33">
        <f>C32*'E Balans VL '!I20/100/3.6*1000000</f>
        <v>38.336048528888448</v>
      </c>
      <c r="F10" s="33">
        <f>C32*'E Balans VL '!L20/100/3.6*1000000+C32*'E Balans VL '!N20/100/3.6*1000000</f>
        <v>1169.5425087369051</v>
      </c>
      <c r="G10" s="34"/>
      <c r="H10" s="33"/>
      <c r="I10" s="33"/>
      <c r="J10" s="40">
        <f>C32*'E Balans VL '!D20/100/3.6*1000000+C32*'E Balans VL '!E20/100/3.6*1000000</f>
        <v>0</v>
      </c>
      <c r="K10" s="33"/>
      <c r="L10" s="33"/>
      <c r="M10" s="33"/>
      <c r="N10" s="33">
        <f>C32*'E Balans VL '!Y20/100/3.6*1000000</f>
        <v>1258.2999898570329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81.991090999999997</v>
      </c>
      <c r="C12" s="33"/>
      <c r="D12" s="37">
        <f>IF( ISERROR(IND_min_gas_kWh/1000),0,IND_min_gas_kWh/1000)*0.902</f>
        <v>0</v>
      </c>
      <c r="E12" s="33">
        <f>C34*'E Balans VL '!I22/100/3.6*1000000</f>
        <v>3.6105951826318994</v>
      </c>
      <c r="F12" s="33">
        <f>C34*'E Balans VL '!L22/100/3.6*1000000+C34*'E Balans VL '!N22/100/3.6*1000000</f>
        <v>32.061827837090732</v>
      </c>
      <c r="G12" s="34"/>
      <c r="H12" s="33"/>
      <c r="I12" s="33"/>
      <c r="J12" s="40">
        <f>C34*'E Balans VL '!D22/100/3.6*1000000+C34*'E Balans VL '!E22/100/3.6*1000000</f>
        <v>2.4895408859810696E-2</v>
      </c>
      <c r="K12" s="33"/>
      <c r="L12" s="33"/>
      <c r="M12" s="33"/>
      <c r="N12" s="33">
        <f>C34*'E Balans VL '!Y22/100/3.6*1000000</f>
        <v>20.282111166828667</v>
      </c>
      <c r="O12" s="33"/>
      <c r="P12" s="33"/>
      <c r="R12" s="32"/>
    </row>
    <row r="13" spans="1:18">
      <c r="A13" s="6" t="s">
        <v>38</v>
      </c>
      <c r="B13" s="37">
        <f t="shared" si="0"/>
        <v>226.033029</v>
      </c>
      <c r="C13" s="33"/>
      <c r="D13" s="37">
        <f>IF( ISERROR(IND_papier_gas_kWh/1000),0,IND_papier_gas_kWh/1000)*0.902</f>
        <v>0</v>
      </c>
      <c r="E13" s="33">
        <f>C35*'E Balans VL '!I23/100/3.6*1000000</f>
        <v>0.33257220092029888</v>
      </c>
      <c r="F13" s="33">
        <f>C35*'E Balans VL '!L23/100/3.6*1000000+C35*'E Balans VL '!N23/100/3.6*1000000</f>
        <v>2.4202049268542267</v>
      </c>
      <c r="G13" s="34"/>
      <c r="H13" s="33"/>
      <c r="I13" s="33"/>
      <c r="J13" s="40">
        <f>C35*'E Balans VL '!D23/100/3.6*1000000+C35*'E Balans VL '!E23/100/3.6*1000000</f>
        <v>24.729280899498018</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24624.72366</v>
      </c>
      <c r="C15" s="33"/>
      <c r="D15" s="37">
        <f>IF( ISERROR(IND_rest_gas_kWh/1000),0,IND_rest_gas_kWh/1000)*0.902</f>
        <v>152216.91078000001</v>
      </c>
      <c r="E15" s="33">
        <f>C37*'E Balans VL '!I15/100/3.6*1000000</f>
        <v>1163.7787324732558</v>
      </c>
      <c r="F15" s="33">
        <f>C37*'E Balans VL '!L15/100/3.6*1000000+C37*'E Balans VL '!N15/100/3.6*1000000</f>
        <v>4378.0174792136613</v>
      </c>
      <c r="G15" s="34"/>
      <c r="H15" s="33"/>
      <c r="I15" s="33"/>
      <c r="J15" s="40">
        <f>C37*'E Balans VL '!D15/100/3.6*1000000+C37*'E Balans VL '!E15/100/3.6*1000000</f>
        <v>203.43009963264922</v>
      </c>
      <c r="K15" s="33"/>
      <c r="L15" s="33"/>
      <c r="M15" s="33"/>
      <c r="N15" s="33">
        <f>C37*'E Balans VL '!Y15/100/3.6*1000000</f>
        <v>967.69708246184337</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55224.419147999994</v>
      </c>
      <c r="C18" s="21">
        <f>C5+C16</f>
        <v>0</v>
      </c>
      <c r="D18" s="21">
        <f>MAX((D5+D16),0)</f>
        <v>161550.74222386</v>
      </c>
      <c r="E18" s="21">
        <f>MAX((E5+E16),0)</f>
        <v>3405.1481593174867</v>
      </c>
      <c r="F18" s="21">
        <f>MAX((F5+F16),0)</f>
        <v>12211.740805259773</v>
      </c>
      <c r="G18" s="21"/>
      <c r="H18" s="21"/>
      <c r="I18" s="21"/>
      <c r="J18" s="21">
        <f>MAX((J5+J16),0)</f>
        <v>228.90852771128669</v>
      </c>
      <c r="K18" s="21"/>
      <c r="L18" s="21">
        <f>MAX((L5+L16),0)</f>
        <v>0</v>
      </c>
      <c r="M18" s="21"/>
      <c r="N18" s="21">
        <f>MAX((N5+N16),0)</f>
        <v>2830.057229367048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0.19799576720776998</v>
      </c>
      <c r="C20" s="25">
        <f ca="1">'EF ele_warmte'!B22</f>
        <v>0.22998102466793169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10934.201237811722</v>
      </c>
      <c r="C22" s="23">
        <f ca="1">C18*C20</f>
        <v>0</v>
      </c>
      <c r="D22" s="23">
        <f>D18*D20</f>
        <v>32633.249929219721</v>
      </c>
      <c r="E22" s="23">
        <f>E18*E20</f>
        <v>772.96863216506949</v>
      </c>
      <c r="F22" s="23">
        <f>F18*F20</f>
        <v>3260.5347950043597</v>
      </c>
      <c r="G22" s="23"/>
      <c r="H22" s="23"/>
      <c r="I22" s="23"/>
      <c r="J22" s="23">
        <f>J18*J20</f>
        <v>81.033618809795485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720.07117299999993</v>
      </c>
      <c r="C30" s="39">
        <f>IF(ISERROR(B30*3.6/1000000/'E Balans VL '!Z18*100),0,B30*3.6/1000000/'E Balans VL '!Z18*100)</f>
        <v>4.1568585255914552E-2</v>
      </c>
      <c r="D30" s="237" t="s">
        <v>708</v>
      </c>
    </row>
    <row r="31" spans="1:18">
      <c r="A31" s="6" t="s">
        <v>32</v>
      </c>
      <c r="B31" s="37">
        <f>IF( ISERROR(IND_ander_ele_kWh/1000),0,IND_ander_ele_kWh/1000)</f>
        <v>7916.9597249999997</v>
      </c>
      <c r="C31" s="39">
        <f>IF(ISERROR(B31*3.6/1000000/'E Balans VL '!Z19*100),0,B31*3.6/1000000/'E Balans VL '!Z19*100)</f>
        <v>0.39819741233620254</v>
      </c>
      <c r="D31" s="237" t="s">
        <v>708</v>
      </c>
    </row>
    <row r="32" spans="1:18">
      <c r="A32" s="171" t="s">
        <v>40</v>
      </c>
      <c r="B32" s="37">
        <f>IF( ISERROR(IND_voed_ele_kWh/1000),0,IND_voed_ele_kWh/1000)</f>
        <v>21654.640469999998</v>
      </c>
      <c r="C32" s="39">
        <f>IF(ISERROR(B32*3.6/1000000/'E Balans VL '!Z20*100),0,B32*3.6/1000000/'E Balans VL '!Z20*100)</f>
        <v>0.72122811827831035</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81.991090999999997</v>
      </c>
      <c r="C34" s="39">
        <f>IF(ISERROR(B34*3.6/1000000/'E Balans VL '!Z22*100),0,B34*3.6/1000000/'E Balans VL '!Z22*100)</f>
        <v>1.5294107831964807E-2</v>
      </c>
      <c r="D34" s="237" t="s">
        <v>708</v>
      </c>
    </row>
    <row r="35" spans="1:5">
      <c r="A35" s="171" t="s">
        <v>38</v>
      </c>
      <c r="B35" s="37">
        <f>IF( ISERROR(IND_papier_ele_kWh/1000),0,IND_papier_ele_kWh/1000)</f>
        <v>226.033029</v>
      </c>
      <c r="C35" s="39">
        <f>IF(ISERROR(B35*3.6/1000000/'E Balans VL '!Z22*100),0,B35*3.6/1000000/'E Balans VL '!Z22*100)</f>
        <v>4.2162794481069035E-2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24624.72366</v>
      </c>
      <c r="C37" s="39">
        <f>IF(ISERROR(B37*3.6/1000000/'E Balans VL '!Z15*100),0,B37*3.6/1000000/'E Balans VL '!Z15*100)</f>
        <v>0.19214018408544237</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4642.6050910000004</v>
      </c>
      <c r="C5" s="17">
        <f>'Eigen informatie GS &amp; warmtenet'!B62</f>
        <v>0</v>
      </c>
      <c r="D5" s="30">
        <f>IF(ISERROR(SUM(LB_lb_gas_kWh,LB_rest_gas_kWh)/1000),0,SUM(LB_lb_gas_kWh,LB_rest_gas_kWh)/1000)*0.902</f>
        <v>217.17502257000001</v>
      </c>
      <c r="E5" s="17">
        <f>B17*'E Balans VL '!I25/3.6*1000000/100</f>
        <v>144.89417394782012</v>
      </c>
      <c r="F5" s="17">
        <f>B17*('E Balans VL '!L25/3.6*1000000+'E Balans VL '!N25/3.6*1000000)/100</f>
        <v>16407.48068551239</v>
      </c>
      <c r="G5" s="18"/>
      <c r="H5" s="17"/>
      <c r="I5" s="17"/>
      <c r="J5" s="17">
        <f>('E Balans VL '!D25+'E Balans VL '!E25)/3.6*1000000*landbouw!B17/100</f>
        <v>1279.0698987546409</v>
      </c>
      <c r="K5" s="17"/>
      <c r="L5" s="17">
        <f>L6*(-1)</f>
        <v>0</v>
      </c>
      <c r="M5" s="17"/>
      <c r="N5" s="17">
        <f>N6*(-1)</f>
        <v>124.71428571428569</v>
      </c>
      <c r="O5" s="17"/>
      <c r="P5" s="17"/>
      <c r="R5" s="32"/>
    </row>
    <row r="6" spans="1:18">
      <c r="A6" s="16" t="s">
        <v>478</v>
      </c>
      <c r="B6" s="17" t="s">
        <v>210</v>
      </c>
      <c r="C6" s="17">
        <f>'lokale energieproductie'!O40+'lokale energieproductie'!O33</f>
        <v>62.357142857142847</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4642.6050910000004</v>
      </c>
      <c r="C8" s="21">
        <f>C5+C6</f>
        <v>62.357142857142847</v>
      </c>
      <c r="D8" s="21">
        <f>MAX((D5+D6),0)</f>
        <v>217.17502257000001</v>
      </c>
      <c r="E8" s="21">
        <f>MAX((E5+E6),0)</f>
        <v>144.89417394782012</v>
      </c>
      <c r="F8" s="21">
        <f>MAX((F5+F6),0)</f>
        <v>16407.48068551239</v>
      </c>
      <c r="G8" s="21"/>
      <c r="H8" s="21"/>
      <c r="I8" s="21"/>
      <c r="J8" s="21">
        <f>MAX((J5+J6),0)</f>
        <v>1279.0698987546409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0.19799576720776998</v>
      </c>
      <c r="C10" s="31">
        <f ca="1">'EF ele_warmte'!B22</f>
        <v>0.22998102466793169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919.21615683524385</v>
      </c>
      <c r="C12" s="23">
        <f ca="1">C8*C10</f>
        <v>14.340959609650309</v>
      </c>
      <c r="D12" s="23">
        <f>D8*D10</f>
        <v>43.869354559140007</v>
      </c>
      <c r="E12" s="23">
        <f>E8*E10</f>
        <v>32.890977486155165</v>
      </c>
      <c r="F12" s="23">
        <f>F8*F10</f>
        <v>4380.7973430318079</v>
      </c>
      <c r="G12" s="23"/>
      <c r="H12" s="23"/>
      <c r="I12" s="23"/>
      <c r="J12" s="23">
        <f>J8*J10</f>
        <v>452.79074415914289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0.69015652812292383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997.35771147193634</v>
      </c>
      <c r="C26" s="247">
        <f>B26*'GWP N2O_CH4'!B5</f>
        <v>20944.511940910663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499.03571302601853</v>
      </c>
      <c r="C27" s="247">
        <f>B27*'GWP N2O_CH4'!B5</f>
        <v>10479.74997354639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14.778534535114032</v>
      </c>
      <c r="C28" s="247">
        <f>B28*'GWP N2O_CH4'!B4</f>
        <v>4581.3457058853501</v>
      </c>
      <c r="D28" s="50"/>
    </row>
    <row r="29" spans="1:4">
      <c r="A29" s="41" t="s">
        <v>276</v>
      </c>
      <c r="B29" s="247">
        <f>B34*'ha_N2O bodem landbouw'!B4</f>
        <v>54.488106813589766</v>
      </c>
      <c r="C29" s="247">
        <f>B29*'GWP N2O_CH4'!B4</f>
        <v>16891.313112212829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1.1948260787915478E-2</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2.5174440386206243E-4</v>
      </c>
      <c r="C5" s="437" t="s">
        <v>210</v>
      </c>
      <c r="D5" s="422">
        <f>SUM(D6:D11)</f>
        <v>8.7254760150898693E-4</v>
      </c>
      <c r="E5" s="422">
        <f>SUM(E6:E11)</f>
        <v>8.1810889277288373E-4</v>
      </c>
      <c r="F5" s="435" t="s">
        <v>210</v>
      </c>
      <c r="G5" s="422">
        <f>SUM(G6:G11)</f>
        <v>0.58575465037831931</v>
      </c>
      <c r="H5" s="422">
        <f>SUM(H6:H11)</f>
        <v>8.3025411895038634E-2</v>
      </c>
      <c r="I5" s="437" t="s">
        <v>210</v>
      </c>
      <c r="J5" s="437" t="s">
        <v>210</v>
      </c>
      <c r="K5" s="437" t="s">
        <v>210</v>
      </c>
      <c r="L5" s="437" t="s">
        <v>210</v>
      </c>
      <c r="M5" s="422">
        <f>SUM(M6:M11)</f>
        <v>3.9261010770474426E-2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1.094500968927334E-4</v>
      </c>
      <c r="C6" s="423"/>
      <c r="D6" s="890">
        <f>vkm_GW_PW*SUMIFS(TableVerdeelsleutelVkm[CNG],TableVerdeelsleutelVkm[Voertuigtype],"Lichte voertuigen")*SUMIFS(TableECFTransport[EnergieConsumptieFactor (PJ per km)],TableECFTransport[Index],CONCATENATE($A6,"_CNG_CNG"))</f>
        <v>3.5258280530587558E-4</v>
      </c>
      <c r="E6" s="890">
        <f>vkm_GW_PW*SUMIFS(TableVerdeelsleutelVkm[LPG],TableVerdeelsleutelVkm[Voertuigtype],"Lichte voertuigen")*SUMIFS(TableECFTransport[EnergieConsumptieFactor (PJ per km)],TableECFTransport[Index],CONCATENATE($A6,"_LPG_LPG"))</f>
        <v>3.015205672661228E-4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9.7406050206008968E-2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3.3029794232373601E-2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7.8015873692286845E-3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7.0877608872804101E-2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1.0134861667952281E-6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4.0855559291956044E-3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2.7140297461561399E-5</v>
      </c>
      <c r="C8" s="423"/>
      <c r="D8" s="425">
        <f>vkm_NGW_PW*SUMIFS(TableVerdeelsleutelVkm[CNG],TableVerdeelsleutelVkm[Voertuigtype],"Lichte voertuigen")*SUMIFS(TableECFTransport[EnergieConsumptieFactor (PJ per km)],TableECFTransport[Index],CONCATENATE($A8,"_CNG_CNG"))</f>
        <v>1.4813081681338378E-4</v>
      </c>
      <c r="E8" s="425">
        <f>vkm_NGW_PW*SUMIFS(TableVerdeelsleutelVkm[LPG],TableVerdeelsleutelVkm[Voertuigtype],"Lichte voertuigen")*SUMIFS(TableECFTransport[EnergieConsumptieFactor (PJ per km)],TableECFTransport[Index],CONCATENATE($A8,"_LPG_LPG"))</f>
        <v>1.2036500985365854E-4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3.6334599005617592E-2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1.3644898685116681E-2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2.9978319344599455E-3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2.8980671686028803E-2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5.254154325768872E-7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1.6705230032584488E-3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1.1515400950776762E-4</v>
      </c>
      <c r="C10" s="423"/>
      <c r="D10" s="425">
        <f>vkm_SW_PW*SUMIFS(TableVerdeelsleutelVkm[CNG],TableVerdeelsleutelVkm[Voertuigtype],"Lichte voertuigen")*SUMIFS(TableECFTransport[EnergieConsumptieFactor (PJ per km)],TableECFTransport[Index],CONCATENATE($A10,"_CNG_CNG"))</f>
        <v>3.7183397938972759E-4</v>
      </c>
      <c r="E10" s="425">
        <f>vkm_SW_PW*SUMIFS(TableVerdeelsleutelVkm[LPG],TableVerdeelsleutelVkm[Voertuigtype],"Lichte voertuigen")*SUMIFS(TableECFTransport[EnergieConsumptieFactor (PJ per km)],TableECFTransport[Index],CONCATENATE($A10,"_LPG_LPG"))</f>
        <v>3.9622331565310242E-4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0.1140469237702943</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3.6345542101496014E-2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8.9803330774058578E-3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0.23810879683756561</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3.6379744529568684E-6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1.3725179456925883E-2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69.929001072795117</v>
      </c>
      <c r="C14" s="21"/>
      <c r="D14" s="21">
        <f t="shared" ref="D14:M14" si="0">((D5)*10^9/3600)+D12</f>
        <v>242.37433375249637</v>
      </c>
      <c r="E14" s="21">
        <f t="shared" si="0"/>
        <v>227.25247021468994</v>
      </c>
      <c r="F14" s="21"/>
      <c r="G14" s="21">
        <f t="shared" si="0"/>
        <v>162709.62510508869</v>
      </c>
      <c r="H14" s="21">
        <f t="shared" si="0"/>
        <v>23062.61441528851</v>
      </c>
      <c r="I14" s="21"/>
      <c r="J14" s="21"/>
      <c r="K14" s="21"/>
      <c r="L14" s="21"/>
      <c r="M14" s="21">
        <f t="shared" si="0"/>
        <v>10905.836325131786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0.19799576720776998</v>
      </c>
      <c r="C16" s="56">
        <f ca="1">'EF ele_warmte'!B22</f>
        <v>0.22998102466793169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13.84564621748104</v>
      </c>
      <c r="C18" s="23"/>
      <c r="D18" s="23">
        <f t="shared" ref="D18:M18" si="1">D14*D16</f>
        <v>48.959615418004269</v>
      </c>
      <c r="E18" s="23">
        <f t="shared" si="1"/>
        <v>51.586310738734618</v>
      </c>
      <c r="F18" s="23"/>
      <c r="G18" s="23">
        <f t="shared" si="1"/>
        <v>43443.469903058685</v>
      </c>
      <c r="H18" s="23">
        <f t="shared" si="1"/>
        <v>5742.5909894068391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3.9126140582928749E-3</v>
      </c>
      <c r="H50" s="319">
        <f t="shared" si="2"/>
        <v>0</v>
      </c>
      <c r="I50" s="319">
        <f t="shared" si="2"/>
        <v>0</v>
      </c>
      <c r="J50" s="319">
        <f t="shared" si="2"/>
        <v>0</v>
      </c>
      <c r="K50" s="319">
        <f t="shared" si="2"/>
        <v>0</v>
      </c>
      <c r="L50" s="319">
        <f t="shared" si="2"/>
        <v>0</v>
      </c>
      <c r="M50" s="319">
        <f t="shared" si="2"/>
        <v>2.1742930881008999E-4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3.9126140582928749E-3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2.1742930881008999E-4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1086.8372384146876</v>
      </c>
      <c r="H54" s="21">
        <f t="shared" si="3"/>
        <v>0</v>
      </c>
      <c r="I54" s="21">
        <f t="shared" si="3"/>
        <v>0</v>
      </c>
      <c r="J54" s="21">
        <f t="shared" si="3"/>
        <v>0</v>
      </c>
      <c r="K54" s="21">
        <f t="shared" si="3"/>
        <v>0</v>
      </c>
      <c r="L54" s="21">
        <f t="shared" si="3"/>
        <v>0</v>
      </c>
      <c r="M54" s="21">
        <f t="shared" si="3"/>
        <v>60.397030225024992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0.19799576720776998</v>
      </c>
      <c r="C56" s="56">
        <f ca="1">'EF ele_warmte'!B22</f>
        <v>0.22998102466793169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290.18554265672162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29314.926415000002</v>
      </c>
      <c r="D10" s="686">
        <f ca="1">tertiair!C16</f>
        <v>1870.7142857142858</v>
      </c>
      <c r="E10" s="686">
        <f ca="1">tertiair!D16</f>
        <v>25854.394922071431</v>
      </c>
      <c r="F10" s="686">
        <f>tertiair!E16</f>
        <v>384.22710771992632</v>
      </c>
      <c r="G10" s="686">
        <f ca="1">tertiair!F16</f>
        <v>2893.2373342621104</v>
      </c>
      <c r="H10" s="686">
        <f>tertiair!G16</f>
        <v>0</v>
      </c>
      <c r="I10" s="686">
        <f>tertiair!H16</f>
        <v>0</v>
      </c>
      <c r="J10" s="686">
        <f>tertiair!I16</f>
        <v>0</v>
      </c>
      <c r="K10" s="686">
        <f>tertiair!J16</f>
        <v>4.1529824924167104E-2</v>
      </c>
      <c r="L10" s="686">
        <f>tertiair!K16</f>
        <v>0</v>
      </c>
      <c r="M10" s="686">
        <f ca="1">tertiair!L16</f>
        <v>0</v>
      </c>
      <c r="N10" s="686">
        <f>tertiair!M16</f>
        <v>0</v>
      </c>
      <c r="O10" s="686">
        <f ca="1">tertiair!N16</f>
        <v>1670.0791696018177</v>
      </c>
      <c r="P10" s="686">
        <f>tertiair!O16</f>
        <v>34.280825360888088</v>
      </c>
      <c r="Q10" s="687">
        <f>tertiair!P16</f>
        <v>105.07827661299004</v>
      </c>
      <c r="R10" s="689">
        <f ca="1">SUM(C10:Q10)</f>
        <v>62126.979866168374</v>
      </c>
      <c r="S10" s="67"/>
    </row>
    <row r="11" spans="1:19" s="448" customFormat="1">
      <c r="A11" s="808" t="s">
        <v>224</v>
      </c>
      <c r="B11" s="813"/>
      <c r="C11" s="686">
        <f>huishoudens!B8</f>
        <v>19051.371084072525</v>
      </c>
      <c r="D11" s="686">
        <f>huishoudens!C8</f>
        <v>0</v>
      </c>
      <c r="E11" s="686">
        <f>huishoudens!D8</f>
        <v>45919.071842819998</v>
      </c>
      <c r="F11" s="686">
        <f>huishoudens!E8</f>
        <v>16305.573712242007</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12264.464507147926</v>
      </c>
      <c r="P11" s="686">
        <f>huishoudens!O8</f>
        <v>523.76496991817646</v>
      </c>
      <c r="Q11" s="687">
        <f>huishoudens!P8</f>
        <v>242.28106407675551</v>
      </c>
      <c r="R11" s="689">
        <f>SUM(C11:Q11)</f>
        <v>94306.527180277393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55224.419147999994</v>
      </c>
      <c r="D13" s="686">
        <f>industrie!C18</f>
        <v>0</v>
      </c>
      <c r="E13" s="686">
        <f>industrie!D18</f>
        <v>161550.74222386</v>
      </c>
      <c r="F13" s="686">
        <f>industrie!E18</f>
        <v>3405.1481593174867</v>
      </c>
      <c r="G13" s="686">
        <f>industrie!F18</f>
        <v>12211.740805259773</v>
      </c>
      <c r="H13" s="686">
        <f>industrie!G18</f>
        <v>0</v>
      </c>
      <c r="I13" s="686">
        <f>industrie!H18</f>
        <v>0</v>
      </c>
      <c r="J13" s="686">
        <f>industrie!I18</f>
        <v>0</v>
      </c>
      <c r="K13" s="686">
        <f>industrie!J18</f>
        <v>228.90852771128669</v>
      </c>
      <c r="L13" s="686">
        <f>industrie!K18</f>
        <v>0</v>
      </c>
      <c r="M13" s="686">
        <f>industrie!L18</f>
        <v>0</v>
      </c>
      <c r="N13" s="686">
        <f>industrie!M18</f>
        <v>0</v>
      </c>
      <c r="O13" s="686">
        <f>industrie!N18</f>
        <v>2830.057229367048</v>
      </c>
      <c r="P13" s="686">
        <f>industrie!O18</f>
        <v>0</v>
      </c>
      <c r="Q13" s="687">
        <f>industrie!P18</f>
        <v>0</v>
      </c>
      <c r="R13" s="689">
        <f>SUM(C13:Q13)</f>
        <v>235451.01609351559</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103590.71664707252</v>
      </c>
      <c r="D16" s="722">
        <f t="shared" ref="D16:R16" ca="1" si="0">SUM(D9:D15)</f>
        <v>1870.7142857142858</v>
      </c>
      <c r="E16" s="722">
        <f t="shared" ca="1" si="0"/>
        <v>233324.20898875143</v>
      </c>
      <c r="F16" s="722">
        <f t="shared" si="0"/>
        <v>20094.948979279419</v>
      </c>
      <c r="G16" s="722">
        <f t="shared" ca="1" si="0"/>
        <v>15104.978139521883</v>
      </c>
      <c r="H16" s="722">
        <f t="shared" si="0"/>
        <v>0</v>
      </c>
      <c r="I16" s="722">
        <f t="shared" si="0"/>
        <v>0</v>
      </c>
      <c r="J16" s="722">
        <f t="shared" si="0"/>
        <v>0</v>
      </c>
      <c r="K16" s="722">
        <f t="shared" si="0"/>
        <v>228.95005753621086</v>
      </c>
      <c r="L16" s="722">
        <f t="shared" si="0"/>
        <v>0</v>
      </c>
      <c r="M16" s="722">
        <f t="shared" ca="1" si="0"/>
        <v>0</v>
      </c>
      <c r="N16" s="722">
        <f t="shared" si="0"/>
        <v>0</v>
      </c>
      <c r="O16" s="722">
        <f t="shared" ca="1" si="0"/>
        <v>16764.600906116793</v>
      </c>
      <c r="P16" s="722">
        <f t="shared" si="0"/>
        <v>558.04579527906458</v>
      </c>
      <c r="Q16" s="722">
        <f t="shared" si="0"/>
        <v>347.35934068974552</v>
      </c>
      <c r="R16" s="722">
        <f t="shared" ca="1" si="0"/>
        <v>391884.52313996135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1086.8372384146876</v>
      </c>
      <c r="I19" s="686">
        <f>transport!H54</f>
        <v>0</v>
      </c>
      <c r="J19" s="686">
        <f>transport!I54</f>
        <v>0</v>
      </c>
      <c r="K19" s="686">
        <f>transport!J54</f>
        <v>0</v>
      </c>
      <c r="L19" s="686">
        <f>transport!K54</f>
        <v>0</v>
      </c>
      <c r="M19" s="686">
        <f>transport!L54</f>
        <v>0</v>
      </c>
      <c r="N19" s="686">
        <f>transport!M54</f>
        <v>60.397030225024992</v>
      </c>
      <c r="O19" s="686">
        <f>transport!N54</f>
        <v>0</v>
      </c>
      <c r="P19" s="686">
        <f>transport!O54</f>
        <v>0</v>
      </c>
      <c r="Q19" s="687">
        <f>transport!P54</f>
        <v>0</v>
      </c>
      <c r="R19" s="689">
        <f>SUM(C19:Q19)</f>
        <v>1147.2342686397126</v>
      </c>
      <c r="S19" s="67"/>
    </row>
    <row r="20" spans="1:19" s="448" customFormat="1">
      <c r="A20" s="808" t="s">
        <v>306</v>
      </c>
      <c r="B20" s="813"/>
      <c r="C20" s="686">
        <f>transport!B14</f>
        <v>69.929001072795117</v>
      </c>
      <c r="D20" s="686">
        <f>transport!C14</f>
        <v>0</v>
      </c>
      <c r="E20" s="686">
        <f>transport!D14</f>
        <v>242.37433375249637</v>
      </c>
      <c r="F20" s="686">
        <f>transport!E14</f>
        <v>227.25247021468994</v>
      </c>
      <c r="G20" s="686">
        <f>transport!F14</f>
        <v>0</v>
      </c>
      <c r="H20" s="686">
        <f>transport!G14</f>
        <v>162709.62510508869</v>
      </c>
      <c r="I20" s="686">
        <f>transport!H14</f>
        <v>23062.61441528851</v>
      </c>
      <c r="J20" s="686">
        <f>transport!I14</f>
        <v>0</v>
      </c>
      <c r="K20" s="686">
        <f>transport!J14</f>
        <v>0</v>
      </c>
      <c r="L20" s="686">
        <f>transport!K14</f>
        <v>0</v>
      </c>
      <c r="M20" s="686">
        <f>transport!L14</f>
        <v>0</v>
      </c>
      <c r="N20" s="686">
        <f>transport!M14</f>
        <v>10905.836325131786</v>
      </c>
      <c r="O20" s="686">
        <f>transport!N14</f>
        <v>0</v>
      </c>
      <c r="P20" s="686">
        <f>transport!O14</f>
        <v>0</v>
      </c>
      <c r="Q20" s="687">
        <f>transport!P14</f>
        <v>0</v>
      </c>
      <c r="R20" s="689">
        <f>SUM(C20:Q20)</f>
        <v>197217.63165054898</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69.929001072795117</v>
      </c>
      <c r="D22" s="811">
        <f t="shared" ref="D22:R22" si="1">SUM(D18:D21)</f>
        <v>0</v>
      </c>
      <c r="E22" s="811">
        <f t="shared" si="1"/>
        <v>242.37433375249637</v>
      </c>
      <c r="F22" s="811">
        <f t="shared" si="1"/>
        <v>227.25247021468994</v>
      </c>
      <c r="G22" s="811">
        <f t="shared" si="1"/>
        <v>0</v>
      </c>
      <c r="H22" s="811">
        <f t="shared" si="1"/>
        <v>163796.46234350337</v>
      </c>
      <c r="I22" s="811">
        <f t="shared" si="1"/>
        <v>23062.61441528851</v>
      </c>
      <c r="J22" s="811">
        <f t="shared" si="1"/>
        <v>0</v>
      </c>
      <c r="K22" s="811">
        <f t="shared" si="1"/>
        <v>0</v>
      </c>
      <c r="L22" s="811">
        <f t="shared" si="1"/>
        <v>0</v>
      </c>
      <c r="M22" s="811">
        <f t="shared" si="1"/>
        <v>0</v>
      </c>
      <c r="N22" s="811">
        <f t="shared" si="1"/>
        <v>10966.233355356811</v>
      </c>
      <c r="O22" s="811">
        <f t="shared" si="1"/>
        <v>0</v>
      </c>
      <c r="P22" s="811">
        <f t="shared" si="1"/>
        <v>0</v>
      </c>
      <c r="Q22" s="811">
        <f t="shared" si="1"/>
        <v>0</v>
      </c>
      <c r="R22" s="811">
        <f t="shared" si="1"/>
        <v>198364.86591918868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4642.6050910000004</v>
      </c>
      <c r="D24" s="686">
        <f>+landbouw!C8</f>
        <v>62.357142857142847</v>
      </c>
      <c r="E24" s="686">
        <f>+landbouw!D8</f>
        <v>217.17502257000001</v>
      </c>
      <c r="F24" s="686">
        <f>+landbouw!E8</f>
        <v>144.89417394782012</v>
      </c>
      <c r="G24" s="686">
        <f>+landbouw!F8</f>
        <v>16407.48068551239</v>
      </c>
      <c r="H24" s="686">
        <f>+landbouw!G8</f>
        <v>0</v>
      </c>
      <c r="I24" s="686">
        <f>+landbouw!H8</f>
        <v>0</v>
      </c>
      <c r="J24" s="686">
        <f>+landbouw!I8</f>
        <v>0</v>
      </c>
      <c r="K24" s="686">
        <f>+landbouw!J8</f>
        <v>1279.0698987546409</v>
      </c>
      <c r="L24" s="686">
        <f>+landbouw!K8</f>
        <v>0</v>
      </c>
      <c r="M24" s="686">
        <f>+landbouw!L8</f>
        <v>0</v>
      </c>
      <c r="N24" s="686">
        <f>+landbouw!M8</f>
        <v>0</v>
      </c>
      <c r="O24" s="686">
        <f>+landbouw!N8</f>
        <v>0</v>
      </c>
      <c r="P24" s="686">
        <f>+landbouw!O8</f>
        <v>0</v>
      </c>
      <c r="Q24" s="687">
        <f>+landbouw!P8</f>
        <v>0</v>
      </c>
      <c r="R24" s="689">
        <f>SUM(C24:Q24)</f>
        <v>22753.582014641994</v>
      </c>
      <c r="S24" s="67"/>
    </row>
    <row r="25" spans="1:19" s="448" customFormat="1" ht="15" thickBot="1">
      <c r="A25" s="830" t="s">
        <v>724</v>
      </c>
      <c r="B25" s="949"/>
      <c r="C25" s="950">
        <f>IF(Onbekend_ele_kWh="---",0,Onbekend_ele_kWh)/1000+IF(REST_rest_ele_kWh="---",0,REST_rest_ele_kWh)/1000</f>
        <v>870.00189999999998</v>
      </c>
      <c r="D25" s="950"/>
      <c r="E25" s="950">
        <f>IF(onbekend_gas_kWh="---",0,onbekend_gas_kWh)/1000+IF(REST_rest_gas_kWh="---",0,REST_rest_gas_kWh)/1000</f>
        <v>1767.002189</v>
      </c>
      <c r="F25" s="950"/>
      <c r="G25" s="950"/>
      <c r="H25" s="950"/>
      <c r="I25" s="950"/>
      <c r="J25" s="950"/>
      <c r="K25" s="950"/>
      <c r="L25" s="950"/>
      <c r="M25" s="950"/>
      <c r="N25" s="950"/>
      <c r="O25" s="950"/>
      <c r="P25" s="950"/>
      <c r="Q25" s="951"/>
      <c r="R25" s="689">
        <f>SUM(C25:Q25)</f>
        <v>2637.004089</v>
      </c>
      <c r="S25" s="67"/>
    </row>
    <row r="26" spans="1:19" s="448" customFormat="1" ht="15.75" thickBot="1">
      <c r="A26" s="694" t="s">
        <v>725</v>
      </c>
      <c r="B26" s="816"/>
      <c r="C26" s="811">
        <f>SUM(C24:C25)</f>
        <v>5512.6069910000006</v>
      </c>
      <c r="D26" s="811">
        <f t="shared" ref="D26:R26" si="2">SUM(D24:D25)</f>
        <v>62.357142857142847</v>
      </c>
      <c r="E26" s="811">
        <f t="shared" si="2"/>
        <v>1984.1772115700001</v>
      </c>
      <c r="F26" s="811">
        <f t="shared" si="2"/>
        <v>144.89417394782012</v>
      </c>
      <c r="G26" s="811">
        <f t="shared" si="2"/>
        <v>16407.48068551239</v>
      </c>
      <c r="H26" s="811">
        <f t="shared" si="2"/>
        <v>0</v>
      </c>
      <c r="I26" s="811">
        <f t="shared" si="2"/>
        <v>0</v>
      </c>
      <c r="J26" s="811">
        <f t="shared" si="2"/>
        <v>0</v>
      </c>
      <c r="K26" s="811">
        <f t="shared" si="2"/>
        <v>1279.0698987546409</v>
      </c>
      <c r="L26" s="811">
        <f t="shared" si="2"/>
        <v>0</v>
      </c>
      <c r="M26" s="811">
        <f t="shared" si="2"/>
        <v>0</v>
      </c>
      <c r="N26" s="811">
        <f t="shared" si="2"/>
        <v>0</v>
      </c>
      <c r="O26" s="811">
        <f t="shared" si="2"/>
        <v>0</v>
      </c>
      <c r="P26" s="811">
        <f t="shared" si="2"/>
        <v>0</v>
      </c>
      <c r="Q26" s="811">
        <f t="shared" si="2"/>
        <v>0</v>
      </c>
      <c r="R26" s="811">
        <f t="shared" si="2"/>
        <v>25390.586103641996</v>
      </c>
      <c r="S26" s="67"/>
    </row>
    <row r="27" spans="1:19" s="448" customFormat="1" ht="17.25" thickTop="1" thickBot="1">
      <c r="A27" s="695" t="s">
        <v>115</v>
      </c>
      <c r="B27" s="803"/>
      <c r="C27" s="696">
        <f ca="1">C22+C16+C26</f>
        <v>109173.25263914533</v>
      </c>
      <c r="D27" s="696">
        <f t="shared" ref="D27:R27" ca="1" si="3">D22+D16+D26</f>
        <v>1933.0714285714287</v>
      </c>
      <c r="E27" s="696">
        <f t="shared" ca="1" si="3"/>
        <v>235550.76053407392</v>
      </c>
      <c r="F27" s="696">
        <f t="shared" si="3"/>
        <v>20467.095623441932</v>
      </c>
      <c r="G27" s="696">
        <f t="shared" ca="1" si="3"/>
        <v>31512.458825034271</v>
      </c>
      <c r="H27" s="696">
        <f t="shared" si="3"/>
        <v>163796.46234350337</v>
      </c>
      <c r="I27" s="696">
        <f t="shared" si="3"/>
        <v>23062.61441528851</v>
      </c>
      <c r="J27" s="696">
        <f t="shared" si="3"/>
        <v>0</v>
      </c>
      <c r="K27" s="696">
        <f t="shared" si="3"/>
        <v>1508.0199562908517</v>
      </c>
      <c r="L27" s="696">
        <f t="shared" si="3"/>
        <v>0</v>
      </c>
      <c r="M27" s="696">
        <f t="shared" ca="1" si="3"/>
        <v>0</v>
      </c>
      <c r="N27" s="696">
        <f t="shared" si="3"/>
        <v>10966.233355356811</v>
      </c>
      <c r="O27" s="696">
        <f t="shared" ca="1" si="3"/>
        <v>16764.600906116793</v>
      </c>
      <c r="P27" s="696">
        <f t="shared" si="3"/>
        <v>558.04579527906458</v>
      </c>
      <c r="Q27" s="696">
        <f t="shared" si="3"/>
        <v>347.35934068974552</v>
      </c>
      <c r="R27" s="696">
        <f t="shared" ca="1" si="3"/>
        <v>615639.97516279202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5804.2313461772474</v>
      </c>
      <c r="D40" s="686">
        <f ca="1">tertiair!C20</f>
        <v>430.22878828950934</v>
      </c>
      <c r="E40" s="686">
        <f ca="1">tertiair!D20</f>
        <v>5222.5877742584298</v>
      </c>
      <c r="F40" s="686">
        <f>tertiair!E20</f>
        <v>87.219553452423284</v>
      </c>
      <c r="G40" s="686">
        <f ca="1">tertiair!F20</f>
        <v>772.49436824798352</v>
      </c>
      <c r="H40" s="686">
        <f>tertiair!G20</f>
        <v>0</v>
      </c>
      <c r="I40" s="686">
        <f>tertiair!H20</f>
        <v>0</v>
      </c>
      <c r="J40" s="686">
        <f>tertiair!I20</f>
        <v>0</v>
      </c>
      <c r="K40" s="686">
        <f>tertiair!J20</f>
        <v>1.4701558023155153E-2</v>
      </c>
      <c r="L40" s="686">
        <f>tertiair!K20</f>
        <v>0</v>
      </c>
      <c r="M40" s="686">
        <f ca="1">tertiair!L20</f>
        <v>0</v>
      </c>
      <c r="N40" s="686">
        <f>tertiair!M20</f>
        <v>0</v>
      </c>
      <c r="O40" s="686">
        <f ca="1">tertiair!N20</f>
        <v>0</v>
      </c>
      <c r="P40" s="686">
        <f>tertiair!O20</f>
        <v>0</v>
      </c>
      <c r="Q40" s="769">
        <f>tertiair!P20</f>
        <v>0</v>
      </c>
      <c r="R40" s="849">
        <f t="shared" ca="1" si="4"/>
        <v>12316.776531983618</v>
      </c>
    </row>
    <row r="41" spans="1:18">
      <c r="A41" s="821" t="s">
        <v>224</v>
      </c>
      <c r="B41" s="828"/>
      <c r="C41" s="686">
        <f ca="1">huishoudens!B12</f>
        <v>3772.0908341508643</v>
      </c>
      <c r="D41" s="686">
        <f ca="1">huishoudens!C12</f>
        <v>0</v>
      </c>
      <c r="E41" s="686">
        <f>huishoudens!D12</f>
        <v>9275.6525122496405</v>
      </c>
      <c r="F41" s="686">
        <f>huishoudens!E12</f>
        <v>3701.3652326789356</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16749.108579079439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10934.201237811722</v>
      </c>
      <c r="D43" s="686">
        <f ca="1">industrie!C22</f>
        <v>0</v>
      </c>
      <c r="E43" s="686">
        <f>industrie!D22</f>
        <v>32633.249929219721</v>
      </c>
      <c r="F43" s="686">
        <f>industrie!E22</f>
        <v>772.96863216506949</v>
      </c>
      <c r="G43" s="686">
        <f>industrie!F22</f>
        <v>3260.5347950043597</v>
      </c>
      <c r="H43" s="686">
        <f>industrie!G22</f>
        <v>0</v>
      </c>
      <c r="I43" s="686">
        <f>industrie!H22</f>
        <v>0</v>
      </c>
      <c r="J43" s="686">
        <f>industrie!I22</f>
        <v>0</v>
      </c>
      <c r="K43" s="686">
        <f>industrie!J22</f>
        <v>81.033618809795485</v>
      </c>
      <c r="L43" s="686">
        <f>industrie!K22</f>
        <v>0</v>
      </c>
      <c r="M43" s="686">
        <f>industrie!L22</f>
        <v>0</v>
      </c>
      <c r="N43" s="686">
        <f>industrie!M22</f>
        <v>0</v>
      </c>
      <c r="O43" s="686">
        <f>industrie!N22</f>
        <v>0</v>
      </c>
      <c r="P43" s="686">
        <f>industrie!O22</f>
        <v>0</v>
      </c>
      <c r="Q43" s="769">
        <f>industrie!P22</f>
        <v>0</v>
      </c>
      <c r="R43" s="848">
        <f t="shared" ca="1" si="4"/>
        <v>47681.988213010656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20510.523418139834</v>
      </c>
      <c r="D46" s="722">
        <f t="shared" ref="D46:Q46" ca="1" si="5">SUM(D39:D45)</f>
        <v>430.22878828950934</v>
      </c>
      <c r="E46" s="722">
        <f t="shared" ca="1" si="5"/>
        <v>47131.49021572779</v>
      </c>
      <c r="F46" s="722">
        <f t="shared" si="5"/>
        <v>4561.5534182964284</v>
      </c>
      <c r="G46" s="722">
        <f t="shared" ca="1" si="5"/>
        <v>4033.0291632523431</v>
      </c>
      <c r="H46" s="722">
        <f t="shared" si="5"/>
        <v>0</v>
      </c>
      <c r="I46" s="722">
        <f t="shared" si="5"/>
        <v>0</v>
      </c>
      <c r="J46" s="722">
        <f t="shared" si="5"/>
        <v>0</v>
      </c>
      <c r="K46" s="722">
        <f t="shared" si="5"/>
        <v>81.048320367818633</v>
      </c>
      <c r="L46" s="722">
        <f t="shared" si="5"/>
        <v>0</v>
      </c>
      <c r="M46" s="722">
        <f t="shared" ca="1" si="5"/>
        <v>0</v>
      </c>
      <c r="N46" s="722">
        <f t="shared" si="5"/>
        <v>0</v>
      </c>
      <c r="O46" s="722">
        <f t="shared" ca="1" si="5"/>
        <v>0</v>
      </c>
      <c r="P46" s="722">
        <f t="shared" si="5"/>
        <v>0</v>
      </c>
      <c r="Q46" s="722">
        <f t="shared" si="5"/>
        <v>0</v>
      </c>
      <c r="R46" s="722">
        <f ca="1">SUM(R39:R45)</f>
        <v>76747.873324073706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290.18554265672162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290.18554265672162</v>
      </c>
    </row>
    <row r="50" spans="1:18">
      <c r="A50" s="824" t="s">
        <v>306</v>
      </c>
      <c r="B50" s="834"/>
      <c r="C50" s="692">
        <f ca="1">transport!B18</f>
        <v>13.84564621748104</v>
      </c>
      <c r="D50" s="692">
        <f>transport!C18</f>
        <v>0</v>
      </c>
      <c r="E50" s="692">
        <f>transport!D18</f>
        <v>48.959615418004269</v>
      </c>
      <c r="F50" s="692">
        <f>transport!E18</f>
        <v>51.586310738734618</v>
      </c>
      <c r="G50" s="692">
        <f>transport!F18</f>
        <v>0</v>
      </c>
      <c r="H50" s="692">
        <f>transport!G18</f>
        <v>43443.469903058685</v>
      </c>
      <c r="I50" s="692">
        <f>transport!H18</f>
        <v>5742.5909894068391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49300.452464839742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13.84564621748104</v>
      </c>
      <c r="D52" s="722">
        <f t="shared" ref="D52:Q52" ca="1" si="6">SUM(D48:D51)</f>
        <v>0</v>
      </c>
      <c r="E52" s="722">
        <f t="shared" si="6"/>
        <v>48.959615418004269</v>
      </c>
      <c r="F52" s="722">
        <f t="shared" si="6"/>
        <v>51.586310738734618</v>
      </c>
      <c r="G52" s="722">
        <f t="shared" si="6"/>
        <v>0</v>
      </c>
      <c r="H52" s="722">
        <f t="shared" si="6"/>
        <v>43733.655445715405</v>
      </c>
      <c r="I52" s="722">
        <f t="shared" si="6"/>
        <v>5742.5909894068391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49590.638007496462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919.21615683524385</v>
      </c>
      <c r="D54" s="692">
        <f ca="1">+landbouw!C12</f>
        <v>14.340959609650309</v>
      </c>
      <c r="E54" s="692">
        <f>+landbouw!D12</f>
        <v>43.869354559140007</v>
      </c>
      <c r="F54" s="692">
        <f>+landbouw!E12</f>
        <v>32.890977486155165</v>
      </c>
      <c r="G54" s="692">
        <f>+landbouw!F12</f>
        <v>4380.7973430318079</v>
      </c>
      <c r="H54" s="692">
        <f>+landbouw!G12</f>
        <v>0</v>
      </c>
      <c r="I54" s="692">
        <f>+landbouw!H12</f>
        <v>0</v>
      </c>
      <c r="J54" s="692">
        <f>+landbouw!I12</f>
        <v>0</v>
      </c>
      <c r="K54" s="692">
        <f>+landbouw!J12</f>
        <v>452.79074415914289</v>
      </c>
      <c r="L54" s="692">
        <f>+landbouw!K12</f>
        <v>0</v>
      </c>
      <c r="M54" s="692">
        <f>+landbouw!L12</f>
        <v>0</v>
      </c>
      <c r="N54" s="692">
        <f>+landbouw!M12</f>
        <v>0</v>
      </c>
      <c r="O54" s="692">
        <f>+landbouw!N12</f>
        <v>0</v>
      </c>
      <c r="P54" s="692">
        <f>+landbouw!O12</f>
        <v>0</v>
      </c>
      <c r="Q54" s="693">
        <f>+landbouw!P12</f>
        <v>0</v>
      </c>
      <c r="R54" s="721">
        <f ca="1">SUM(C54:Q54)</f>
        <v>5843.9055356811405</v>
      </c>
    </row>
    <row r="55" spans="1:18" ht="15" thickBot="1">
      <c r="A55" s="824" t="s">
        <v>724</v>
      </c>
      <c r="B55" s="834"/>
      <c r="C55" s="692">
        <f ca="1">C25*'EF ele_warmte'!B12</f>
        <v>172.25669366271757</v>
      </c>
      <c r="D55" s="692"/>
      <c r="E55" s="692">
        <f>E25*EF_CO2_aardgas</f>
        <v>356.93444217800004</v>
      </c>
      <c r="F55" s="692"/>
      <c r="G55" s="692"/>
      <c r="H55" s="692"/>
      <c r="I55" s="692"/>
      <c r="J55" s="692"/>
      <c r="K55" s="692"/>
      <c r="L55" s="692"/>
      <c r="M55" s="692"/>
      <c r="N55" s="692"/>
      <c r="O55" s="692"/>
      <c r="P55" s="692"/>
      <c r="Q55" s="693"/>
      <c r="R55" s="721">
        <f ca="1">SUM(C55:Q55)</f>
        <v>529.19113584071761</v>
      </c>
    </row>
    <row r="56" spans="1:18" ht="15.75" thickBot="1">
      <c r="A56" s="822" t="s">
        <v>725</v>
      </c>
      <c r="B56" s="835"/>
      <c r="C56" s="722">
        <f ca="1">SUM(C54:C55)</f>
        <v>1091.4728504979614</v>
      </c>
      <c r="D56" s="722">
        <f t="shared" ref="D56:Q56" ca="1" si="7">SUM(D54:D55)</f>
        <v>14.340959609650309</v>
      </c>
      <c r="E56" s="722">
        <f t="shared" si="7"/>
        <v>400.80379673714003</v>
      </c>
      <c r="F56" s="722">
        <f t="shared" si="7"/>
        <v>32.890977486155165</v>
      </c>
      <c r="G56" s="722">
        <f t="shared" si="7"/>
        <v>4380.7973430318079</v>
      </c>
      <c r="H56" s="722">
        <f t="shared" si="7"/>
        <v>0</v>
      </c>
      <c r="I56" s="722">
        <f t="shared" si="7"/>
        <v>0</v>
      </c>
      <c r="J56" s="722">
        <f t="shared" si="7"/>
        <v>0</v>
      </c>
      <c r="K56" s="722">
        <f t="shared" si="7"/>
        <v>452.79074415914289</v>
      </c>
      <c r="L56" s="722">
        <f t="shared" si="7"/>
        <v>0</v>
      </c>
      <c r="M56" s="722">
        <f t="shared" si="7"/>
        <v>0</v>
      </c>
      <c r="N56" s="722">
        <f t="shared" si="7"/>
        <v>0</v>
      </c>
      <c r="O56" s="722">
        <f t="shared" si="7"/>
        <v>0</v>
      </c>
      <c r="P56" s="722">
        <f t="shared" si="7"/>
        <v>0</v>
      </c>
      <c r="Q56" s="723">
        <f t="shared" si="7"/>
        <v>0</v>
      </c>
      <c r="R56" s="724">
        <f ca="1">SUM(R54:R55)</f>
        <v>6373.0966715218583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21615.841914855275</v>
      </c>
      <c r="D61" s="730">
        <f t="shared" ref="D61:Q61" ca="1" si="8">D46+D52+D56</f>
        <v>444.56974789915967</v>
      </c>
      <c r="E61" s="730">
        <f t="shared" ca="1" si="8"/>
        <v>47581.253627882936</v>
      </c>
      <c r="F61" s="730">
        <f t="shared" si="8"/>
        <v>4646.0307065213183</v>
      </c>
      <c r="G61" s="730">
        <f t="shared" ca="1" si="8"/>
        <v>8413.826506284151</v>
      </c>
      <c r="H61" s="730">
        <f t="shared" si="8"/>
        <v>43733.655445715405</v>
      </c>
      <c r="I61" s="730">
        <f t="shared" si="8"/>
        <v>5742.5909894068391</v>
      </c>
      <c r="J61" s="730">
        <f t="shared" si="8"/>
        <v>0</v>
      </c>
      <c r="K61" s="730">
        <f t="shared" si="8"/>
        <v>533.83906452696147</v>
      </c>
      <c r="L61" s="730">
        <f t="shared" si="8"/>
        <v>0</v>
      </c>
      <c r="M61" s="730">
        <f t="shared" ca="1" si="8"/>
        <v>0</v>
      </c>
      <c r="N61" s="730">
        <f t="shared" si="8"/>
        <v>0</v>
      </c>
      <c r="O61" s="730">
        <f t="shared" ca="1" si="8"/>
        <v>0</v>
      </c>
      <c r="P61" s="730">
        <f t="shared" si="8"/>
        <v>0</v>
      </c>
      <c r="Q61" s="730">
        <f t="shared" si="8"/>
        <v>0</v>
      </c>
      <c r="R61" s="730">
        <f ca="1">R46+R52+R56</f>
        <v>132711.60800309203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0.19799576720776996</v>
      </c>
      <c r="D63" s="776">
        <f t="shared" ca="1" si="9"/>
        <v>0.22998102466793169</v>
      </c>
      <c r="E63" s="975">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11419.002678394812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43.65</v>
      </c>
      <c r="C76" s="743">
        <f>'lokale energieproductie'!B8*IFERROR(SUM(D76:H76)/SUM(D76:O76),0)</f>
        <v>1309.5000000000002</v>
      </c>
      <c r="D76" s="958">
        <f>'lokale energieproductie'!C8</f>
        <v>1540.5882352941176</v>
      </c>
      <c r="E76" s="959">
        <f>'lokale energieproductie'!D8</f>
        <v>0</v>
      </c>
      <c r="F76" s="959">
        <f>'lokale energieproductie'!E8</f>
        <v>0</v>
      </c>
      <c r="G76" s="959">
        <f>'lokale energieproductie'!F8</f>
        <v>0</v>
      </c>
      <c r="H76" s="959">
        <f>'lokale energieproductie'!G8</f>
        <v>0</v>
      </c>
      <c r="I76" s="959">
        <f>'lokale energieproductie'!I8</f>
        <v>0</v>
      </c>
      <c r="J76" s="959">
        <f>'lokale energieproductie'!J8</f>
        <v>51.35294117647058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311.19882352941175</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11462.652678394812</v>
      </c>
      <c r="C78" s="748">
        <f>SUM(C72:C77)</f>
        <v>1309.5000000000002</v>
      </c>
      <c r="D78" s="749">
        <f t="shared" ref="D78:H78" si="10">SUM(D76:D77)</f>
        <v>1540.5882352941176</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9">
        <f>SUM(O76:O77)</f>
        <v>0</v>
      </c>
      <c r="P78" s="750">
        <v>0</v>
      </c>
      <c r="Q78" s="750">
        <f>SUM(Q76:Q77)</f>
        <v>311.19882352941175</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62.357142857142847</v>
      </c>
      <c r="C87" s="761">
        <f>'lokale energieproductie'!B17*IFERROR(SUM(D87:H87)/SUM(D87:O87),0)</f>
        <v>1870.7142857142858</v>
      </c>
      <c r="D87" s="772">
        <f>'lokale energieproductie'!C17</f>
        <v>2200.8403361344535</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73.3613445378151</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444.56974789915967</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62.357142857142847</v>
      </c>
      <c r="C90" s="748">
        <f>SUM(C87:C89)</f>
        <v>1870.7142857142858</v>
      </c>
      <c r="D90" s="748">
        <f t="shared" ref="D90:H90" si="12">SUM(D87:D89)</f>
        <v>2200.8403361344535</v>
      </c>
      <c r="E90" s="748">
        <f t="shared" si="12"/>
        <v>0</v>
      </c>
      <c r="F90" s="748">
        <f t="shared" si="12"/>
        <v>0</v>
      </c>
      <c r="G90" s="748">
        <f t="shared" si="12"/>
        <v>0</v>
      </c>
      <c r="H90" s="748">
        <f t="shared" si="12"/>
        <v>0</v>
      </c>
      <c r="I90" s="748">
        <f>SUM(I87:I89)</f>
        <v>0</v>
      </c>
      <c r="J90" s="748">
        <f>SUM(J87:J89)</f>
        <v>73.3613445378151</v>
      </c>
      <c r="K90" s="748">
        <f t="shared" ref="K90:L90" si="13">SUM(K87:K89)</f>
        <v>0</v>
      </c>
      <c r="L90" s="748">
        <f t="shared" si="13"/>
        <v>0</v>
      </c>
      <c r="M90" s="748">
        <f>SUM(M87:M89)</f>
        <v>0</v>
      </c>
      <c r="N90" s="748">
        <f>SUM(N87:N89)</f>
        <v>0</v>
      </c>
      <c r="O90" s="748">
        <f>SUM(O87:O89)</f>
        <v>0</v>
      </c>
      <c r="P90" s="748">
        <v>0</v>
      </c>
      <c r="Q90" s="748">
        <f>SUM(Q87:Q89)</f>
        <v>444.56974789915967</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11419.002678394812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1353.15</v>
      </c>
      <c r="C8" s="548">
        <f>B49</f>
        <v>1540.5882352941176</v>
      </c>
      <c r="D8" s="549"/>
      <c r="E8" s="549">
        <f>E49</f>
        <v>0</v>
      </c>
      <c r="F8" s="550"/>
      <c r="G8" s="551"/>
      <c r="H8" s="549">
        <f>I49</f>
        <v>0</v>
      </c>
      <c r="I8" s="549">
        <f>G49+F49</f>
        <v>0</v>
      </c>
      <c r="J8" s="549">
        <f>H49+D49+C49</f>
        <v>51.35294117647058</v>
      </c>
      <c r="K8" s="549"/>
      <c r="L8" s="549"/>
      <c r="M8" s="549"/>
      <c r="N8" s="552"/>
      <c r="O8" s="553">
        <f>C8*$C$12+D8*$D$12+E8*$E$12+F8*$F$12+G8*$G$12+H8*$H$12+I8*$I$12+J8*$J$12</f>
        <v>311.19882352941175</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12772.152678394812</v>
      </c>
      <c r="C10" s="563">
        <f t="shared" ref="C10:L10" si="0">SUM(C8:C9)</f>
        <v>1540.5882352941176</v>
      </c>
      <c r="D10" s="563">
        <f t="shared" si="0"/>
        <v>0</v>
      </c>
      <c r="E10" s="563">
        <f t="shared" si="0"/>
        <v>0</v>
      </c>
      <c r="F10" s="563">
        <f t="shared" si="0"/>
        <v>0</v>
      </c>
      <c r="G10" s="563">
        <f t="shared" si="0"/>
        <v>0</v>
      </c>
      <c r="H10" s="563">
        <f t="shared" si="0"/>
        <v>0</v>
      </c>
      <c r="I10" s="563">
        <f t="shared" si="0"/>
        <v>0</v>
      </c>
      <c r="J10" s="563">
        <f t="shared" si="0"/>
        <v>51.35294117647058</v>
      </c>
      <c r="K10" s="563">
        <f t="shared" si="0"/>
        <v>0</v>
      </c>
      <c r="L10" s="563">
        <f t="shared" si="0"/>
        <v>0</v>
      </c>
      <c r="M10" s="971"/>
      <c r="N10" s="971"/>
      <c r="O10" s="564">
        <f>SUM(O4:O9)</f>
        <v>311.19882352941175</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1933.0714285714287</v>
      </c>
      <c r="C17" s="579">
        <f>B50</f>
        <v>2200.8403361344535</v>
      </c>
      <c r="D17" s="580"/>
      <c r="E17" s="580">
        <f>E50</f>
        <v>0</v>
      </c>
      <c r="F17" s="581"/>
      <c r="G17" s="582"/>
      <c r="H17" s="579">
        <f>I50</f>
        <v>0</v>
      </c>
      <c r="I17" s="580">
        <f>G50+F50</f>
        <v>0</v>
      </c>
      <c r="J17" s="580">
        <f>H50+D50+C50</f>
        <v>73.3613445378151</v>
      </c>
      <c r="K17" s="580"/>
      <c r="L17" s="580"/>
      <c r="M17" s="580"/>
      <c r="N17" s="972"/>
      <c r="O17" s="583">
        <f>C17*$C$22+E17*$E$22+H17*$H$22+I17*$I$22+J17*$J$22+D17*$D$22+F17*$F$22+G17*$G$22+K17*$K$22+L17*$L$22</f>
        <v>444.56974789915967</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1933.0714285714287</v>
      </c>
      <c r="C20" s="562">
        <f>SUM(C17:C19)</f>
        <v>2200.8403361344535</v>
      </c>
      <c r="D20" s="562">
        <f t="shared" ref="D20:L20" si="1">SUM(D17:D19)</f>
        <v>0</v>
      </c>
      <c r="E20" s="562">
        <f t="shared" si="1"/>
        <v>0</v>
      </c>
      <c r="F20" s="562">
        <f t="shared" si="1"/>
        <v>0</v>
      </c>
      <c r="G20" s="562">
        <f t="shared" si="1"/>
        <v>0</v>
      </c>
      <c r="H20" s="562">
        <f t="shared" si="1"/>
        <v>0</v>
      </c>
      <c r="I20" s="562">
        <f t="shared" si="1"/>
        <v>0</v>
      </c>
      <c r="J20" s="562">
        <f t="shared" si="1"/>
        <v>73.3613445378151</v>
      </c>
      <c r="K20" s="562">
        <f t="shared" si="1"/>
        <v>0</v>
      </c>
      <c r="L20" s="562">
        <f t="shared" si="1"/>
        <v>0</v>
      </c>
      <c r="M20" s="562"/>
      <c r="N20" s="562"/>
      <c r="O20" s="588">
        <f>SUM(O17:O19)</f>
        <v>444.56974789915967</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91">
        <v>38025</v>
      </c>
      <c r="C28" s="791">
        <v>8630</v>
      </c>
      <c r="D28" s="640" t="s">
        <v>888</v>
      </c>
      <c r="E28" s="639" t="s">
        <v>889</v>
      </c>
      <c r="F28" s="639" t="s">
        <v>890</v>
      </c>
      <c r="G28" s="639" t="s">
        <v>891</v>
      </c>
      <c r="H28" s="639" t="s">
        <v>892</v>
      </c>
      <c r="I28" s="639" t="s">
        <v>889</v>
      </c>
      <c r="J28" s="790">
        <v>40345</v>
      </c>
      <c r="K28" s="790">
        <v>40452</v>
      </c>
      <c r="L28" s="639" t="s">
        <v>893</v>
      </c>
      <c r="M28" s="639">
        <v>291</v>
      </c>
      <c r="N28" s="639">
        <v>1309.5</v>
      </c>
      <c r="O28" s="639">
        <v>1870.7142857142858</v>
      </c>
      <c r="P28" s="639">
        <v>3741.4285714285716</v>
      </c>
      <c r="Q28" s="639">
        <v>0</v>
      </c>
      <c r="R28" s="639">
        <v>0</v>
      </c>
      <c r="S28" s="639">
        <v>0</v>
      </c>
      <c r="T28" s="639">
        <v>0</v>
      </c>
      <c r="U28" s="639">
        <v>0</v>
      </c>
      <c r="V28" s="639">
        <v>0</v>
      </c>
      <c r="W28" s="639">
        <v>0</v>
      </c>
      <c r="X28" s="639">
        <v>1500</v>
      </c>
      <c r="Y28" s="639" t="s">
        <v>50</v>
      </c>
      <c r="Z28" s="641" t="s">
        <v>155</v>
      </c>
    </row>
    <row r="29" spans="1:26" s="593" customFormat="1" ht="25.5">
      <c r="A29" s="592"/>
      <c r="B29" s="791">
        <v>38025</v>
      </c>
      <c r="C29" s="791">
        <v>8630</v>
      </c>
      <c r="D29" s="640" t="s">
        <v>894</v>
      </c>
      <c r="E29" s="639" t="s">
        <v>895</v>
      </c>
      <c r="F29" s="639" t="s">
        <v>896</v>
      </c>
      <c r="G29" s="639" t="s">
        <v>891</v>
      </c>
      <c r="H29" s="639" t="s">
        <v>892</v>
      </c>
      <c r="I29" s="639" t="s">
        <v>897</v>
      </c>
      <c r="J29" s="790">
        <v>41117</v>
      </c>
      <c r="K29" s="790">
        <v>41244</v>
      </c>
      <c r="L29" s="639" t="s">
        <v>893</v>
      </c>
      <c r="M29" s="639">
        <v>9.6999999999999993</v>
      </c>
      <c r="N29" s="639">
        <v>43.649999999999991</v>
      </c>
      <c r="O29" s="639">
        <v>62.357142857142847</v>
      </c>
      <c r="P29" s="639">
        <v>0</v>
      </c>
      <c r="Q29" s="639">
        <v>124.71428571428569</v>
      </c>
      <c r="R29" s="639">
        <v>0</v>
      </c>
      <c r="S29" s="639">
        <v>0</v>
      </c>
      <c r="T29" s="639">
        <v>0</v>
      </c>
      <c r="U29" s="639">
        <v>0</v>
      </c>
      <c r="V29" s="639">
        <v>0</v>
      </c>
      <c r="W29" s="639">
        <v>0</v>
      </c>
      <c r="X29" s="639">
        <v>10</v>
      </c>
      <c r="Y29" s="639" t="s">
        <v>111</v>
      </c>
      <c r="Z29" s="641" t="s">
        <v>111</v>
      </c>
    </row>
    <row r="30" spans="1:26" s="573" customFormat="1">
      <c r="A30" s="595" t="s">
        <v>279</v>
      </c>
      <c r="B30" s="596"/>
      <c r="C30" s="596"/>
      <c r="D30" s="596"/>
      <c r="E30" s="596"/>
      <c r="F30" s="596"/>
      <c r="G30" s="596"/>
      <c r="H30" s="596"/>
      <c r="I30" s="596"/>
      <c r="J30" s="596"/>
      <c r="K30" s="596"/>
      <c r="L30" s="597"/>
      <c r="M30" s="597">
        <f>SUM(M28:M29)</f>
        <v>300.7</v>
      </c>
      <c r="N30" s="597">
        <f>SUM(N28:N29)</f>
        <v>1353.15</v>
      </c>
      <c r="O30" s="597">
        <f>SUM(O28:O29)</f>
        <v>1933.0714285714287</v>
      </c>
      <c r="P30" s="597">
        <f>SUM(P28:P29)</f>
        <v>3741.4285714285716</v>
      </c>
      <c r="Q30" s="597">
        <f>SUM(Q28:Q29)</f>
        <v>124.71428571428569</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291</v>
      </c>
      <c r="N32" s="597">
        <f ca="1">SUMIF($Z$28:AD29,"tertiair",N28:N29)</f>
        <v>1309.5</v>
      </c>
      <c r="O32" s="597">
        <f ca="1">SUMIF($Z$28:AE29,"tertiair",O28:O29)</f>
        <v>1870.7142857142858</v>
      </c>
      <c r="P32" s="597">
        <f ca="1">SUMIF($Z$28:AF29,"tertiair",P28:P29)</f>
        <v>3741.4285714285716</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9.6999999999999993</v>
      </c>
      <c r="N33" s="602">
        <f>SUMIF($Z$28:$Z$29,"landbouw",N28:N29)</f>
        <v>43.649999999999991</v>
      </c>
      <c r="O33" s="602">
        <f>SUMIF($Z$28:$Z$29,"landbouw",O28:O29)</f>
        <v>62.357142857142847</v>
      </c>
      <c r="P33" s="602">
        <f>SUMIF($Z$28:$Z$29,"landbouw",P28:P29)</f>
        <v>0</v>
      </c>
      <c r="Q33" s="602">
        <f>SUMIF($Z$28:$Z$29,"landbouw",Q28:Q29)</f>
        <v>124.71428571428569</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0.58823529411764697</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1540.5882352941176</v>
      </c>
      <c r="C49" s="631">
        <f t="shared" si="2"/>
        <v>51.35294117647058</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2200.8403361344535</v>
      </c>
      <c r="C50" s="634">
        <f t="shared" si="3"/>
        <v>73.3613445378151</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19051.371084072525</v>
      </c>
      <c r="C4" s="452">
        <f>huishoudens!C8</f>
        <v>0</v>
      </c>
      <c r="D4" s="452">
        <f>huishoudens!D8</f>
        <v>45919.071842819998</v>
      </c>
      <c r="E4" s="452">
        <f>huishoudens!E8</f>
        <v>16305.573712242007</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12264.464507147926</v>
      </c>
      <c r="O4" s="452">
        <f>huishoudens!O8</f>
        <v>523.76496991817646</v>
      </c>
      <c r="P4" s="453">
        <f>huishoudens!P8</f>
        <v>242.28106407675551</v>
      </c>
      <c r="Q4" s="454">
        <f>SUM(B4:P4)</f>
        <v>94306.527180277393</v>
      </c>
    </row>
    <row r="5" spans="1:17">
      <c r="A5" s="451" t="s">
        <v>155</v>
      </c>
      <c r="B5" s="452">
        <f ca="1">tertiair!B16</f>
        <v>28396.500415000002</v>
      </c>
      <c r="C5" s="452">
        <f ca="1">tertiair!C16</f>
        <v>1870.7142857142858</v>
      </c>
      <c r="D5" s="452">
        <f ca="1">tertiair!D16</f>
        <v>25854.394922071431</v>
      </c>
      <c r="E5" s="452">
        <f>tertiair!E16</f>
        <v>384.22710771992632</v>
      </c>
      <c r="F5" s="452">
        <f ca="1">tertiair!F16</f>
        <v>2893.2373342621104</v>
      </c>
      <c r="G5" s="452">
        <f>tertiair!G16</f>
        <v>0</v>
      </c>
      <c r="H5" s="452">
        <f>tertiair!H16</f>
        <v>0</v>
      </c>
      <c r="I5" s="452">
        <f>tertiair!I16</f>
        <v>0</v>
      </c>
      <c r="J5" s="452">
        <f>tertiair!J16</f>
        <v>4.1529824924167104E-2</v>
      </c>
      <c r="K5" s="452">
        <f>tertiair!K16</f>
        <v>0</v>
      </c>
      <c r="L5" s="452">
        <f ca="1">tertiair!L16</f>
        <v>0</v>
      </c>
      <c r="M5" s="452">
        <f>tertiair!M16</f>
        <v>0</v>
      </c>
      <c r="N5" s="452">
        <f ca="1">tertiair!N16</f>
        <v>1670.0791696018177</v>
      </c>
      <c r="O5" s="452">
        <f>tertiair!O16</f>
        <v>34.280825360888088</v>
      </c>
      <c r="P5" s="453">
        <f>tertiair!P16</f>
        <v>105.07827661299004</v>
      </c>
      <c r="Q5" s="451">
        <f t="shared" ref="Q5:Q14" ca="1" si="0">SUM(B5:P5)</f>
        <v>61208.553866168382</v>
      </c>
    </row>
    <row r="6" spans="1:17">
      <c r="A6" s="451" t="s">
        <v>193</v>
      </c>
      <c r="B6" s="452">
        <f>'openbare verlichting'!B8</f>
        <v>918.42600000000004</v>
      </c>
      <c r="C6" s="452"/>
      <c r="D6" s="452"/>
      <c r="E6" s="452"/>
      <c r="F6" s="452"/>
      <c r="G6" s="452"/>
      <c r="H6" s="452"/>
      <c r="I6" s="452"/>
      <c r="J6" s="452"/>
      <c r="K6" s="452"/>
      <c r="L6" s="452"/>
      <c r="M6" s="452"/>
      <c r="N6" s="452"/>
      <c r="O6" s="452"/>
      <c r="P6" s="453"/>
      <c r="Q6" s="451">
        <f t="shared" si="0"/>
        <v>918.42600000000004</v>
      </c>
    </row>
    <row r="7" spans="1:17">
      <c r="A7" s="451" t="s">
        <v>111</v>
      </c>
      <c r="B7" s="452">
        <f>landbouw!B8</f>
        <v>4642.6050910000004</v>
      </c>
      <c r="C7" s="452">
        <f>landbouw!C8</f>
        <v>62.357142857142847</v>
      </c>
      <c r="D7" s="452">
        <f>landbouw!D8</f>
        <v>217.17502257000001</v>
      </c>
      <c r="E7" s="452">
        <f>landbouw!E8</f>
        <v>144.89417394782012</v>
      </c>
      <c r="F7" s="452">
        <f>landbouw!F8</f>
        <v>16407.48068551239</v>
      </c>
      <c r="G7" s="452">
        <f>landbouw!G8</f>
        <v>0</v>
      </c>
      <c r="H7" s="452">
        <f>landbouw!H8</f>
        <v>0</v>
      </c>
      <c r="I7" s="452">
        <f>landbouw!I8</f>
        <v>0</v>
      </c>
      <c r="J7" s="452">
        <f>landbouw!J8</f>
        <v>1279.0698987546409</v>
      </c>
      <c r="K7" s="452">
        <f>landbouw!K8</f>
        <v>0</v>
      </c>
      <c r="L7" s="452">
        <f>landbouw!L8</f>
        <v>0</v>
      </c>
      <c r="M7" s="452">
        <f>landbouw!M8</f>
        <v>0</v>
      </c>
      <c r="N7" s="452">
        <f>landbouw!N8</f>
        <v>0</v>
      </c>
      <c r="O7" s="452">
        <f>landbouw!O8</f>
        <v>0</v>
      </c>
      <c r="P7" s="453">
        <f>landbouw!P8</f>
        <v>0</v>
      </c>
      <c r="Q7" s="451">
        <f t="shared" si="0"/>
        <v>22753.582014641994</v>
      </c>
    </row>
    <row r="8" spans="1:17">
      <c r="A8" s="451" t="s">
        <v>625</v>
      </c>
      <c r="B8" s="452">
        <f>industrie!B18</f>
        <v>55224.419147999994</v>
      </c>
      <c r="C8" s="452">
        <f>industrie!C18</f>
        <v>0</v>
      </c>
      <c r="D8" s="452">
        <f>industrie!D18</f>
        <v>161550.74222386</v>
      </c>
      <c r="E8" s="452">
        <f>industrie!E18</f>
        <v>3405.1481593174867</v>
      </c>
      <c r="F8" s="452">
        <f>industrie!F18</f>
        <v>12211.740805259773</v>
      </c>
      <c r="G8" s="452">
        <f>industrie!G18</f>
        <v>0</v>
      </c>
      <c r="H8" s="452">
        <f>industrie!H18</f>
        <v>0</v>
      </c>
      <c r="I8" s="452">
        <f>industrie!I18</f>
        <v>0</v>
      </c>
      <c r="J8" s="452">
        <f>industrie!J18</f>
        <v>228.90852771128669</v>
      </c>
      <c r="K8" s="452">
        <f>industrie!K18</f>
        <v>0</v>
      </c>
      <c r="L8" s="452">
        <f>industrie!L18</f>
        <v>0</v>
      </c>
      <c r="M8" s="452">
        <f>industrie!M18</f>
        <v>0</v>
      </c>
      <c r="N8" s="452">
        <f>industrie!N18</f>
        <v>2830.057229367048</v>
      </c>
      <c r="O8" s="452">
        <f>industrie!O18</f>
        <v>0</v>
      </c>
      <c r="P8" s="453">
        <f>industrie!P18</f>
        <v>0</v>
      </c>
      <c r="Q8" s="451">
        <f t="shared" si="0"/>
        <v>235451.01609351559</v>
      </c>
    </row>
    <row r="9" spans="1:17" s="457" customFormat="1">
      <c r="A9" s="455" t="s">
        <v>551</v>
      </c>
      <c r="B9" s="456">
        <f>transport!B14</f>
        <v>69.929001072795117</v>
      </c>
      <c r="C9" s="456">
        <f>transport!C14</f>
        <v>0</v>
      </c>
      <c r="D9" s="456">
        <f>transport!D14</f>
        <v>242.37433375249637</v>
      </c>
      <c r="E9" s="456">
        <f>transport!E14</f>
        <v>227.25247021468994</v>
      </c>
      <c r="F9" s="456">
        <f>transport!F14</f>
        <v>0</v>
      </c>
      <c r="G9" s="456">
        <f>transport!G14</f>
        <v>162709.62510508869</v>
      </c>
      <c r="H9" s="456">
        <f>transport!H14</f>
        <v>23062.61441528851</v>
      </c>
      <c r="I9" s="456">
        <f>transport!I14</f>
        <v>0</v>
      </c>
      <c r="J9" s="456">
        <f>transport!J14</f>
        <v>0</v>
      </c>
      <c r="K9" s="456">
        <f>transport!K14</f>
        <v>0</v>
      </c>
      <c r="L9" s="456">
        <f>transport!L14</f>
        <v>0</v>
      </c>
      <c r="M9" s="456">
        <f>transport!M14</f>
        <v>10905.836325131786</v>
      </c>
      <c r="N9" s="456">
        <f>transport!N14</f>
        <v>0</v>
      </c>
      <c r="O9" s="456">
        <f>transport!O14</f>
        <v>0</v>
      </c>
      <c r="P9" s="456">
        <f>transport!P14</f>
        <v>0</v>
      </c>
      <c r="Q9" s="455">
        <f>SUM(B9:P9)</f>
        <v>197217.63165054898</v>
      </c>
    </row>
    <row r="10" spans="1:17">
      <c r="A10" s="451" t="s">
        <v>541</v>
      </c>
      <c r="B10" s="452">
        <f>transport!B54</f>
        <v>0</v>
      </c>
      <c r="C10" s="452">
        <f>transport!C54</f>
        <v>0</v>
      </c>
      <c r="D10" s="452">
        <f>transport!D54</f>
        <v>0</v>
      </c>
      <c r="E10" s="452">
        <f>transport!E54</f>
        <v>0</v>
      </c>
      <c r="F10" s="452">
        <f>transport!F54</f>
        <v>0</v>
      </c>
      <c r="G10" s="452">
        <f>transport!G54</f>
        <v>1086.8372384146876</v>
      </c>
      <c r="H10" s="452">
        <f>transport!H54</f>
        <v>0</v>
      </c>
      <c r="I10" s="452">
        <f>transport!I54</f>
        <v>0</v>
      </c>
      <c r="J10" s="452">
        <f>transport!J54</f>
        <v>0</v>
      </c>
      <c r="K10" s="452">
        <f>transport!K54</f>
        <v>0</v>
      </c>
      <c r="L10" s="452">
        <f>transport!L54</f>
        <v>0</v>
      </c>
      <c r="M10" s="452">
        <f>transport!M54</f>
        <v>60.397030225024992</v>
      </c>
      <c r="N10" s="452">
        <f>transport!N54</f>
        <v>0</v>
      </c>
      <c r="O10" s="452">
        <f>transport!O54</f>
        <v>0</v>
      </c>
      <c r="P10" s="453">
        <f>transport!P54</f>
        <v>0</v>
      </c>
      <c r="Q10" s="451">
        <f t="shared" si="0"/>
        <v>1147.2342686397126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870.00189999999998</v>
      </c>
      <c r="C14" s="459"/>
      <c r="D14" s="459">
        <f>'SEAP template'!E25</f>
        <v>1767.002189</v>
      </c>
      <c r="E14" s="459"/>
      <c r="F14" s="459"/>
      <c r="G14" s="459"/>
      <c r="H14" s="459"/>
      <c r="I14" s="459"/>
      <c r="J14" s="459"/>
      <c r="K14" s="459"/>
      <c r="L14" s="459"/>
      <c r="M14" s="459"/>
      <c r="N14" s="459"/>
      <c r="O14" s="459"/>
      <c r="P14" s="460"/>
      <c r="Q14" s="451">
        <f t="shared" si="0"/>
        <v>2637.004089</v>
      </c>
    </row>
    <row r="15" spans="1:17" s="463" customFormat="1">
      <c r="A15" s="461" t="s">
        <v>545</v>
      </c>
      <c r="B15" s="462">
        <f ca="1">SUM(B4:B14)</f>
        <v>109173.25263914533</v>
      </c>
      <c r="C15" s="462">
        <f t="shared" ref="C15:Q15" ca="1" si="1">SUM(C4:C14)</f>
        <v>1933.0714285714287</v>
      </c>
      <c r="D15" s="462">
        <f t="shared" ca="1" si="1"/>
        <v>235550.7605340739</v>
      </c>
      <c r="E15" s="462">
        <f t="shared" si="1"/>
        <v>20467.095623441932</v>
      </c>
      <c r="F15" s="462">
        <f t="shared" ca="1" si="1"/>
        <v>31512.458825034271</v>
      </c>
      <c r="G15" s="462">
        <f t="shared" si="1"/>
        <v>163796.46234350337</v>
      </c>
      <c r="H15" s="462">
        <f t="shared" si="1"/>
        <v>23062.61441528851</v>
      </c>
      <c r="I15" s="462">
        <f t="shared" si="1"/>
        <v>0</v>
      </c>
      <c r="J15" s="462">
        <f t="shared" si="1"/>
        <v>1508.0199562908517</v>
      </c>
      <c r="K15" s="462">
        <f t="shared" si="1"/>
        <v>0</v>
      </c>
      <c r="L15" s="462">
        <f t="shared" ca="1" si="1"/>
        <v>0</v>
      </c>
      <c r="M15" s="462">
        <f t="shared" si="1"/>
        <v>10966.233355356811</v>
      </c>
      <c r="N15" s="462">
        <f t="shared" ca="1" si="1"/>
        <v>16764.600906116793</v>
      </c>
      <c r="O15" s="462">
        <f t="shared" si="1"/>
        <v>558.04579527906458</v>
      </c>
      <c r="P15" s="462">
        <f t="shared" si="1"/>
        <v>347.35934068974552</v>
      </c>
      <c r="Q15" s="462">
        <f t="shared" ca="1" si="1"/>
        <v>615639.97516279214</v>
      </c>
    </row>
    <row r="17" spans="1:17">
      <c r="A17" s="464" t="s">
        <v>546</v>
      </c>
      <c r="B17" s="781">
        <f ca="1">huishoudens!B10</f>
        <v>0.19799576720776998</v>
      </c>
      <c r="C17" s="781">
        <f ca="1">huishoudens!C10</f>
        <v>0.22998102466793169</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3772.0908341508643</v>
      </c>
      <c r="C22" s="452">
        <f t="shared" ref="C22:C32" ca="1" si="3">C4*$C$17</f>
        <v>0</v>
      </c>
      <c r="D22" s="452">
        <f t="shared" ref="D22:D32" si="4">D4*$D$17</f>
        <v>9275.6525122496405</v>
      </c>
      <c r="E22" s="452">
        <f t="shared" ref="E22:E32" si="5">E4*$E$17</f>
        <v>3701.3652326789356</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16749.108579079439</v>
      </c>
    </row>
    <row r="23" spans="1:17">
      <c r="A23" s="451" t="s">
        <v>155</v>
      </c>
      <c r="B23" s="452">
        <f t="shared" ca="1" si="2"/>
        <v>5622.3868856836843</v>
      </c>
      <c r="C23" s="452">
        <f t="shared" ca="1" si="3"/>
        <v>430.22878828950934</v>
      </c>
      <c r="D23" s="452">
        <f t="shared" ca="1" si="4"/>
        <v>5222.5877742584298</v>
      </c>
      <c r="E23" s="452">
        <f t="shared" si="5"/>
        <v>87.219553452423284</v>
      </c>
      <c r="F23" s="452">
        <f t="shared" ca="1" si="6"/>
        <v>772.49436824798352</v>
      </c>
      <c r="G23" s="452">
        <f t="shared" si="7"/>
        <v>0</v>
      </c>
      <c r="H23" s="452">
        <f t="shared" si="8"/>
        <v>0</v>
      </c>
      <c r="I23" s="452">
        <f t="shared" si="9"/>
        <v>0</v>
      </c>
      <c r="J23" s="452">
        <f t="shared" si="10"/>
        <v>1.4701558023155153E-2</v>
      </c>
      <c r="K23" s="452">
        <f t="shared" si="11"/>
        <v>0</v>
      </c>
      <c r="L23" s="452">
        <f t="shared" ca="1" si="12"/>
        <v>0</v>
      </c>
      <c r="M23" s="452">
        <f t="shared" si="13"/>
        <v>0</v>
      </c>
      <c r="N23" s="452">
        <f t="shared" ca="1" si="14"/>
        <v>0</v>
      </c>
      <c r="O23" s="452">
        <f t="shared" si="15"/>
        <v>0</v>
      </c>
      <c r="P23" s="453">
        <f t="shared" si="16"/>
        <v>0</v>
      </c>
      <c r="Q23" s="451">
        <f t="shared" ref="Q23:Q31" ca="1" si="17">SUM(B23:P23)</f>
        <v>12134.932071490053</v>
      </c>
    </row>
    <row r="24" spans="1:17">
      <c r="A24" s="451" t="s">
        <v>193</v>
      </c>
      <c r="B24" s="452">
        <f t="shared" ca="1" si="2"/>
        <v>181.84446049356336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181.84446049356336</v>
      </c>
    </row>
    <row r="25" spans="1:17">
      <c r="A25" s="451" t="s">
        <v>111</v>
      </c>
      <c r="B25" s="452">
        <f t="shared" ca="1" si="2"/>
        <v>919.21615683524385</v>
      </c>
      <c r="C25" s="452">
        <f t="shared" ca="1" si="3"/>
        <v>14.340959609650309</v>
      </c>
      <c r="D25" s="452">
        <f t="shared" si="4"/>
        <v>43.869354559140007</v>
      </c>
      <c r="E25" s="452">
        <f t="shared" si="5"/>
        <v>32.890977486155165</v>
      </c>
      <c r="F25" s="452">
        <f t="shared" si="6"/>
        <v>4380.7973430318079</v>
      </c>
      <c r="G25" s="452">
        <f t="shared" si="7"/>
        <v>0</v>
      </c>
      <c r="H25" s="452">
        <f t="shared" si="8"/>
        <v>0</v>
      </c>
      <c r="I25" s="452">
        <f t="shared" si="9"/>
        <v>0</v>
      </c>
      <c r="J25" s="452">
        <f t="shared" si="10"/>
        <v>452.79074415914289</v>
      </c>
      <c r="K25" s="452">
        <f t="shared" si="11"/>
        <v>0</v>
      </c>
      <c r="L25" s="452">
        <f t="shared" si="12"/>
        <v>0</v>
      </c>
      <c r="M25" s="452">
        <f t="shared" si="13"/>
        <v>0</v>
      </c>
      <c r="N25" s="452">
        <f t="shared" si="14"/>
        <v>0</v>
      </c>
      <c r="O25" s="452">
        <f t="shared" si="15"/>
        <v>0</v>
      </c>
      <c r="P25" s="453">
        <f t="shared" si="16"/>
        <v>0</v>
      </c>
      <c r="Q25" s="451">
        <f t="shared" ca="1" si="17"/>
        <v>5843.9055356811405</v>
      </c>
    </row>
    <row r="26" spans="1:17">
      <c r="A26" s="451" t="s">
        <v>625</v>
      </c>
      <c r="B26" s="452">
        <f t="shared" ca="1" si="2"/>
        <v>10934.201237811722</v>
      </c>
      <c r="C26" s="452">
        <f t="shared" ca="1" si="3"/>
        <v>0</v>
      </c>
      <c r="D26" s="452">
        <f t="shared" si="4"/>
        <v>32633.249929219721</v>
      </c>
      <c r="E26" s="452">
        <f t="shared" si="5"/>
        <v>772.96863216506949</v>
      </c>
      <c r="F26" s="452">
        <f t="shared" si="6"/>
        <v>3260.5347950043597</v>
      </c>
      <c r="G26" s="452">
        <f t="shared" si="7"/>
        <v>0</v>
      </c>
      <c r="H26" s="452">
        <f t="shared" si="8"/>
        <v>0</v>
      </c>
      <c r="I26" s="452">
        <f t="shared" si="9"/>
        <v>0</v>
      </c>
      <c r="J26" s="452">
        <f t="shared" si="10"/>
        <v>81.033618809795485</v>
      </c>
      <c r="K26" s="452">
        <f t="shared" si="11"/>
        <v>0</v>
      </c>
      <c r="L26" s="452">
        <f t="shared" si="12"/>
        <v>0</v>
      </c>
      <c r="M26" s="452">
        <f t="shared" si="13"/>
        <v>0</v>
      </c>
      <c r="N26" s="452">
        <f t="shared" si="14"/>
        <v>0</v>
      </c>
      <c r="O26" s="452">
        <f t="shared" si="15"/>
        <v>0</v>
      </c>
      <c r="P26" s="453">
        <f t="shared" si="16"/>
        <v>0</v>
      </c>
      <c r="Q26" s="451">
        <f t="shared" ca="1" si="17"/>
        <v>47681.988213010656</v>
      </c>
    </row>
    <row r="27" spans="1:17" s="457" customFormat="1">
      <c r="A27" s="455" t="s">
        <v>551</v>
      </c>
      <c r="B27" s="775">
        <f t="shared" ca="1" si="2"/>
        <v>13.84564621748104</v>
      </c>
      <c r="C27" s="456">
        <f t="shared" ca="1" si="3"/>
        <v>0</v>
      </c>
      <c r="D27" s="456">
        <f t="shared" si="4"/>
        <v>48.959615418004269</v>
      </c>
      <c r="E27" s="456">
        <f t="shared" si="5"/>
        <v>51.586310738734618</v>
      </c>
      <c r="F27" s="456">
        <f t="shared" si="6"/>
        <v>0</v>
      </c>
      <c r="G27" s="456">
        <f t="shared" si="7"/>
        <v>43443.469903058685</v>
      </c>
      <c r="H27" s="456">
        <f t="shared" si="8"/>
        <v>5742.5909894068391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49300.452464839742</v>
      </c>
    </row>
    <row r="28" spans="1:17" ht="16.5" customHeight="1">
      <c r="A28" s="451" t="s">
        <v>541</v>
      </c>
      <c r="B28" s="452">
        <f t="shared" ca="1" si="2"/>
        <v>0</v>
      </c>
      <c r="C28" s="452">
        <f t="shared" ca="1" si="3"/>
        <v>0</v>
      </c>
      <c r="D28" s="452">
        <f t="shared" si="4"/>
        <v>0</v>
      </c>
      <c r="E28" s="452">
        <f t="shared" si="5"/>
        <v>0</v>
      </c>
      <c r="F28" s="452">
        <f t="shared" si="6"/>
        <v>0</v>
      </c>
      <c r="G28" s="452">
        <f t="shared" si="7"/>
        <v>290.18554265672162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290.18554265672162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172.25669366271757</v>
      </c>
      <c r="C32" s="452">
        <f t="shared" ca="1" si="3"/>
        <v>0</v>
      </c>
      <c r="D32" s="452">
        <f t="shared" si="4"/>
        <v>356.93444217800004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529.19113584071761</v>
      </c>
    </row>
    <row r="33" spans="1:17" s="463" customFormat="1">
      <c r="A33" s="461" t="s">
        <v>545</v>
      </c>
      <c r="B33" s="462">
        <f ca="1">SUM(B22:B32)</f>
        <v>21615.841914855278</v>
      </c>
      <c r="C33" s="462">
        <f t="shared" ref="C33:Q33" ca="1" si="19">SUM(C22:C32)</f>
        <v>444.56974789915967</v>
      </c>
      <c r="D33" s="462">
        <f t="shared" ca="1" si="19"/>
        <v>47581.253627882928</v>
      </c>
      <c r="E33" s="462">
        <f t="shared" si="19"/>
        <v>4646.0307065213183</v>
      </c>
      <c r="F33" s="462">
        <f t="shared" ca="1" si="19"/>
        <v>8413.826506284151</v>
      </c>
      <c r="G33" s="462">
        <f t="shared" si="19"/>
        <v>43733.655445715405</v>
      </c>
      <c r="H33" s="462">
        <f t="shared" si="19"/>
        <v>5742.5909894068391</v>
      </c>
      <c r="I33" s="462">
        <f t="shared" si="19"/>
        <v>0</v>
      </c>
      <c r="J33" s="462">
        <f t="shared" si="19"/>
        <v>533.83906452696147</v>
      </c>
      <c r="K33" s="462">
        <f t="shared" si="19"/>
        <v>0</v>
      </c>
      <c r="L33" s="462">
        <f t="shared" ca="1" si="19"/>
        <v>0</v>
      </c>
      <c r="M33" s="462">
        <f t="shared" si="19"/>
        <v>0</v>
      </c>
      <c r="N33" s="462">
        <f t="shared" ca="1" si="19"/>
        <v>0</v>
      </c>
      <c r="O33" s="462">
        <f t="shared" si="19"/>
        <v>0</v>
      </c>
      <c r="P33" s="462">
        <f t="shared" si="19"/>
        <v>0</v>
      </c>
      <c r="Q33" s="462">
        <f t="shared" ca="1" si="19"/>
        <v>132711.60800309203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11419.002678394812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43.65</v>
      </c>
      <c r="C8" s="1029">
        <f>'SEAP template'!C76</f>
        <v>1309.5000000000002</v>
      </c>
      <c r="D8" s="1029">
        <f>'SEAP template'!D76</f>
        <v>1540.5882352941176</v>
      </c>
      <c r="E8" s="1029">
        <f>'SEAP template'!E76</f>
        <v>0</v>
      </c>
      <c r="F8" s="1029">
        <f>'SEAP template'!F76</f>
        <v>0</v>
      </c>
      <c r="G8" s="1029">
        <f>'SEAP template'!G76</f>
        <v>0</v>
      </c>
      <c r="H8" s="1029">
        <f>'SEAP template'!H76</f>
        <v>0</v>
      </c>
      <c r="I8" s="1029">
        <f>'SEAP template'!I76</f>
        <v>0</v>
      </c>
      <c r="J8" s="1029">
        <f>'SEAP template'!J76</f>
        <v>51.35294117647058</v>
      </c>
      <c r="K8" s="1029">
        <f>'SEAP template'!K76</f>
        <v>0</v>
      </c>
      <c r="L8" s="1029">
        <f>'SEAP template'!L76</f>
        <v>0</v>
      </c>
      <c r="M8" s="1029">
        <f>'SEAP template'!M76</f>
        <v>0</v>
      </c>
      <c r="N8" s="1029">
        <f>'SEAP template'!N76</f>
        <v>0</v>
      </c>
      <c r="O8" s="1029">
        <f>'SEAP template'!O76</f>
        <v>0</v>
      </c>
      <c r="P8" s="1030">
        <f>'SEAP template'!Q76</f>
        <v>311.19882352941175</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11462.652678394812</v>
      </c>
      <c r="C10" s="1031">
        <f>SUM(C4:C9)</f>
        <v>1309.5000000000002</v>
      </c>
      <c r="D10" s="1031">
        <f t="shared" ref="D10:H10" si="0">SUM(D8:D9)</f>
        <v>1540.5882352941176</v>
      </c>
      <c r="E10" s="1031">
        <f t="shared" si="0"/>
        <v>0</v>
      </c>
      <c r="F10" s="1031">
        <f t="shared" si="0"/>
        <v>0</v>
      </c>
      <c r="G10" s="1031">
        <f t="shared" si="0"/>
        <v>0</v>
      </c>
      <c r="H10" s="1031">
        <f t="shared" si="0"/>
        <v>0</v>
      </c>
      <c r="I10" s="1031">
        <f>SUM(I8:I9)</f>
        <v>0</v>
      </c>
      <c r="J10" s="1031">
        <f>SUM(J8:J9)</f>
        <v>51.35294117647058</v>
      </c>
      <c r="K10" s="1031">
        <f t="shared" ref="K10:L10" si="1">SUM(K8:K9)</f>
        <v>0</v>
      </c>
      <c r="L10" s="1031">
        <f t="shared" si="1"/>
        <v>0</v>
      </c>
      <c r="M10" s="1031">
        <f>SUM(M8:M9)</f>
        <v>0</v>
      </c>
      <c r="N10" s="1031">
        <f>SUM(N8:N9)</f>
        <v>0</v>
      </c>
      <c r="O10" s="1031">
        <f>SUM(O8:O9)</f>
        <v>0</v>
      </c>
      <c r="P10" s="1031">
        <f>SUM(P8:P9)</f>
        <v>311.19882352941175</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0.19799576720776998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62.357142857142847</v>
      </c>
      <c r="C17" s="1032">
        <f>'SEAP template'!C87</f>
        <v>1870.7142857142858</v>
      </c>
      <c r="D17" s="1030">
        <f>'SEAP template'!D87</f>
        <v>2200.8403361344535</v>
      </c>
      <c r="E17" s="1030">
        <f>'SEAP template'!E87</f>
        <v>0</v>
      </c>
      <c r="F17" s="1030">
        <f>'SEAP template'!F87</f>
        <v>0</v>
      </c>
      <c r="G17" s="1030">
        <f>'SEAP template'!G87</f>
        <v>0</v>
      </c>
      <c r="H17" s="1030">
        <f>'SEAP template'!H87</f>
        <v>0</v>
      </c>
      <c r="I17" s="1030">
        <f>'SEAP template'!I87</f>
        <v>0</v>
      </c>
      <c r="J17" s="1030">
        <f>'SEAP template'!J87</f>
        <v>73.3613445378151</v>
      </c>
      <c r="K17" s="1030">
        <f>'SEAP template'!K87</f>
        <v>0</v>
      </c>
      <c r="L17" s="1030">
        <f>'SEAP template'!L87</f>
        <v>0</v>
      </c>
      <c r="M17" s="1030">
        <f>'SEAP template'!M87</f>
        <v>0</v>
      </c>
      <c r="N17" s="1030">
        <f>'SEAP template'!N87</f>
        <v>0</v>
      </c>
      <c r="O17" s="1030">
        <f>'SEAP template'!O87</f>
        <v>0</v>
      </c>
      <c r="P17" s="1030">
        <f>'SEAP template'!Q87</f>
        <v>444.56974789915967</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62.357142857142847</v>
      </c>
      <c r="C20" s="1031">
        <f>SUM(C17:C19)</f>
        <v>1870.7142857142858</v>
      </c>
      <c r="D20" s="1031">
        <f t="shared" ref="D20:H20" si="2">SUM(D17:D19)</f>
        <v>2200.8403361344535</v>
      </c>
      <c r="E20" s="1031">
        <f t="shared" si="2"/>
        <v>0</v>
      </c>
      <c r="F20" s="1031">
        <f t="shared" si="2"/>
        <v>0</v>
      </c>
      <c r="G20" s="1031">
        <f t="shared" si="2"/>
        <v>0</v>
      </c>
      <c r="H20" s="1031">
        <f t="shared" si="2"/>
        <v>0</v>
      </c>
      <c r="I20" s="1031">
        <f>SUM(I17:I19)</f>
        <v>0</v>
      </c>
      <c r="J20" s="1031">
        <f>SUM(J17:J19)</f>
        <v>73.3613445378151</v>
      </c>
      <c r="K20" s="1031">
        <f t="shared" ref="K20:L20" si="3">SUM(K17:K19)</f>
        <v>0</v>
      </c>
      <c r="L20" s="1031">
        <f t="shared" si="3"/>
        <v>0</v>
      </c>
      <c r="M20" s="1031">
        <f>SUM(M17:M19)</f>
        <v>0</v>
      </c>
      <c r="N20" s="1031">
        <f>SUM(N17:N19)</f>
        <v>0</v>
      </c>
      <c r="O20" s="1031">
        <f>SUM(O17:O19)</f>
        <v>0</v>
      </c>
      <c r="P20" s="1031">
        <f>SUM(P17:P19)</f>
        <v>444.56974789915967</v>
      </c>
    </row>
    <row r="21" spans="1:16">
      <c r="B21" s="887"/>
    </row>
    <row r="22" spans="1:16">
      <c r="A22" s="464" t="s">
        <v>797</v>
      </c>
      <c r="B22" s="781" t="s">
        <v>795</v>
      </c>
      <c r="C22" s="781">
        <f ca="1">'EF ele_warmte'!B22</f>
        <v>0.22998102466793169</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0.19799576720776998</v>
      </c>
      <c r="C17" s="501">
        <f ca="1">'EF ele_warmte'!B22</f>
        <v>0.22998102466793169</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1</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19.066666666666666</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2020-06-20T15:34:39Z</dcterms:modified>
</cp:coreProperties>
</file>