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I76" i="14"/>
  <c r="I8" i="59" s="1"/>
  <c r="I10" i="59" s="1"/>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<sst xmlns="http://schemas.openxmlformats.org/spreadsheetml/2006/main" count="2402" uniqueCount="888">
  <si>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</si>
  <si>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</si>
  <si>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</si>
  <si>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</si>
  <si>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</si>
  <si>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</si>
  <si>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</si>
  <si>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</si>
  <si>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</si>
  <si>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</si>
  <si>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</si>
  <si>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</si>
  <si>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</si>
  <si>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</si>
  <si>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</si>
  <si>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</si>
  <si>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</si>
  <si>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</si>
  <si>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</si>
  <si>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</si>
  <si>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</si>
  <si>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</si>
  <si>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</si>
  <si>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</si>
  <si>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</si>
  <si>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</si>
  <si>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</si>
  <si>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</si>
  <si>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</si>
  <si>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</si>
  <si>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</si>
  <si>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</si>
  <si>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</si>
  <si>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</si>
  <si>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</si>
  <si>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</si>
  <si>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</si>
  <si>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</si>
  <si>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</si>
  <si>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</si>
  <si>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</si>
  <si>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</si>
  <si>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</si>
  <si>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</si>
  <si>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</si>
  <si>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</si>
  <si>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</si>
  <si>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</si>
  <si>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</si>
  <si>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</si>
  <si>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</si>
  <si>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</si>
  <si>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</si>
  <si>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</si>
  <si>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</si>
  <si>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</si>
  <si>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</si>
  <si>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</si>
  <si>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</si>
  <si>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</si>
  <si>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</si>
  <si>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</si>
  <si>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</si>
  <si>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</si>
  <si>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</si>
  <si>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</si>
  <si>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</si>
  <si>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</si>
  <si>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</si>
  <si>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</si>
  <si>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</si>
  <si>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</si>
  <si>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</si>
  <si>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</si>
  <si>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</si>
  <si>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</si>
  <si>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</si>
  <si>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</si>
  <si>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</si>
  <si>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</si>
  <si>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</si>
  <si>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</si>
  <si>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</si>
  <si>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</si>
  <si>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</si>
  <si>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</si>
  <si>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</si>
  <si>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</si>
  <si>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</si>
  <si>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</si>
  <si>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</si>
  <si>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</si>
  <si>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</si>
  <si>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</si>
  <si>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</si>
  <si>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</si>
  <si>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</si>
  <si>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</si>
  <si>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</si>
  <si>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</si>
  <si>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</si>
  <si>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</si>
  <si>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</si>
  <si>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</si>
  <si>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</si>
  <si>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</si>
  <si>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</si>
  <si>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</si>
  <si>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</si>
  <si>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</si>
  <si>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</si>
  <si>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</si>
  <si>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</si>
  <si>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</si>
  <si>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</si>
  <si>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</si>
  <si>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</si>
  <si>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</si>
  <si>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</si>
  <si>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</si>
  <si>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</si>
  <si>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</si>
  <si>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</si>
  <si>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</si>
  <si>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</si>
  <si>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</si>
  <si>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</si>
  <si>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</si>
  <si>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</si>
  <si>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</si>
  <si>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</si>
  <si>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</si>
  <si>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</si>
  <si>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</si>
  <si>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</si>
  <si>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</si>
  <si>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</si>
  <si>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</si>
  <si>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</si>
  <si>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</si>
  <si>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</si>
  <si>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</si>
  <si>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</si>
  <si>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</si>
  <si>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</si>
  <si>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</si>
  <si>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</si>
  <si>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</si>
  <si>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</si>
  <si>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</si>
  <si>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</si>
  <si>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</si>
  <si>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</si>
  <si>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</si>
  <si>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</si>
  <si>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</si>
  <si>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</si>
  <si>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</si>
  <si>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</si>
  <si>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</si>
  <si>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</si>
  <si>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</si>
  <si>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</si>
  <si>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</si>
  <si>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</si>
  <si>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</si>
  <si>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</si>
  <si>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</si>
  <si>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</si>
  <si>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</si>
  <si>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</si>
  <si>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</si>
  <si>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</si>
  <si>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</si>
  <si>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</si>
  <si>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</si>
  <si>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</si>
  <si>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</si>
  <si>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</si>
  <si>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</si>
  <si>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</si>
  <si>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</si>
  <si>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</si>
  <si>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</si>
  <si>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</si>
  <si>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</si>
  <si>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</si>
  <si>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</si>
  <si>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</si>
  <si>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</si>
  <si>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</si>
  <si>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</si>
  <si>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</si>
  <si>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</si>
  <si>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</si>
  <si>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</si>
  <si>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</si>
  <si>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</si>
  <si>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</si>
  <si>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</si>
  <si>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</si>
  <si>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</si>
  <si>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</si>
  <si>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</si>
  <si>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</si>
  <si>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</si>
  <si>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</si>
  <si>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</si>
  <si>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</si>
  <si>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</si>
  <si>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</si>
  <si>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</si>
  <si>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</si>
  <si>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</si>
  <si>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</si>
  <si>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</si>
  <si>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</si>
  <si>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</si>
  <si>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</si>
  <si>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</si>
  <si>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</si>
  <si>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</si>
  <si>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</si>
  <si>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</si>
  <si>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</si>
  <si>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</si>
  <si>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</si>
  <si>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</si>
  <si>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</si>
  <si>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</si>
  <si>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</si>
  <si>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</si>
  <si>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</si>
  <si>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</si>
  <si>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</si>
  <si>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</si>
  <si>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</si>
  <si>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</si>
  <si>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</si>
  <si>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</si>
  <si>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</si>
  <si>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</si>
  <si>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</si>
  <si>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</si>
  <si>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</si>
  <si>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</si>
  <si>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</si>
  <si>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</si>
  <si>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</si>
  <si>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</si>
  <si>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</si>
  <si>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</si>
  <si>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</si>
  <si>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</si>
  <si>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</si>
  <si>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</si>
  <si>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</si>
  <si>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</si>
  <si>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</si>
  <si>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</si>
  <si>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</si>
  <si>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</si>
  <si>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</si>
  <si>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</si>
  <si>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</si>
  <si>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</si>
  <si>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</si>
  <si>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</si>
  <si>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</si>
  <si>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</si>
  <si>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</si>
  <si>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</si>
  <si>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</si>
  <si>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</si>
  <si>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</si>
  <si>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</si>
  <si>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</si>
  <si>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</si>
  <si>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</si>
  <si>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</si>
  <si>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</si>
  <si>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</si>
  <si>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</si>
  <si>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</si>
  <si>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</si>
  <si>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</si>
  <si>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</si>
  <si>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</si>
  <si>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</si>
  <si>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</si>
  <si>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</si>
  <si>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</si>
  <si>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</si>
  <si>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</si>
  <si>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</si>
  <si>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</si>
  <si>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</si>
  <si>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</si>
  <si>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</si>
  <si>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</si>
  <si>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</si>
  <si>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</si>
  <si>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</si>
  <si>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</si>
  <si>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</si>
  <si>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</si>
  <si>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</si>
  <si>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</si>
  <si>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</si>
  <si>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</si>
  <si>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</si>
  <si>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</si>
  <si>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</si>
  <si>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</si>
  <si>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</si>
  <si>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</si>
  <si>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</si>
  <si>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</si>
  <si>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</si>
  <si>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</si>
  <si>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</si>
  <si>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</si>
  <si>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</si>
  <si>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</si>
  <si>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</si>
  <si>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</si>
  <si>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</si>
  <si>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</si>
  <si>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</si>
  <si>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</si>
  <si>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</si>
  <si>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</si>
  <si>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</si>
  <si>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</si>
  <si>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</si>
  <si>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</si>
  <si>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</si>
  <si>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</si>
  <si>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</si>
  <si>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</si>
  <si>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</si>
  <si>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</si>
  <si>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</si>
  <si>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</si>
  <si>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</si>
  <si>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</si>
  <si>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</si>
  <si>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</si>
  <si>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</si>
  <si>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</si>
  <si>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</si>
  <si>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</si>
  <si>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</si>
  <si>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</si>
  <si>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</si>
  <si>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</si>
  <si>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</si>
  <si>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</si>
  <si>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</si>
  <si>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</si>
  <si>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</si>
  <si>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</si>
  <si>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</si>
  <si>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</si>
  <si>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</si>
  <si>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</si>
  <si>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</si>
  <si>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</si>
  <si>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</si>
  <si>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</si>
  <si>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</si>
  <si>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</si>
  <si>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</si>
  <si>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</si>
  <si>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</si>
  <si>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</si>
  <si>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</si>
  <si>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</si>
  <si>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</si>
  <si>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</si>
  <si>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</si>
  <si>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</si>
  <si>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</si>
  <si>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</si>
  <si>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</si>
  <si>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</si>
  <si>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</si>
  <si>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</si>
  <si>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</si>
  <si>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</si>
  <si>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</si>
  <si>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</si>
  <si>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</si>
  <si>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</si>
  <si>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</si>
  <si>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</si>
  <si>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</si>
  <si>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</si>
  <si>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</si>
  <si>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</si>
  <si>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</si>
  <si>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</si>
  <si>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</si>
  <si>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</si>
  <si>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</si>
  <si>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</si>
  <si>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</si>
  <si>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</si>
  <si>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</si>
  <si>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</si>
  <si>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</si>
  <si>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</si>
  <si>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</si>
  <si>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</si>
  <si>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</si>
  <si>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</si>
  <si>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</si>
  <si>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</si>
  <si>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</si>
  <si>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</si>
  <si>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</si>
  <si>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</si>
  <si>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</si>
  <si>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</si>
  <si>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</si>
  <si>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</si>
  <si>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</si>
  <si>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</si>
  <si>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</si>
  <si>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</si>
  <si>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</si>
  <si>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</si>
  <si>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</si>
  <si>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</si>
  <si>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</si>
  <si>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</si>
  <si>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</si>
  <si>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</si>
  <si>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</si>
  <si>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</si>
  <si>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</si>
  <si>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</si>
  <si>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</si>
  <si>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</si>
  <si>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</si>
  <si>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</si>
  <si>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</si>
  <si>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</si>
  <si>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</si>
  <si>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</si>
  <si>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</si>
  <si>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</si>
  <si>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</si>
  <si>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</si>
  <si>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</si>
  <si>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</si>
  <si>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</si>
  <si>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</si>
  <si>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</si>
  <si>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</si>
  <si>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</si>
  <si>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</si>
  <si>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</si>
  <si>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</si>
  <si>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</si>
  <si>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</si>
  <si>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</si>
  <si>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</si>
  <si>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</si>
  <si>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</si>
  <si>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</si>
  <si>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</si>
  <si>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</si>
  <si>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</si>
  <si>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</si>
  <si>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</si>
  <si>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</si>
  <si>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</si>
  <si>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</si>
  <si>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</si>
  <si>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</si>
  <si>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</si>
  <si>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</si>
  <si>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</si>
  <si>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</si>
  <si>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</si>
  <si>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</si>
  <si>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</si>
  <si>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</si>
  <si>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</si>
  <si>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</si>
  <si>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</si>
  <si>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</si>
  <si>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</si>
  <si>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</si>
  <si>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</si>
  <si>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</si>
  <si>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</si>
  <si>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</si>
  <si>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</si>
  <si>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</si>
  <si>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</si>
  <si>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</si>
  <si>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</si>
  <si>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</si>
  <si>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</si>
  <si>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</si>
  <si>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</si>
  <si>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</si>
  <si>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</si>
  <si>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</si>
  <si>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</si>
  <si>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</si>
  <si>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</si>
  <si>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</si>
  <si>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</si>
  <si>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</si>
  <si>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</si>
  <si>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</si>
  <si>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</si>
  <si>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</si>
  <si>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</si>
  <si>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</si>
  <si>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</si>
  <si>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</si>
  <si>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</si>
  <si>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</si>
  <si>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</si>
  <si>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</si>
  <si>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</si>
  <si>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</si>
  <si>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</si>
  <si>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</si>
  <si>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</si>
  <si>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</si>
  <si>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</si>
  <si>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</si>
  <si>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</si>
  <si>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</si>
  <si>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</si>
  <si>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</si>
  <si>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</si>
  <si>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</si>
  <si>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</si>
  <si>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</si>
  <si>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</si>
  <si>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</si>
  <si>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</si>
  <si>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</si>
  <si>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</si>
  <si>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</si>
  <si>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</si>
  <si>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</si>
  <si>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</si>
  <si>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</si>
  <si>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</si>
  <si>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</si>
  <si>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</si>
  <si>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</si>
  <si>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</si>
  <si>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</si>
  <si>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</si>
  <si>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</si>
  <si>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</si>
  <si>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</si>
  <si>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</si>
  <si>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</si>
  <si>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</si>
  <si>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</si>
  <si>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</si>
  <si>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</si>
  <si>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</si>
  <si>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</si>
  <si>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</si>
  <si>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</si>
  <si>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</si>
  <si>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</si>
  <si>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</si>
  <si>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</si>
  <si>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</si>
  <si>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</si>
  <si>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</si>
  <si>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</si>
  <si>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</si>
  <si>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</si>
  <si>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</si>
  <si>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</si>
  <si>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</si>
  <si>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</si>
  <si>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</si>
  <si>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</si>
  <si>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</si>
  <si>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</si>
  <si>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</si>
  <si>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</si>
  <si>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</si>
  <si>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</si>
  <si>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</si>
  <si>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</si>
  <si>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</si>
  <si>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</si>
  <si>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</si>
  <si>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</si>
  <si>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</si>
  <si>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</si>
  <si>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</si>
  <si>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</si>
  <si>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</si>
  <si>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</si>
  <si>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</si>
  <si>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</si>
  <si>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</si>
  <si>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</si>
  <si>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</si>
  <si>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</si>
  <si>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</si>
  <si>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</si>
  <si>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</si>
  <si>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</si>
  <si>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</si>
  <si>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</si>
  <si>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</si>
  <si>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</si>
  <si>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</si>
  <si>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</si>
  <si>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</si>
  <si>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</si>
  <si>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</si>
  <si>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</si>
  <si>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</si>
  <si>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</si>
  <si>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</si>
  <si>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</si>
  <si>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</si>
  <si>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</si>
  <si>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</si>
  <si>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</si>
  <si>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</si>
  <si>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</si>
  <si>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</si>
  <si>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</si>
  <si>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</si>
  <si>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</si>
  <si>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</si>
  <si>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</si>
  <si>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</si>
  <si>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</si>
  <si>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</si>
  <si>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</si>
  <si>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</si>
  <si>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</si>
  <si>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</si>
  <si>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</si>
  <si>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</si>
  <si>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</si>
  <si>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</si>
  <si>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</si>
  <si>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</si>
  <si>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</si>
  <si>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</si>
  <si>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</si>
  <si>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</si>
  <si>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</si>
  <si>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</si>
  <si>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</si>
  <si>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</si>
  <si>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</si>
  <si>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</si>
  <si>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</si>
  <si>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</si>
  <si>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</si>
  <si>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</si>
  <si>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</si>
  <si>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</si>
  <si>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</si>
  <si>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</si>
  <si>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</si>
  <si>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</si>
  <si>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</si>
  <si>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</si>
  <si>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</si>
  <si>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</si>
  <si>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</si>
  <si>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</si>
  <si>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</si>
  <si>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</si>
  <si>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</si>
  <si>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</si>
  <si>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</si>
  <si>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</si>
  <si>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</si>
  <si>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</si>
  <si>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</si>
  <si>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</si>
  <si>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</si>
  <si>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</si>
  <si>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</si>
  <si>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</si>
  <si>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</si>
  <si>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</si>
  <si>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</si>
  <si>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</si>
  <si>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</si>
  <si>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</si>
  <si>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</si>
  <si>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</si>
  <si>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</si>
  <si>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</si>
  <si>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</si>
  <si>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</si>
  <si>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</si>
  <si>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</si>
  <si>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</si>
  <si>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</si>
  <si>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</si>
  <si>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</si>
  <si>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</si>
  <si>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</si>
  <si>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</si>
  <si>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</si>
  <si>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</si>
  <si>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</si>
  <si>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</si>
  <si>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</si>
  <si>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</si>
  <si>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</si>
  <si>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</si>
  <si>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</si>
  <si>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</si>
  <si>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</si>
  <si>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</si>
  <si>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</si>
  <si>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</si>
  <si>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</si>
  <si>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</si>
  <si>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</si>
  <si>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</si>
  <si>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</si>
  <si>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</si>
  <si>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</si>
  <si>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</si>
  <si>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</si>
  <si>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</si>
  <si>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</si>
  <si>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</si>
  <si>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</si>
  <si>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</si>
  <si>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</si>
  <si>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</si>
  <si>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</si>
  <si>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</si>
  <si>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</si>
  <si>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</si>
  <si>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</si>
  <si>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</si>
  <si>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</si>
  <si>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</si>
  <si>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</si>
  <si>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</si>
  <si>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</si>
  <si>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</si>
  <si>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</si>
  <si>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</si>
  <si>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</si>
  <si>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</si>
  <si>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</si>
  <si>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</si>
  <si>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</si>
  <si>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</si>
  <si>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</si>
  <si>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</si>
  <si>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</si>
  <si>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</si>
  <si>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</si>
  <si>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</si>
  <si>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</si>
  <si>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</si>
  <si>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</si>
  <si>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</si>
  <si>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</si>
  <si>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</si>
  <si>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</si>
  <si>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</si>
  <si>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</si>
  <si>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</si>
  <si>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</si>
  <si>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</si>
  <si>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</si>
  <si>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</si>
  <si>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</si>
  <si>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</si>
  <si>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</si>
  <si>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</si>
  <si>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</si>
  <si>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</si>
  <si>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</si>
  <si>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</si>
  <si>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</si>
  <si>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</si>
  <si>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</si>
  <si>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</si>
  <si>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</si>
  <si>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</si>
  <si>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</si>
  <si>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</si>
  <si>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</si>
  <si>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</si>
  <si>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</si>
  <si>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</si>
  <si>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</si>
  <si>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</si>
  <si>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</si>
  <si>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</si>
  <si>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</si>
  <si>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</si>
  <si>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</si>
  <si>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</si>
  <si>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</si>
  <si>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</si>
  <si>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</si>
  <si>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</si>
  <si>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</si>
  <si>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</si>
  <si>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</si>
  <si>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</si>
  <si>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</si>
  <si>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</si>
  <si>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</si>
  <si>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</si>
  <si>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</si>
  <si>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</si>
  <si>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</si>
  <si>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</si>
  <si>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</si>
  <si>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</si>
  <si>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</si>
  <si>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</si>
  <si>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</si>
  <si>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</si>
  <si>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</si>
  <si>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</si>
  <si>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</si>
  <si>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</si>
  <si>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</si>
  <si>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</si>
  <si>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</si>
  <si>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</si>
  <si>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</si>
  <si>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</si>
  <si>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</si>
  <si>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</si>
  <si>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</si>
  <si>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</si>
  <si>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</si>
  <si>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</si>
  <si>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</si>
  <si>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</si>
  <si>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</si>
  <si>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</si>
  <si>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</si>
  <si>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</si>
  <si>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</si>
  <si>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</si>
  <si>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</si>
  <si>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</si>
  <si>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</si>
  <si>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</si>
  <si>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</si>
  <si>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</si>
  <si>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</si>
  <si>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</si>
  <si>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</si>
  <si>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</si>
  <si>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</si>
  <si>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</si>
  <si>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</si>
  <si>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</si>
  <si>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</si>
  <si>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</si>
  <si>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</si>
  <si>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</si>
  <si>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</si>
  <si>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</si>
  <si>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</si>
  <si>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</si>
  <si>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38008</t>
  </si>
  <si>
    <t>DE_PANNE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</si>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</sst>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77280.172543296329</c:v>
                </c:pt>
                <c:pt idx="1">
                  <c:v>67442.872805228777</c:v>
                </c:pt>
                <c:pt idx="2">
                  <c:v>1461.5709999999999</c:v>
                </c:pt>
                <c:pt idx="3">
                  <c:v>3131.3314209991336</c:v>
                </c:pt>
                <c:pt idx="4">
                  <c:v>4335.6354454041493</c:v>
                </c:pt>
                <c:pt idx="5">
                  <c:v>86116.127464129459</c:v>
                </c:pt>
                <c:pt idx="6">
                  <c:v>949.75287833135667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77280.172543296329</c:v>
                </c:pt>
                <c:pt idx="1">
                  <c:v>67442.872805228777</c:v>
                </c:pt>
                <c:pt idx="2">
                  <c:v>1461.5709999999999</c:v>
                </c:pt>
                <c:pt idx="3">
                  <c:v>3131.3314209991336</c:v>
                </c:pt>
                <c:pt idx="4">
                  <c:v>4335.6354454041493</c:v>
                </c:pt>
                <c:pt idx="5">
                  <c:v>86116.127464129459</c:v>
                </c:pt>
                <c:pt idx="6">
                  <c:v>949.75287833135667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15845.126593109875</c:v>
                </c:pt>
                <c:pt idx="1">
                  <c:v>13861.750154174882</c:v>
                </c:pt>
                <c:pt idx="2">
                  <c:v>314.01863641353918</c:v>
                </c:pt>
                <c:pt idx="3">
                  <c:v>814.53326031495817</c:v>
                </c:pt>
                <c:pt idx="4">
                  <c:v>929.84529324760467</c:v>
                </c:pt>
                <c:pt idx="5">
                  <c:v>21547.597710928956</c:v>
                </c:pt>
                <c:pt idx="6">
                  <c:v>210.18533881609929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15845.126593109875</c:v>
                </c:pt>
                <c:pt idx="1">
                  <c:v>13861.750154174882</c:v>
                </c:pt>
                <c:pt idx="2">
                  <c:v>314.01863641353918</c:v>
                </c:pt>
                <c:pt idx="3">
                  <c:v>814.53326031495817</c:v>
                </c:pt>
                <c:pt idx="4">
                  <c:v>929.84529324760467</c:v>
                </c:pt>
                <c:pt idx="5">
                  <c:v>21547.597710928956</c:v>
                </c:pt>
                <c:pt idx="6">
                  <c:v>210.18533881609929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38008</v>
      </c>
      <c r="B6" s="390"/>
      <c r="C6" s="391"/>
    </row>
    <row r="7" spans="1:7" s="388" customFormat="1" ht="15.75" customHeight="1">
      <c r="A7" s="392" t="str">
        <f>txtMunicipality</f>
        <v>DE_PANNE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0.21485007325236968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0.21485007325236968</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5536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1348.2</v>
      </c>
      <c r="C14" s="330"/>
      <c r="D14" s="330"/>
      <c r="E14" s="330"/>
      <c r="F14" s="330"/>
    </row>
    <row r="15" spans="1:6">
      <c r="A15" s="1298" t="s">
        <v>183</v>
      </c>
      <c r="B15" s="1299">
        <v>16</v>
      </c>
      <c r="C15" s="330"/>
      <c r="D15" s="330"/>
      <c r="E15" s="330"/>
      <c r="F15" s="330"/>
    </row>
    <row r="16" spans="1:6">
      <c r="A16" s="1298" t="s">
        <v>6</v>
      </c>
      <c r="B16" s="1299">
        <v>887</v>
      </c>
      <c r="C16" s="330"/>
      <c r="D16" s="330"/>
      <c r="E16" s="330"/>
      <c r="F16" s="330"/>
    </row>
    <row r="17" spans="1:6">
      <c r="A17" s="1298" t="s">
        <v>7</v>
      </c>
      <c r="B17" s="1299">
        <v>54</v>
      </c>
      <c r="C17" s="330"/>
      <c r="D17" s="330"/>
      <c r="E17" s="330"/>
      <c r="F17" s="330"/>
    </row>
    <row r="18" spans="1:6">
      <c r="A18" s="1298" t="s">
        <v>8</v>
      </c>
      <c r="B18" s="1299">
        <v>349</v>
      </c>
      <c r="C18" s="330"/>
      <c r="D18" s="330"/>
      <c r="E18" s="330"/>
      <c r="F18" s="330"/>
    </row>
    <row r="19" spans="1:6">
      <c r="A19" s="1298" t="s">
        <v>9</v>
      </c>
      <c r="B19" s="1299">
        <v>373</v>
      </c>
      <c r="C19" s="330"/>
      <c r="D19" s="330"/>
      <c r="E19" s="330"/>
      <c r="F19" s="330"/>
    </row>
    <row r="20" spans="1:6">
      <c r="A20" s="1298" t="s">
        <v>10</v>
      </c>
      <c r="B20" s="1299">
        <v>236</v>
      </c>
      <c r="C20" s="330"/>
      <c r="D20" s="330"/>
      <c r="E20" s="330"/>
      <c r="F20" s="330"/>
    </row>
    <row r="21" spans="1:6">
      <c r="A21" s="1298" t="s">
        <v>11</v>
      </c>
      <c r="B21" s="1299">
        <v>1882</v>
      </c>
      <c r="C21" s="330"/>
      <c r="D21" s="330"/>
      <c r="E21" s="330"/>
      <c r="F21" s="330"/>
    </row>
    <row r="22" spans="1:6">
      <c r="A22" s="1298" t="s">
        <v>12</v>
      </c>
      <c r="B22" s="1299">
        <v>74</v>
      </c>
      <c r="C22" s="330"/>
      <c r="D22" s="330"/>
      <c r="E22" s="330"/>
      <c r="F22" s="330"/>
    </row>
    <row r="23" spans="1:6">
      <c r="A23" s="1298" t="s">
        <v>13</v>
      </c>
      <c r="B23" s="1299">
        <v>0</v>
      </c>
      <c r="C23" s="330"/>
      <c r="D23" s="330"/>
      <c r="E23" s="330"/>
      <c r="F23" s="330"/>
    </row>
    <row r="24" spans="1:6">
      <c r="A24" s="1298" t="s">
        <v>14</v>
      </c>
      <c r="B24" s="1299">
        <v>4</v>
      </c>
      <c r="C24" s="330"/>
      <c r="D24" s="330"/>
      <c r="E24" s="330"/>
      <c r="F24" s="330"/>
    </row>
    <row r="25" spans="1:6">
      <c r="A25" s="1298" t="s">
        <v>15</v>
      </c>
      <c r="B25" s="1299">
        <v>497</v>
      </c>
      <c r="C25" s="330"/>
      <c r="D25" s="330"/>
      <c r="E25" s="330"/>
      <c r="F25" s="330"/>
    </row>
    <row r="26" spans="1:6">
      <c r="A26" s="1298" t="s">
        <v>16</v>
      </c>
      <c r="B26" s="1299">
        <v>42</v>
      </c>
      <c r="C26" s="330"/>
      <c r="D26" s="330"/>
      <c r="E26" s="330"/>
      <c r="F26" s="330"/>
    </row>
    <row r="27" spans="1:6">
      <c r="A27" s="1298" t="s">
        <v>17</v>
      </c>
      <c r="B27" s="1299">
        <v>0</v>
      </c>
      <c r="C27" s="330"/>
      <c r="D27" s="330"/>
      <c r="E27" s="330"/>
      <c r="F27" s="330"/>
    </row>
    <row r="28" spans="1:6" s="43" customFormat="1">
      <c r="A28" s="1300" t="s">
        <v>18</v>
      </c>
      <c r="B28" s="1301">
        <v>32100</v>
      </c>
      <c r="C28" s="336"/>
      <c r="D28" s="336"/>
      <c r="E28" s="336"/>
      <c r="F28" s="336"/>
    </row>
    <row r="29" spans="1:6">
      <c r="A29" s="1300" t="s">
        <v>705</v>
      </c>
      <c r="B29" s="1301">
        <v>143</v>
      </c>
      <c r="C29" s="336"/>
      <c r="D29" s="336"/>
      <c r="E29" s="336"/>
      <c r="F29" s="336"/>
    </row>
    <row r="30" spans="1:6">
      <c r="A30" s="1293" t="s">
        <v>706</v>
      </c>
      <c r="B30" s="1302">
        <v>92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6</v>
      </c>
      <c r="F36" s="1299">
        <v>19520.741999999998</v>
      </c>
    </row>
    <row r="37" spans="1:6">
      <c r="A37" s="1298" t="s">
        <v>24</v>
      </c>
      <c r="B37" s="1298" t="s">
        <v>27</v>
      </c>
      <c r="C37" s="1299">
        <v>0</v>
      </c>
      <c r="D37" s="1299">
        <v>0</v>
      </c>
      <c r="E37" s="1299">
        <v>0</v>
      </c>
      <c r="F37" s="1299">
        <v>0</v>
      </c>
    </row>
    <row r="38" spans="1:6">
      <c r="A38" s="1298" t="s">
        <v>24</v>
      </c>
      <c r="B38" s="1298" t="s">
        <v>28</v>
      </c>
      <c r="C38" s="1299">
        <v>2</v>
      </c>
      <c r="D38" s="1299">
        <v>514324.00300000003</v>
      </c>
      <c r="E38" s="1299">
        <v>0</v>
      </c>
      <c r="F38" s="1299">
        <v>0</v>
      </c>
    </row>
    <row r="39" spans="1:6">
      <c r="A39" s="1298" t="s">
        <v>29</v>
      </c>
      <c r="B39" s="1298" t="s">
        <v>30</v>
      </c>
      <c r="C39" s="1299">
        <v>5914</v>
      </c>
      <c r="D39" s="1299">
        <v>59877789.409999996</v>
      </c>
      <c r="E39" s="1299">
        <v>10377</v>
      </c>
      <c r="F39" s="1299">
        <v>21517951.77</v>
      </c>
    </row>
    <row r="40" spans="1:6">
      <c r="A40" s="1298" t="s">
        <v>29</v>
      </c>
      <c r="B40" s="1298" t="s">
        <v>28</v>
      </c>
      <c r="C40" s="1299">
        <v>1</v>
      </c>
      <c r="D40" s="1299">
        <v>7731.99</v>
      </c>
      <c r="E40" s="1299">
        <v>1</v>
      </c>
      <c r="F40" s="1299">
        <v>1156</v>
      </c>
    </row>
    <row r="41" spans="1:6">
      <c r="A41" s="1298" t="s">
        <v>31</v>
      </c>
      <c r="B41" s="1298" t="s">
        <v>32</v>
      </c>
      <c r="C41" s="1299">
        <v>99</v>
      </c>
      <c r="D41" s="1299">
        <v>1233374.115</v>
      </c>
      <c r="E41" s="1299">
        <v>179</v>
      </c>
      <c r="F41" s="1299">
        <v>701462.89599999995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25443.063999999998</v>
      </c>
      <c r="E44" s="1299">
        <v>12</v>
      </c>
      <c r="F44" s="1299">
        <v>122914.231</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18608.922999999999</v>
      </c>
    </row>
    <row r="48" spans="1:6">
      <c r="A48" s="1298" t="s">
        <v>31</v>
      </c>
      <c r="B48" s="1298" t="s">
        <v>28</v>
      </c>
      <c r="C48" s="1299">
        <v>20</v>
      </c>
      <c r="D48" s="1299">
        <v>354620.962</v>
      </c>
      <c r="E48" s="1299">
        <v>23</v>
      </c>
      <c r="F48" s="1299">
        <v>467326.99</v>
      </c>
    </row>
    <row r="49" spans="1:6">
      <c r="A49" s="1298" t="s">
        <v>31</v>
      </c>
      <c r="B49" s="1298" t="s">
        <v>39</v>
      </c>
      <c r="C49" s="1299">
        <v>0</v>
      </c>
      <c r="D49" s="1299">
        <v>0</v>
      </c>
      <c r="E49" s="1299">
        <v>0</v>
      </c>
      <c r="F49" s="1299">
        <v>0</v>
      </c>
    </row>
    <row r="50" spans="1:6">
      <c r="A50" s="1298" t="s">
        <v>31</v>
      </c>
      <c r="B50" s="1298" t="s">
        <v>40</v>
      </c>
      <c r="C50" s="1299">
        <v>8</v>
      </c>
      <c r="D50" s="1299">
        <v>344421.13099999999</v>
      </c>
      <c r="E50" s="1299">
        <v>11</v>
      </c>
      <c r="F50" s="1299">
        <v>259278.68900000001</v>
      </c>
    </row>
    <row r="51" spans="1:6">
      <c r="A51" s="1298" t="s">
        <v>41</v>
      </c>
      <c r="B51" s="1298" t="s">
        <v>42</v>
      </c>
      <c r="C51" s="1299">
        <v>3</v>
      </c>
      <c r="D51" s="1299">
        <v>11263.264999999999</v>
      </c>
      <c r="E51" s="1299">
        <v>31</v>
      </c>
      <c r="F51" s="1299">
        <v>574941.76100000006</v>
      </c>
    </row>
    <row r="52" spans="1:6">
      <c r="A52" s="1298" t="s">
        <v>41</v>
      </c>
      <c r="B52" s="1298" t="s">
        <v>28</v>
      </c>
      <c r="C52" s="1299">
        <v>3</v>
      </c>
      <c r="D52" s="1299">
        <v>35695.468000000001</v>
      </c>
      <c r="E52" s="1299">
        <v>7</v>
      </c>
      <c r="F52" s="1299">
        <v>63167.057999999997</v>
      </c>
    </row>
    <row r="53" spans="1:6">
      <c r="A53" s="1298" t="s">
        <v>43</v>
      </c>
      <c r="B53" s="1298" t="s">
        <v>44</v>
      </c>
      <c r="C53" s="1299">
        <v>994</v>
      </c>
      <c r="D53" s="1299">
        <v>6297553.9630000005</v>
      </c>
      <c r="E53" s="1299">
        <v>2747</v>
      </c>
      <c r="F53" s="1299">
        <v>4808733.5650000004</v>
      </c>
    </row>
    <row r="54" spans="1:6">
      <c r="A54" s="1298" t="s">
        <v>45</v>
      </c>
      <c r="B54" s="1298" t="s">
        <v>46</v>
      </c>
      <c r="C54" s="1299">
        <v>0</v>
      </c>
      <c r="D54" s="1299">
        <v>0</v>
      </c>
      <c r="E54" s="1299">
        <v>1</v>
      </c>
      <c r="F54" s="1299">
        <v>1461571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37</v>
      </c>
      <c r="D57" s="1299">
        <v>1189090.99</v>
      </c>
      <c r="E57" s="1299">
        <v>104</v>
      </c>
      <c r="F57" s="1299">
        <v>2059263.3540000001</v>
      </c>
    </row>
    <row r="58" spans="1:6">
      <c r="A58" s="1298" t="s">
        <v>48</v>
      </c>
      <c r="B58" s="1298" t="s">
        <v>50</v>
      </c>
      <c r="C58" s="1299">
        <v>35</v>
      </c>
      <c r="D58" s="1299">
        <v>2171043.9569999999</v>
      </c>
      <c r="E58" s="1299">
        <v>55</v>
      </c>
      <c r="F58" s="1299">
        <v>644241.46100000001</v>
      </c>
    </row>
    <row r="59" spans="1:6">
      <c r="A59" s="1298" t="s">
        <v>48</v>
      </c>
      <c r="B59" s="1298" t="s">
        <v>51</v>
      </c>
      <c r="C59" s="1299">
        <v>165</v>
      </c>
      <c r="D59" s="1299">
        <v>3440619.8480000002</v>
      </c>
      <c r="E59" s="1299">
        <v>321</v>
      </c>
      <c r="F59" s="1299">
        <v>6061852.5429999996</v>
      </c>
    </row>
    <row r="60" spans="1:6">
      <c r="A60" s="1298" t="s">
        <v>48</v>
      </c>
      <c r="B60" s="1298" t="s">
        <v>52</v>
      </c>
      <c r="C60" s="1299">
        <v>185</v>
      </c>
      <c r="D60" s="1299">
        <v>9337702.5010000002</v>
      </c>
      <c r="E60" s="1299">
        <v>241</v>
      </c>
      <c r="F60" s="1299">
        <v>6509443.7240000004</v>
      </c>
    </row>
    <row r="61" spans="1:6">
      <c r="A61" s="1298" t="s">
        <v>48</v>
      </c>
      <c r="B61" s="1298" t="s">
        <v>53</v>
      </c>
      <c r="C61" s="1299">
        <v>249</v>
      </c>
      <c r="D61" s="1299">
        <v>9996634.841</v>
      </c>
      <c r="E61" s="1299">
        <v>1138</v>
      </c>
      <c r="F61" s="1299">
        <v>8202470.5429999996</v>
      </c>
    </row>
    <row r="62" spans="1:6">
      <c r="A62" s="1298" t="s">
        <v>48</v>
      </c>
      <c r="B62" s="1298" t="s">
        <v>54</v>
      </c>
      <c r="C62" s="1299">
        <v>7</v>
      </c>
      <c r="D62" s="1299">
        <v>981731.55500000005</v>
      </c>
      <c r="E62" s="1299">
        <v>7</v>
      </c>
      <c r="F62" s="1299">
        <v>126926.577</v>
      </c>
    </row>
    <row r="63" spans="1:6">
      <c r="A63" s="1298" t="s">
        <v>48</v>
      </c>
      <c r="B63" s="1298" t="s">
        <v>28</v>
      </c>
      <c r="C63" s="1299">
        <v>79</v>
      </c>
      <c r="D63" s="1299">
        <v>8753902.5350000001</v>
      </c>
      <c r="E63" s="1299">
        <v>69</v>
      </c>
      <c r="F63" s="1299">
        <v>5837036.9349999996</v>
      </c>
    </row>
    <row r="64" spans="1:6">
      <c r="A64" s="1298" t="s">
        <v>55</v>
      </c>
      <c r="B64" s="1298" t="s">
        <v>56</v>
      </c>
      <c r="C64" s="1299">
        <v>0</v>
      </c>
      <c r="D64" s="1299">
        <v>0</v>
      </c>
      <c r="E64" s="1299">
        <v>0</v>
      </c>
      <c r="F64" s="1299">
        <v>0</v>
      </c>
    </row>
    <row r="65" spans="1:6">
      <c r="A65" s="1298" t="s">
        <v>55</v>
      </c>
      <c r="B65" s="1298" t="s">
        <v>28</v>
      </c>
      <c r="C65" s="1299">
        <v>5</v>
      </c>
      <c r="D65" s="1299">
        <v>250193.027</v>
      </c>
      <c r="E65" s="1299">
        <v>2</v>
      </c>
      <c r="F65" s="1299">
        <v>6463.2809999999999</v>
      </c>
    </row>
    <row r="66" spans="1:6">
      <c r="A66" s="1298" t="s">
        <v>55</v>
      </c>
      <c r="B66" s="1298" t="s">
        <v>57</v>
      </c>
      <c r="C66" s="1299">
        <v>0</v>
      </c>
      <c r="D66" s="1299">
        <v>0</v>
      </c>
      <c r="E66" s="1299">
        <v>20</v>
      </c>
      <c r="F66" s="1299">
        <v>119763.747</v>
      </c>
    </row>
    <row r="67" spans="1:6">
      <c r="A67" s="1300" t="s">
        <v>55</v>
      </c>
      <c r="B67" s="1300" t="s">
        <v>58</v>
      </c>
      <c r="C67" s="1299">
        <v>0</v>
      </c>
      <c r="D67" s="1299">
        <v>0</v>
      </c>
      <c r="E67" s="1299">
        <v>0</v>
      </c>
      <c r="F67" s="1299">
        <v>0</v>
      </c>
    </row>
    <row r="68" spans="1:6">
      <c r="A68" s="1293" t="s">
        <v>55</v>
      </c>
      <c r="B68" s="1293" t="s">
        <v>59</v>
      </c>
      <c r="C68" s="1302">
        <v>0</v>
      </c>
      <c r="D68" s="1302">
        <v>0</v>
      </c>
      <c r="E68" s="1302">
        <v>15</v>
      </c>
      <c r="F68" s="1302">
        <v>1044916.78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26147444</v>
      </c>
      <c r="E73" s="450"/>
      <c r="F73" s="330"/>
    </row>
    <row r="74" spans="1:6">
      <c r="A74" s="1298" t="s">
        <v>63</v>
      </c>
      <c r="B74" s="1298" t="s">
        <v>647</v>
      </c>
      <c r="C74" s="1312" t="s">
        <v>649</v>
      </c>
      <c r="D74" s="1313">
        <v>2474889</v>
      </c>
      <c r="E74" s="450"/>
      <c r="F74" s="330"/>
    </row>
    <row r="75" spans="1:6">
      <c r="A75" s="1298" t="s">
        <v>64</v>
      </c>
      <c r="B75" s="1298" t="s">
        <v>646</v>
      </c>
      <c r="C75" s="1312" t="s">
        <v>650</v>
      </c>
      <c r="D75" s="1313">
        <v>2929911</v>
      </c>
      <c r="E75" s="450"/>
      <c r="F75" s="330"/>
    </row>
    <row r="76" spans="1:6">
      <c r="A76" s="1298" t="s">
        <v>64</v>
      </c>
      <c r="B76" s="1298" t="s">
        <v>647</v>
      </c>
      <c r="C76" s="1312" t="s">
        <v>651</v>
      </c>
      <c r="D76" s="1313">
        <v>222461</v>
      </c>
      <c r="E76" s="450"/>
      <c r="F76" s="330"/>
    </row>
    <row r="77" spans="1:6">
      <c r="A77" s="1298" t="s">
        <v>65</v>
      </c>
      <c r="B77" s="1298" t="s">
        <v>646</v>
      </c>
      <c r="C77" s="1312" t="s">
        <v>652</v>
      </c>
      <c r="D77" s="1313">
        <v>30803477</v>
      </c>
      <c r="E77" s="450"/>
      <c r="F77" s="330"/>
    </row>
    <row r="78" spans="1:6">
      <c r="A78" s="1293" t="s">
        <v>65</v>
      </c>
      <c r="B78" s="1293" t="s">
        <v>647</v>
      </c>
      <c r="C78" s="1293" t="s">
        <v>653</v>
      </c>
      <c r="D78" s="1314">
        <v>14853032</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44180</v>
      </c>
      <c r="C83" s="450"/>
      <c r="D83" s="330"/>
      <c r="E83" s="330"/>
      <c r="F83" s="330"/>
    </row>
    <row r="84" spans="1:6">
      <c r="A84" s="1293" t="s">
        <v>336</v>
      </c>
      <c r="B84" s="1314">
        <v>223776</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1444.556971919556</v>
      </c>
      <c r="C91" s="330"/>
      <c r="D91" s="330"/>
      <c r="E91" s="330"/>
      <c r="F91" s="330"/>
    </row>
    <row r="92" spans="1:6">
      <c r="A92" s="1293" t="s">
        <v>68</v>
      </c>
      <c r="B92" s="1294">
        <v>272.42338034134247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3072</v>
      </c>
      <c r="C97" s="330"/>
      <c r="D97" s="330"/>
      <c r="E97" s="330"/>
      <c r="F97" s="330"/>
    </row>
    <row r="98" spans="1:6">
      <c r="A98" s="1298" t="s">
        <v>71</v>
      </c>
      <c r="B98" s="1299">
        <v>3</v>
      </c>
      <c r="C98" s="330"/>
      <c r="D98" s="330"/>
      <c r="E98" s="330"/>
      <c r="F98" s="330"/>
    </row>
    <row r="99" spans="1:6">
      <c r="A99" s="1298" t="s">
        <v>72</v>
      </c>
      <c r="B99" s="1299">
        <v>28</v>
      </c>
      <c r="C99" s="330"/>
      <c r="D99" s="330"/>
      <c r="E99" s="330"/>
      <c r="F99" s="330"/>
    </row>
    <row r="100" spans="1:6">
      <c r="A100" s="1298" t="s">
        <v>73</v>
      </c>
      <c r="B100" s="1299">
        <v>564</v>
      </c>
      <c r="C100" s="330"/>
      <c r="D100" s="330"/>
      <c r="E100" s="330"/>
      <c r="F100" s="330"/>
    </row>
    <row r="101" spans="1:6">
      <c r="A101" s="1298" t="s">
        <v>74</v>
      </c>
      <c r="B101" s="1299">
        <v>30</v>
      </c>
      <c r="C101" s="330"/>
      <c r="D101" s="330"/>
      <c r="E101" s="330"/>
      <c r="F101" s="330"/>
    </row>
    <row r="102" spans="1:6">
      <c r="A102" s="1298" t="s">
        <v>75</v>
      </c>
      <c r="B102" s="1299">
        <v>111</v>
      </c>
      <c r="C102" s="330"/>
      <c r="D102" s="330"/>
      <c r="E102" s="330"/>
      <c r="F102" s="330"/>
    </row>
    <row r="103" spans="1:6">
      <c r="A103" s="1298" t="s">
        <v>76</v>
      </c>
      <c r="B103" s="1299">
        <v>65</v>
      </c>
      <c r="C103" s="330"/>
      <c r="D103" s="330"/>
      <c r="E103" s="330"/>
      <c r="F103" s="330"/>
    </row>
    <row r="104" spans="1:6">
      <c r="A104" s="1298" t="s">
        <v>77</v>
      </c>
      <c r="B104" s="1299">
        <v>657</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7</v>
      </c>
      <c r="C123" s="1299">
        <v>14</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84</v>
      </c>
      <c r="C129" s="330"/>
      <c r="D129" s="330"/>
      <c r="E129" s="330"/>
      <c r="F129" s="330"/>
    </row>
    <row r="130" spans="1:6">
      <c r="A130" s="1298" t="s">
        <v>294</v>
      </c>
      <c r="B130" s="1299">
        <v>5</v>
      </c>
      <c r="C130" s="330"/>
      <c r="D130" s="330"/>
      <c r="E130" s="330"/>
      <c r="F130" s="330"/>
    </row>
    <row r="131" spans="1:6">
      <c r="A131" s="1298" t="s">
        <v>295</v>
      </c>
      <c r="B131" s="1299">
        <v>0</v>
      </c>
      <c r="C131" s="330"/>
      <c r="D131" s="330"/>
      <c r="E131" s="330"/>
      <c r="F131" s="330"/>
    </row>
    <row r="132" spans="1:6">
      <c r="A132" s="1293" t="s">
        <v>296</v>
      </c>
      <c r="B132" s="1294">
        <v>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61700.354072651244</v>
      </c>
      <c r="C3" s="43" t="s">
        <v>169</v>
      </c>
      <c r="D3" s="43"/>
      <c r="E3" s="154"/>
      <c r="F3" s="43"/>
      <c r="G3" s="43"/>
      <c r="H3" s="43"/>
      <c r="I3" s="43"/>
      <c r="J3" s="43"/>
      <c r="K3" s="96"/>
    </row>
    <row r="4" spans="1:11">
      <c r="A4" s="358" t="s">
        <v>170</v>
      </c>
      <c r="B4" s="49">
        <f>IF(ISERROR('SEAP template'!B78+'SEAP template'!C78),0,'SEAP template'!B78+'SEAP template'!C78)</f>
        <v>1716.9803522608984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0.21485007325236968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1461.5709999999999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1461.5709999999999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0.21485007325236968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314.01863641353918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21519.107769999999</v>
      </c>
      <c r="C5" s="17">
        <f>IF(ISERROR('Eigen informatie GS &amp; warmtenet'!B59),0,'Eigen informatie GS &amp; warmtenet'!B59)</f>
        <v>0</v>
      </c>
      <c r="D5" s="30">
        <f>(SUM(HH_hh_gas_kWh,HH_rest_gas_kWh)/1000)*0.902</f>
        <v>54016.740302799997</v>
      </c>
      <c r="E5" s="17">
        <f>B46*B57</f>
        <v>0</v>
      </c>
      <c r="F5" s="17">
        <f>B51*B62</f>
        <v>0</v>
      </c>
      <c r="G5" s="18"/>
      <c r="H5" s="17"/>
      <c r="I5" s="17"/>
      <c r="J5" s="17">
        <f>B50*B61+C50*C61</f>
        <v>0</v>
      </c>
      <c r="K5" s="17"/>
      <c r="L5" s="17"/>
      <c r="M5" s="17"/>
      <c r="N5" s="17">
        <f>B48*B59+C48*C59</f>
        <v>0</v>
      </c>
      <c r="O5" s="17">
        <f>B69*B70*B71</f>
        <v>194.42790549992912</v>
      </c>
      <c r="P5" s="17">
        <f>B77*B78*B79/1000-B77*B78*B79/1000/B80</f>
        <v>105.33959307685021</v>
      </c>
    </row>
    <row r="6" spans="1:16">
      <c r="A6" s="16" t="s">
        <v>611</v>
      </c>
      <c r="B6" s="783">
        <f>kWh_PV_kleiner_dan_10kW</f>
        <v>1444.556971919556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22963.664741919554</v>
      </c>
      <c r="C8" s="21">
        <f>C5</f>
        <v>0</v>
      </c>
      <c r="D8" s="21">
        <f>D5</f>
        <v>54016.740302799997</v>
      </c>
      <c r="E8" s="21">
        <f>E5</f>
        <v>0</v>
      </c>
      <c r="F8" s="21">
        <f>F5</f>
        <v>0</v>
      </c>
      <c r="G8" s="21"/>
      <c r="H8" s="21"/>
      <c r="I8" s="21"/>
      <c r="J8" s="21">
        <f>J5</f>
        <v>0</v>
      </c>
      <c r="K8" s="21"/>
      <c r="L8" s="21">
        <f>L5</f>
        <v>0</v>
      </c>
      <c r="M8" s="21">
        <f>M5</f>
        <v>0</v>
      </c>
      <c r="N8" s="21">
        <f>N5</f>
        <v>0</v>
      </c>
      <c r="O8" s="21">
        <f>O5</f>
        <v>194.42790549992912</v>
      </c>
      <c r="P8" s="21">
        <f>P5</f>
        <v>105.33959307685021</v>
      </c>
    </row>
    <row r="9" spans="1:16">
      <c r="B9" s="19"/>
      <c r="C9" s="19"/>
      <c r="D9" s="258"/>
      <c r="E9" s="19"/>
      <c r="F9" s="19"/>
      <c r="G9" s="19"/>
      <c r="H9" s="19"/>
      <c r="I9" s="19"/>
      <c r="J9" s="19"/>
      <c r="K9" s="19"/>
      <c r="L9" s="19"/>
      <c r="M9" s="19"/>
      <c r="N9" s="19"/>
      <c r="O9" s="19"/>
      <c r="P9" s="19"/>
    </row>
    <row r="10" spans="1:16">
      <c r="A10" s="24" t="s">
        <v>213</v>
      </c>
      <c r="B10" s="25">
        <f ca="1">'EF ele_warmte'!B12</f>
        <v>0.21485007325236968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4933.7450519442755</v>
      </c>
      <c r="C12" s="23">
        <f ca="1">C10*C8</f>
        <v>0</v>
      </c>
      <c r="D12" s="23">
        <f>D8*D10</f>
        <v>10911.3815411656</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3072</v>
      </c>
      <c r="C18" s="166" t="s">
        <v>110</v>
      </c>
      <c r="D18" s="228"/>
      <c r="E18" s="15"/>
    </row>
    <row r="19" spans="1:7">
      <c r="A19" s="171" t="s">
        <v>71</v>
      </c>
      <c r="B19" s="37">
        <f>aantalw2001_ander</f>
        <v>3</v>
      </c>
      <c r="C19" s="166" t="s">
        <v>110</v>
      </c>
      <c r="D19" s="229"/>
      <c r="E19" s="15"/>
    </row>
    <row r="20" spans="1:7">
      <c r="A20" s="171" t="s">
        <v>72</v>
      </c>
      <c r="B20" s="37">
        <f>aantalw2001_propaan</f>
        <v>28</v>
      </c>
      <c r="C20" s="167">
        <f>IF(ISERROR(B20/SUM($B$20,$B$21,$B$22)*100),0,B20/SUM($B$20,$B$21,$B$22)*100)</f>
        <v>4.501607717041801</v>
      </c>
      <c r="D20" s="229"/>
      <c r="E20" s="15"/>
    </row>
    <row r="21" spans="1:7">
      <c r="A21" s="171" t="s">
        <v>73</v>
      </c>
      <c r="B21" s="37">
        <f>aantalw2001_elektriciteit</f>
        <v>564</v>
      </c>
      <c r="C21" s="167">
        <f>IF(ISERROR(B21/SUM($B$20,$B$21,$B$22)*100),0,B21/SUM($B$20,$B$21,$B$22)*100)</f>
        <v>90.675241157556272</v>
      </c>
      <c r="D21" s="229"/>
      <c r="E21" s="15"/>
    </row>
    <row r="22" spans="1:7">
      <c r="A22" s="171" t="s">
        <v>74</v>
      </c>
      <c r="B22" s="37">
        <f>aantalw2001_hout</f>
        <v>30</v>
      </c>
      <c r="C22" s="167">
        <f>IF(ISERROR(B22/SUM($B$20,$B$21,$B$22)*100),0,B22/SUM($B$20,$B$21,$B$22)*100)</f>
        <v>4.823151125401929</v>
      </c>
      <c r="D22" s="229"/>
      <c r="E22" s="15"/>
    </row>
    <row r="23" spans="1:7">
      <c r="A23" s="171" t="s">
        <v>75</v>
      </c>
      <c r="B23" s="37">
        <f>aantalw2001_niet_gespec</f>
        <v>111</v>
      </c>
      <c r="C23" s="166" t="s">
        <v>110</v>
      </c>
      <c r="D23" s="228"/>
      <c r="E23" s="15"/>
    </row>
    <row r="24" spans="1:7">
      <c r="A24" s="171" t="s">
        <v>76</v>
      </c>
      <c r="B24" s="37">
        <f>aantalw2001_steenkool</f>
        <v>65</v>
      </c>
      <c r="C24" s="166" t="s">
        <v>110</v>
      </c>
      <c r="D24" s="229"/>
      <c r="E24" s="15"/>
    </row>
    <row r="25" spans="1:7">
      <c r="A25" s="171" t="s">
        <v>77</v>
      </c>
      <c r="B25" s="37">
        <f>aantalw2001_stookolie</f>
        <v>657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5536</v>
      </c>
      <c r="C28" s="36"/>
      <c r="D28" s="228"/>
    </row>
    <row r="29" spans="1:7" s="15" customFormat="1">
      <c r="A29" s="230" t="s">
        <v>819</v>
      </c>
      <c r="B29" s="37">
        <f>SUM(HH_hh_gas_aantal,HH_rest_gas_aantal)</f>
        <v>5915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5915</v>
      </c>
      <c r="C32" s="167">
        <f>IF(ISERROR(B32/SUM($B$32,$B$34,$B$35,$B$36,$B$38,$B$39)*100),0,B32/SUM($B$32,$B$34,$B$35,$B$36,$B$38,$B$39)*100)</f>
        <v>100</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0</v>
      </c>
      <c r="C35" s="167">
        <f>IF(ISERROR(B35/SUM($B$32,$B$34,$B$35,$B$36,$B$38,$B$39)*100),0,B35/SUM($B$32,$B$34,$B$35,$B$36,$B$38,$B$39)*100)</f>
        <v>0</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5915</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0</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29441.235137</v>
      </c>
      <c r="C5" s="17">
        <f>IF(ISERROR('Eigen informatie GS &amp; warmtenet'!B60),0,'Eigen informatie GS &amp; warmtenet'!B60)</f>
        <v>0</v>
      </c>
      <c r="D5" s="30">
        <f>SUM(D6:D12)</f>
        <v>32355.395056753998</v>
      </c>
      <c r="E5" s="17">
        <f>SUM(E6:E12)</f>
        <v>381.54578028532649</v>
      </c>
      <c r="F5" s="17">
        <f>SUM(F6:F12)</f>
        <v>3422.7775265696037</v>
      </c>
      <c r="G5" s="18"/>
      <c r="H5" s="17"/>
      <c r="I5" s="17"/>
      <c r="J5" s="17">
        <f>SUM(J6:J12)</f>
        <v>4.6144539641847879E-2</v>
      </c>
      <c r="K5" s="17"/>
      <c r="L5" s="17"/>
      <c r="M5" s="17"/>
      <c r="N5" s="17">
        <f>SUM(N6:N12)</f>
        <v>1817.3868562510102</v>
      </c>
      <c r="O5" s="17">
        <f>B38*B39*B40</f>
        <v>24.486303829205774</v>
      </c>
      <c r="P5" s="17">
        <f>B46*B47*B48/1000-B46*B47*B48/1000/B49</f>
        <v>0</v>
      </c>
      <c r="R5" s="32"/>
    </row>
    <row r="6" spans="1:18">
      <c r="A6" s="32" t="s">
        <v>53</v>
      </c>
      <c r="B6" s="37">
        <f>B26</f>
        <v>8202.4705429999995</v>
      </c>
      <c r="C6" s="33"/>
      <c r="D6" s="37">
        <f>IF(ISERROR(TER_kantoor_gas_kWh/1000),0,TER_kantoor_gas_kWh/1000)*0.902</f>
        <v>9016.9646265819993</v>
      </c>
      <c r="E6" s="33">
        <f>$C$26*'E Balans VL '!I12/100/3.6*1000000</f>
        <v>66.002650540273578</v>
      </c>
      <c r="F6" s="33">
        <f>$C$26*('E Balans VL '!L12+'E Balans VL '!N12)/100/3.6*1000000</f>
        <v>1002.83831110932</v>
      </c>
      <c r="G6" s="34"/>
      <c r="H6" s="33"/>
      <c r="I6" s="33"/>
      <c r="J6" s="33">
        <f>$C$26*('E Balans VL '!D12+'E Balans VL '!E12)/100/3.6*1000000</f>
        <v>0</v>
      </c>
      <c r="K6" s="33"/>
      <c r="L6" s="33"/>
      <c r="M6" s="33"/>
      <c r="N6" s="33">
        <f>$C$26*'E Balans VL '!Y12/100/3.6*1000000</f>
        <v>4.4084239889071961</v>
      </c>
      <c r="O6" s="33"/>
      <c r="P6" s="33"/>
      <c r="R6" s="32"/>
    </row>
    <row r="7" spans="1:18">
      <c r="A7" s="32" t="s">
        <v>52</v>
      </c>
      <c r="B7" s="37">
        <f t="shared" ref="B7:B12" si="0">B27</f>
        <v>6509.4437240000007</v>
      </c>
      <c r="C7" s="33"/>
      <c r="D7" s="37">
        <f>IF(ISERROR(TER_horeca_gas_kWh/1000),0,TER_horeca_gas_kWh/1000)*0.902</f>
        <v>8422.6076559020003</v>
      </c>
      <c r="E7" s="33">
        <f>$C$27*'E Balans VL '!I9/100/3.6*1000000</f>
        <v>69.895441196498695</v>
      </c>
      <c r="F7" s="33">
        <f>$C$27*('E Balans VL '!L9+'E Balans VL '!N9)/100/3.6*1000000</f>
        <v>782.92823449665343</v>
      </c>
      <c r="G7" s="34"/>
      <c r="H7" s="33"/>
      <c r="I7" s="33"/>
      <c r="J7" s="33">
        <f>$C$27*('E Balans VL '!D9+'E Balans VL '!E9)/100/3.6*1000000</f>
        <v>0</v>
      </c>
      <c r="K7" s="33"/>
      <c r="L7" s="33"/>
      <c r="M7" s="33"/>
      <c r="N7" s="33">
        <f>$C$27*'E Balans VL '!Y9/100/3.6*1000000</f>
        <v>0.97589754533487738</v>
      </c>
      <c r="O7" s="33"/>
      <c r="P7" s="33"/>
      <c r="R7" s="32"/>
    </row>
    <row r="8" spans="1:18">
      <c r="A8" s="6" t="s">
        <v>51</v>
      </c>
      <c r="B8" s="37">
        <f t="shared" si="0"/>
        <v>6061.852543</v>
      </c>
      <c r="C8" s="33"/>
      <c r="D8" s="37">
        <f>IF(ISERROR(TER_handel_gas_kWh/1000),0,TER_handel_gas_kWh/1000)*0.902</f>
        <v>3103.4391028960003</v>
      </c>
      <c r="E8" s="33">
        <f>$C$28*'E Balans VL '!I13/100/3.6*1000000</f>
        <v>162.68156407258871</v>
      </c>
      <c r="F8" s="33">
        <f>$C$28*('E Balans VL '!L13+'E Balans VL '!N13)/100/3.6*1000000</f>
        <v>578.4875637149695</v>
      </c>
      <c r="G8" s="34"/>
      <c r="H8" s="33"/>
      <c r="I8" s="33"/>
      <c r="J8" s="33">
        <f>$C$28*('E Balans VL '!D13+'E Balans VL '!E13)/100/3.6*1000000</f>
        <v>0</v>
      </c>
      <c r="K8" s="33"/>
      <c r="L8" s="33"/>
      <c r="M8" s="33"/>
      <c r="N8" s="33">
        <f>$C$28*'E Balans VL '!Y13/100/3.6*1000000</f>
        <v>2.4029872736453415</v>
      </c>
      <c r="O8" s="33"/>
      <c r="P8" s="33"/>
      <c r="R8" s="32"/>
    </row>
    <row r="9" spans="1:18">
      <c r="A9" s="32" t="s">
        <v>50</v>
      </c>
      <c r="B9" s="37">
        <f t="shared" si="0"/>
        <v>644.24146099999996</v>
      </c>
      <c r="C9" s="33"/>
      <c r="D9" s="37">
        <f>IF(ISERROR(TER_gezond_gas_kWh/1000),0,TER_gezond_gas_kWh/1000)*0.902</f>
        <v>1958.281649214</v>
      </c>
      <c r="E9" s="33">
        <f>$C$29*'E Balans VL '!I10/100/3.6*1000000</f>
        <v>1.2075182720428908</v>
      </c>
      <c r="F9" s="33">
        <f>$C$29*('E Balans VL '!L10+'E Balans VL '!N10)/100/3.6*1000000</f>
        <v>52.962526344592938</v>
      </c>
      <c r="G9" s="34"/>
      <c r="H9" s="33"/>
      <c r="I9" s="33"/>
      <c r="J9" s="33">
        <f>$C$29*('E Balans VL '!D10+'E Balans VL '!E10)/100/3.6*1000000</f>
        <v>0</v>
      </c>
      <c r="K9" s="33"/>
      <c r="L9" s="33"/>
      <c r="M9" s="33"/>
      <c r="N9" s="33">
        <f>$C$29*'E Balans VL '!Y10/100/3.6*1000000</f>
        <v>5.0126792397763724</v>
      </c>
      <c r="O9" s="33"/>
      <c r="P9" s="33"/>
      <c r="R9" s="32"/>
    </row>
    <row r="10" spans="1:18">
      <c r="A10" s="32" t="s">
        <v>49</v>
      </c>
      <c r="B10" s="37">
        <f t="shared" si="0"/>
        <v>2059.2633540000002</v>
      </c>
      <c r="C10" s="33"/>
      <c r="D10" s="37">
        <f>IF(ISERROR(TER_ander_gas_kWh/1000),0,TER_ander_gas_kWh/1000)*0.902</f>
        <v>1072.5600729799999</v>
      </c>
      <c r="E10" s="33">
        <f>$C$30*'E Balans VL '!I14/100/3.6*1000000</f>
        <v>3.1743753263841565</v>
      </c>
      <c r="F10" s="33">
        <f>$C$30*('E Balans VL '!L14+'E Balans VL '!N14)/100/3.6*1000000</f>
        <v>319.70120419940383</v>
      </c>
      <c r="G10" s="34"/>
      <c r="H10" s="33"/>
      <c r="I10" s="33"/>
      <c r="J10" s="33">
        <f>$C$30*('E Balans VL '!D14+'E Balans VL '!E14)/100/3.6*1000000</f>
        <v>3.4958167184352518E-2</v>
      </c>
      <c r="K10" s="33"/>
      <c r="L10" s="33"/>
      <c r="M10" s="33"/>
      <c r="N10" s="33">
        <f>$C$30*'E Balans VL '!Y14/100/3.6*1000000</f>
        <v>1362.3426361113166</v>
      </c>
      <c r="O10" s="33"/>
      <c r="P10" s="33"/>
      <c r="R10" s="32"/>
    </row>
    <row r="11" spans="1:18">
      <c r="A11" s="32" t="s">
        <v>54</v>
      </c>
      <c r="B11" s="37">
        <f t="shared" si="0"/>
        <v>126.92657700000001</v>
      </c>
      <c r="C11" s="33"/>
      <c r="D11" s="37">
        <f>IF(ISERROR(TER_onderwijs_gas_kWh/1000),0,TER_onderwijs_gas_kWh/1000)*0.902</f>
        <v>885.52186261000008</v>
      </c>
      <c r="E11" s="33">
        <f>$C$31*'E Balans VL '!I11/100/3.6*1000000</f>
        <v>3.2374946291838023</v>
      </c>
      <c r="F11" s="33">
        <f>$C$31*('E Balans VL '!L11+'E Balans VL '!N11)/100/3.6*1000000</f>
        <v>15.264115562687673</v>
      </c>
      <c r="G11" s="34"/>
      <c r="H11" s="33"/>
      <c r="I11" s="33"/>
      <c r="J11" s="33">
        <f>$C$31*('E Balans VL '!D11+'E Balans VL '!E11)/100/3.6*1000000</f>
        <v>0</v>
      </c>
      <c r="K11" s="33"/>
      <c r="L11" s="33"/>
      <c r="M11" s="33"/>
      <c r="N11" s="33">
        <f>$C$31*'E Balans VL '!Y11/100/3.6*1000000</f>
        <v>0.28228161021283504</v>
      </c>
      <c r="O11" s="33"/>
      <c r="P11" s="33"/>
      <c r="R11" s="32"/>
    </row>
    <row r="12" spans="1:18">
      <c r="A12" s="32" t="s">
        <v>259</v>
      </c>
      <c r="B12" s="37">
        <f t="shared" si="0"/>
        <v>5837.0369349999992</v>
      </c>
      <c r="C12" s="33"/>
      <c r="D12" s="37">
        <f>IF(ISERROR(TER_rest_gas_kWh/1000),0,TER_rest_gas_kWh/1000)*0.902</f>
        <v>7896.0200865699999</v>
      </c>
      <c r="E12" s="33">
        <f>$C$32*'E Balans VL '!I8/100/3.6*1000000</f>
        <v>75.346736248354631</v>
      </c>
      <c r="F12" s="33">
        <f>$C$32*('E Balans VL '!L8+'E Balans VL '!N8)/100/3.6*1000000</f>
        <v>670.59557114197628</v>
      </c>
      <c r="G12" s="34"/>
      <c r="H12" s="33"/>
      <c r="I12" s="33"/>
      <c r="J12" s="33">
        <f>$C$32*('E Balans VL '!D8+'E Balans VL '!E8)/100/3.6*1000000</f>
        <v>1.1186372457495358E-2</v>
      </c>
      <c r="K12" s="33"/>
      <c r="L12" s="33"/>
      <c r="M12" s="33"/>
      <c r="N12" s="33">
        <f>$C$32*'E Balans VL '!Y8/100/3.6*1000000</f>
        <v>441.9619504818171</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29441.235137</v>
      </c>
      <c r="C16" s="21">
        <f t="shared" ca="1" si="1"/>
        <v>0</v>
      </c>
      <c r="D16" s="21">
        <f t="shared" ca="1" si="1"/>
        <v>32355.395056753998</v>
      </c>
      <c r="E16" s="21">
        <f t="shared" si="1"/>
        <v>381.54578028532649</v>
      </c>
      <c r="F16" s="21">
        <f t="shared" ca="1" si="1"/>
        <v>3422.7775265696037</v>
      </c>
      <c r="G16" s="21">
        <f t="shared" si="1"/>
        <v>0</v>
      </c>
      <c r="H16" s="21">
        <f t="shared" si="1"/>
        <v>0</v>
      </c>
      <c r="I16" s="21">
        <f t="shared" si="1"/>
        <v>0</v>
      </c>
      <c r="J16" s="21">
        <f t="shared" si="1"/>
        <v>4.6144539641847879E-2</v>
      </c>
      <c r="K16" s="21">
        <f t="shared" si="1"/>
        <v>0</v>
      </c>
      <c r="L16" s="21">
        <f t="shared" ca="1" si="1"/>
        <v>0</v>
      </c>
      <c r="M16" s="21">
        <f t="shared" si="1"/>
        <v>0</v>
      </c>
      <c r="N16" s="21">
        <f t="shared" ca="1" si="1"/>
        <v>1817.3868562510102</v>
      </c>
      <c r="O16" s="21">
        <f>O5</f>
        <v>24.486303829205774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0.21485007325236968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6325.4515258246902</v>
      </c>
      <c r="C20" s="23">
        <f t="shared" ref="C20:P20" ca="1" si="2">C16*C18</f>
        <v>0</v>
      </c>
      <c r="D20" s="23">
        <f t="shared" ca="1" si="2"/>
        <v>6535.7898014643079</v>
      </c>
      <c r="E20" s="23">
        <f t="shared" si="2"/>
        <v>86.610892124769109</v>
      </c>
      <c r="F20" s="23">
        <f t="shared" ca="1" si="2"/>
        <v>913.88159959408426</v>
      </c>
      <c r="G20" s="23">
        <f t="shared" si="2"/>
        <v>0</v>
      </c>
      <c r="H20" s="23">
        <f t="shared" si="2"/>
        <v>0</v>
      </c>
      <c r="I20" s="23">
        <f t="shared" si="2"/>
        <v>0</v>
      </c>
      <c r="J20" s="23">
        <f t="shared" si="2"/>
        <v>1.6335167033214148E-2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8202.4705429999995</v>
      </c>
      <c r="C26" s="39">
        <f>IF(ISERROR(B26*3.6/1000000/'E Balans VL '!Z12*100),0,B26*3.6/1000000/'E Balans VL '!Z12*100)</f>
        <v>0.17400790817095577</v>
      </c>
      <c r="D26" s="237" t="s">
        <v>708</v>
      </c>
      <c r="F26" s="6"/>
    </row>
    <row r="27" spans="1:18">
      <c r="A27" s="231" t="s">
        <v>52</v>
      </c>
      <c r="B27" s="33">
        <f>IF(ISERROR(TER_horeca_ele_kWh/1000),0,TER_horeca_ele_kWh/1000)</f>
        <v>6509.4437240000007</v>
      </c>
      <c r="C27" s="39">
        <f>IF(ISERROR(B27*3.6/1000000/'E Balans VL '!Z9*100),0,B27*3.6/1000000/'E Balans VL '!Z9*100)</f>
        <v>0.49021877636711531</v>
      </c>
      <c r="D27" s="237" t="s">
        <v>708</v>
      </c>
      <c r="F27" s="6"/>
    </row>
    <row r="28" spans="1:18">
      <c r="A28" s="171" t="s">
        <v>51</v>
      </c>
      <c r="B28" s="33">
        <f>IF(ISERROR(TER_handel_ele_kWh/1000),0,TER_handel_ele_kWh/1000)</f>
        <v>6061.852543</v>
      </c>
      <c r="C28" s="39">
        <f>IF(ISERROR(B28*3.6/1000000/'E Balans VL '!Z13*100),0,B28*3.6/1000000/'E Balans VL '!Z13*100)</f>
        <v>0.17595410050391397</v>
      </c>
      <c r="D28" s="237" t="s">
        <v>708</v>
      </c>
      <c r="F28" s="6"/>
    </row>
    <row r="29" spans="1:18">
      <c r="A29" s="231" t="s">
        <v>50</v>
      </c>
      <c r="B29" s="33">
        <f>IF(ISERROR(TER_gezond_ele_kWh/1000),0,TER_gezond_ele_kWh/1000)</f>
        <v>644.24146099999996</v>
      </c>
      <c r="C29" s="39">
        <f>IF(ISERROR(B29*3.6/1000000/'E Balans VL '!Z10*100),0,B29*3.6/1000000/'E Balans VL '!Z10*100)</f>
        <v>6.4972519631083969E-2</v>
      </c>
      <c r="D29" s="237" t="s">
        <v>708</v>
      </c>
      <c r="F29" s="6"/>
    </row>
    <row r="30" spans="1:18">
      <c r="A30" s="231" t="s">
        <v>49</v>
      </c>
      <c r="B30" s="33">
        <f>IF(ISERROR(TER_ander_ele_kWh/1000),0,TER_ander_ele_kWh/1000)</f>
        <v>2059.2633540000002</v>
      </c>
      <c r="C30" s="39">
        <f>IF(ISERROR(B30*3.6/1000000/'E Balans VL '!Z14*100),0,B30*3.6/1000000/'E Balans VL '!Z14*100)</f>
        <v>0.14942764983593521</v>
      </c>
      <c r="D30" s="237" t="s">
        <v>708</v>
      </c>
      <c r="F30" s="6"/>
    </row>
    <row r="31" spans="1:18">
      <c r="A31" s="231" t="s">
        <v>54</v>
      </c>
      <c r="B31" s="33">
        <f>IF(ISERROR(TER_onderwijs_ele_kWh/1000),0,TER_onderwijs_ele_kWh/1000)</f>
        <v>126.92657700000001</v>
      </c>
      <c r="C31" s="39">
        <f>IF(ISERROR(B31*3.6/1000000/'E Balans VL '!Z11*100),0,B31*3.6/1000000/'E Balans VL '!Z11*100)</f>
        <v>3.6179243135888432E-2</v>
      </c>
      <c r="D31" s="237" t="s">
        <v>708</v>
      </c>
    </row>
    <row r="32" spans="1:18">
      <c r="A32" s="231" t="s">
        <v>259</v>
      </c>
      <c r="B32" s="33">
        <f>IF(ISERROR(TER_rest_ele_kWh/1000),0,TER_rest_ele_kWh/1000)</f>
        <v>5837.0369349999992</v>
      </c>
      <c r="C32" s="39">
        <f>IF(ISERROR(B32*3.6/1000000/'E Balans VL '!Z8*100),0,B32*3.6/1000000/'E Balans VL '!Z8*100)</f>
        <v>4.7815817622760368E-2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1569.591729</v>
      </c>
      <c r="C5" s="17">
        <f>IF(ISERROR('Eigen informatie GS &amp; warmtenet'!B61),0,'Eigen informatie GS &amp; warmtenet'!B61)</f>
        <v>0</v>
      </c>
      <c r="D5" s="30">
        <f>SUM(D6:D15)</f>
        <v>1765.9890633440002</v>
      </c>
      <c r="E5" s="17">
        <f>SUM(E6:E15)</f>
        <v>217.8440241276607</v>
      </c>
      <c r="F5" s="17">
        <f>SUM(F6:F15)</f>
        <v>690.28781771988815</v>
      </c>
      <c r="G5" s="18"/>
      <c r="H5" s="17"/>
      <c r="I5" s="17"/>
      <c r="J5" s="17">
        <f>SUM(J6:J15)</f>
        <v>6.0202364179772605</v>
      </c>
      <c r="K5" s="17"/>
      <c r="L5" s="17"/>
      <c r="M5" s="17"/>
      <c r="N5" s="17">
        <f>SUM(N6:N15)</f>
        <v>85.902574794622581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122.914231</v>
      </c>
      <c r="C8" s="33"/>
      <c r="D8" s="37">
        <f>IF( ISERROR(IND_metaal_Gas_kWH/1000),0,IND_metaal_Gas_kWH/1000)*0.902</f>
        <v>22.949643728000002</v>
      </c>
      <c r="E8" s="33">
        <f>C30*'E Balans VL '!I18/100/3.6*1000000</f>
        <v>0.88673990739499586</v>
      </c>
      <c r="F8" s="33">
        <f>C30*'E Balans VL '!L18/100/3.6*1000000+C30*'E Balans VL '!N18/100/3.6*1000000</f>
        <v>11.625419872940737</v>
      </c>
      <c r="G8" s="34"/>
      <c r="H8" s="33"/>
      <c r="I8" s="33"/>
      <c r="J8" s="40">
        <f>C30*'E Balans VL '!D18/100/3.6*1000000+C30*'E Balans VL '!E18/100/3.6*1000000</f>
        <v>0.12362784781874774</v>
      </c>
      <c r="K8" s="33"/>
      <c r="L8" s="33"/>
      <c r="M8" s="33"/>
      <c r="N8" s="33">
        <f>C30*'E Balans VL '!Y18/100/3.6*1000000</f>
        <v>1.5539610787894875</v>
      </c>
      <c r="O8" s="33"/>
      <c r="P8" s="33"/>
      <c r="R8" s="32"/>
    </row>
    <row r="9" spans="1:18">
      <c r="A9" s="6" t="s">
        <v>32</v>
      </c>
      <c r="B9" s="37">
        <f t="shared" si="0"/>
        <v>701.462896</v>
      </c>
      <c r="C9" s="33"/>
      <c r="D9" s="37">
        <f>IF( ISERROR(IND_andere_gas_kWh/1000),0,IND_andere_gas_kWh/1000)*0.902</f>
        <v>1112.5034517300001</v>
      </c>
      <c r="E9" s="33">
        <f>C31*'E Balans VL '!I19/100/3.6*1000000</f>
        <v>194.38474821563352</v>
      </c>
      <c r="F9" s="33">
        <f>C31*'E Balans VL '!L19/100/3.6*1000000+C31*'E Balans VL '!N19/100/3.6*1000000</f>
        <v>581.37396407780113</v>
      </c>
      <c r="G9" s="34"/>
      <c r="H9" s="33"/>
      <c r="I9" s="33"/>
      <c r="J9" s="40">
        <f>C31*'E Balans VL '!D19/100/3.6*1000000+C31*'E Balans VL '!E19/100/3.6*1000000</f>
        <v>0</v>
      </c>
      <c r="K9" s="33"/>
      <c r="L9" s="33"/>
      <c r="M9" s="33"/>
      <c r="N9" s="33">
        <f>C31*'E Balans VL '!Y19/100/3.6*1000000</f>
        <v>50.9176264295455</v>
      </c>
      <c r="O9" s="33"/>
      <c r="P9" s="33"/>
      <c r="R9" s="32"/>
    </row>
    <row r="10" spans="1:18">
      <c r="A10" s="6" t="s">
        <v>40</v>
      </c>
      <c r="B10" s="37">
        <f t="shared" si="0"/>
        <v>259.27868899999999</v>
      </c>
      <c r="C10" s="33"/>
      <c r="D10" s="37">
        <f>IF( ISERROR(IND_voed_gas_kWh/1000),0,IND_voed_gas_kWh/1000)*0.902</f>
        <v>310.66786016200001</v>
      </c>
      <c r="E10" s="33">
        <f>C32*'E Balans VL '!I20/100/3.6*1000000</f>
        <v>0.45901110285256902</v>
      </c>
      <c r="F10" s="33">
        <f>C32*'E Balans VL '!L20/100/3.6*1000000+C32*'E Balans VL '!N20/100/3.6*1000000</f>
        <v>14.003347172407512</v>
      </c>
      <c r="G10" s="34"/>
      <c r="H10" s="33"/>
      <c r="I10" s="33"/>
      <c r="J10" s="40">
        <f>C32*'E Balans VL '!D20/100/3.6*1000000+C32*'E Balans VL '!E20/100/3.6*1000000</f>
        <v>0</v>
      </c>
      <c r="K10" s="33"/>
      <c r="L10" s="33"/>
      <c r="M10" s="33"/>
      <c r="N10" s="33">
        <f>C32*'E Balans VL '!Y20/100/3.6*1000000</f>
        <v>15.066071966922145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18.608922999999997</v>
      </c>
      <c r="C13" s="33"/>
      <c r="D13" s="37">
        <f>IF( ISERROR(IND_papier_gas_kWh/1000),0,IND_papier_gas_kWh/1000)*0.902</f>
        <v>0</v>
      </c>
      <c r="E13" s="33">
        <f>C35*'E Balans VL '!I23/100/3.6*1000000</f>
        <v>2.7380115668256471E-2</v>
      </c>
      <c r="F13" s="33">
        <f>C35*'E Balans VL '!L23/100/3.6*1000000+C35*'E Balans VL '!N23/100/3.6*1000000</f>
        <v>0.19925144270862705</v>
      </c>
      <c r="G13" s="34"/>
      <c r="H13" s="33"/>
      <c r="I13" s="33"/>
      <c r="J13" s="40">
        <f>C35*'E Balans VL '!D23/100/3.6*1000000+C35*'E Balans VL '!E23/100/3.6*1000000</f>
        <v>2.0359205295794589</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467.32698999999997</v>
      </c>
      <c r="C15" s="33"/>
      <c r="D15" s="37">
        <f>IF( ISERROR(IND_rest_gas_kWh/1000),0,IND_rest_gas_kWh/1000)*0.902</f>
        <v>319.86810772400003</v>
      </c>
      <c r="E15" s="33">
        <f>C37*'E Balans VL '!I15/100/3.6*1000000</f>
        <v>22.086144786111351</v>
      </c>
      <c r="F15" s="33">
        <f>C37*'E Balans VL '!L15/100/3.6*1000000+C37*'E Balans VL '!N15/100/3.6*1000000</f>
        <v>83.085835154030221</v>
      </c>
      <c r="G15" s="34"/>
      <c r="H15" s="33"/>
      <c r="I15" s="33"/>
      <c r="J15" s="40">
        <f>C37*'E Balans VL '!D15/100/3.6*1000000+C37*'E Balans VL '!E15/100/3.6*1000000</f>
        <v>3.860688040579054</v>
      </c>
      <c r="K15" s="33"/>
      <c r="L15" s="33"/>
      <c r="M15" s="33"/>
      <c r="N15" s="33">
        <f>C37*'E Balans VL '!Y15/100/3.6*1000000</f>
        <v>18.364915319365458</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1569.591729</v>
      </c>
      <c r="C18" s="21">
        <f>C5+C16</f>
        <v>0</v>
      </c>
      <c r="D18" s="21">
        <f>MAX((D5+D16),0)</f>
        <v>1765.9890633440002</v>
      </c>
      <c r="E18" s="21">
        <f>MAX((E5+E16),0)</f>
        <v>217.8440241276607</v>
      </c>
      <c r="F18" s="21">
        <f>MAX((F5+F16),0)</f>
        <v>690.28781771988815</v>
      </c>
      <c r="G18" s="21"/>
      <c r="H18" s="21"/>
      <c r="I18" s="21"/>
      <c r="J18" s="21">
        <f>MAX((J5+J16),0)</f>
        <v>6.0202364179772605</v>
      </c>
      <c r="K18" s="21"/>
      <c r="L18" s="21">
        <f>MAX((L5+L16),0)</f>
        <v>0</v>
      </c>
      <c r="M18" s="21"/>
      <c r="N18" s="21">
        <f>MAX((N5+N16),0)</f>
        <v>85.902574794622581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0.21485007325236968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337.22689795196356</v>
      </c>
      <c r="C22" s="23">
        <f ca="1">C18*C20</f>
        <v>0</v>
      </c>
      <c r="D22" s="23">
        <f>D18*D20</f>
        <v>356.72979079548804</v>
      </c>
      <c r="E22" s="23">
        <f>E18*E20</f>
        <v>49.45059347697898</v>
      </c>
      <c r="F22" s="23">
        <f>F18*F20</f>
        <v>184.30684733121015</v>
      </c>
      <c r="G22" s="23"/>
      <c r="H22" s="23"/>
      <c r="I22" s="23"/>
      <c r="J22" s="23">
        <f>J18*J20</f>
        <v>2.1311636919639501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122.914231</v>
      </c>
      <c r="C30" s="39">
        <f>IF(ISERROR(B30*3.6/1000000/'E Balans VL '!Z18*100),0,B30*3.6/1000000/'E Balans VL '!Z18*100)</f>
        <v>7.0956467666963199E-3</v>
      </c>
      <c r="D30" s="237" t="s">
        <v>708</v>
      </c>
    </row>
    <row r="31" spans="1:18">
      <c r="A31" s="6" t="s">
        <v>32</v>
      </c>
      <c r="B31" s="37">
        <f>IF( ISERROR(IND_ander_ele_kWh/1000),0,IND_ander_ele_kWh/1000)</f>
        <v>701.462896</v>
      </c>
      <c r="C31" s="39">
        <f>IF(ISERROR(B31*3.6/1000000/'E Balans VL '!Z19*100),0,B31*3.6/1000000/'E Balans VL '!Z19*100)</f>
        <v>3.5281309964862652E-2</v>
      </c>
      <c r="D31" s="237" t="s">
        <v>708</v>
      </c>
    </row>
    <row r="32" spans="1:18">
      <c r="A32" s="171" t="s">
        <v>40</v>
      </c>
      <c r="B32" s="37">
        <f>IF( ISERROR(IND_voed_ele_kWh/1000),0,IND_voed_ele_kWh/1000)</f>
        <v>259.27868899999999</v>
      </c>
      <c r="C32" s="39">
        <f>IF(ISERROR(B32*3.6/1000000/'E Balans VL '!Z20*100),0,B32*3.6/1000000/'E Balans VL '!Z20*100)</f>
        <v>8.6355200048785306E-3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18.608922999999997</v>
      </c>
      <c r="C35" s="39">
        <f>IF(ISERROR(B35*3.6/1000000/'E Balans VL '!Z22*100),0,B35*3.6/1000000/'E Balans VL '!Z22*100)</f>
        <v>3.4711926811503216E-3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467.32698999999997</v>
      </c>
      <c r="C37" s="39">
        <f>IF(ISERROR(B37*3.6/1000000/'E Balans VL '!Z15*100),0,B37*3.6/1000000/'E Balans VL '!Z15*100)</f>
        <v>3.6464284889642365E-3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638.10881900000004</v>
      </c>
      <c r="C5" s="17">
        <f>'Eigen informatie GS &amp; warmtenet'!B62</f>
        <v>0</v>
      </c>
      <c r="D5" s="30">
        <f>IF(ISERROR(SUM(LB_lb_gas_kWh,LB_rest_gas_kWh)/1000),0,SUM(LB_lb_gas_kWh,LB_rest_gas_kWh)/1000)*0.902</f>
        <v>42.356777166000001</v>
      </c>
      <c r="E5" s="17">
        <f>B17*'E Balans VL '!I25/3.6*1000000/100</f>
        <v>19.915165818660853</v>
      </c>
      <c r="F5" s="17">
        <f>B17*('E Balans VL '!L25/3.6*1000000+'E Balans VL '!N25/3.6*1000000)/100</f>
        <v>2255.1472541340954</v>
      </c>
      <c r="G5" s="18"/>
      <c r="H5" s="17"/>
      <c r="I5" s="17"/>
      <c r="J5" s="17">
        <f>('E Balans VL '!D25+'E Balans VL '!E25)/3.6*1000000*landbouw!B17/100</f>
        <v>175.8034048803772</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638.10881900000004</v>
      </c>
      <c r="C8" s="21">
        <f>C5+C6</f>
        <v>0</v>
      </c>
      <c r="D8" s="21">
        <f>MAX((D5+D6),0)</f>
        <v>42.356777166000001</v>
      </c>
      <c r="E8" s="21">
        <f>MAX((E5+E6),0)</f>
        <v>19.915165818660853</v>
      </c>
      <c r="F8" s="21">
        <f>MAX((F5+F6),0)</f>
        <v>2255.1472541340954</v>
      </c>
      <c r="G8" s="21"/>
      <c r="H8" s="21"/>
      <c r="I8" s="21"/>
      <c r="J8" s="21">
        <f>MAX((J5+J6),0)</f>
        <v>175.8034048803772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0.21485007325236968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137.09772650513312</v>
      </c>
      <c r="C12" s="23">
        <f ca="1">C8*C10</f>
        <v>0</v>
      </c>
      <c r="D12" s="23">
        <f>D8*D10</f>
        <v>8.5560689875320008</v>
      </c>
      <c r="E12" s="23">
        <f>E8*E10</f>
        <v>4.5207426408360138</v>
      </c>
      <c r="F12" s="23">
        <f>F8*F10</f>
        <v>602.12431685380352</v>
      </c>
      <c r="G12" s="23"/>
      <c r="H12" s="23"/>
      <c r="I12" s="23"/>
      <c r="J12" s="23">
        <f>J8*J10</f>
        <v>62.234405327653526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9.4859450341661461E-2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190.41825601954261</v>
      </c>
      <c r="C26" s="247">
        <f>B26*'GWP N2O_CH4'!B5</f>
        <v>3998.7833764103948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48.17281645797236</v>
      </c>
      <c r="C27" s="247">
        <f>B27*'GWP N2O_CH4'!B5</f>
        <v>1011.6291456174196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1.8830704876872693</v>
      </c>
      <c r="C28" s="247">
        <f>B28*'GWP N2O_CH4'!B4</f>
        <v>583.75185118305342</v>
      </c>
      <c r="D28" s="50"/>
    </row>
    <row r="29" spans="1:4">
      <c r="A29" s="41" t="s">
        <v>276</v>
      </c>
      <c r="B29" s="247">
        <f>B34*'ha_N2O bodem landbouw'!B4</f>
        <v>9.1028558053357305</v>
      </c>
      <c r="C29" s="247">
        <f>B29*'GWP N2O_CH4'!B4</f>
        <v>2821.8852996540763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1.9960923848764598E-3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1.0309925063405441E-4</v>
      </c>
      <c r="C5" s="437" t="s">
        <v>210</v>
      </c>
      <c r="D5" s="422">
        <f>SUM(D6:D11)</f>
        <v>3.4381033969415302E-4</v>
      </c>
      <c r="E5" s="422">
        <f>SUM(E6:E11)</f>
        <v>3.2887937304490445E-4</v>
      </c>
      <c r="F5" s="435" t="s">
        <v>210</v>
      </c>
      <c r="G5" s="422">
        <f>SUM(G6:G11)</f>
        <v>0.25925843882087929</v>
      </c>
      <c r="H5" s="422">
        <f>SUM(H6:H11)</f>
        <v>3.2863824924976137E-2</v>
      </c>
      <c r="I5" s="437" t="s">
        <v>210</v>
      </c>
      <c r="J5" s="437" t="s">
        <v>210</v>
      </c>
      <c r="K5" s="437" t="s">
        <v>210</v>
      </c>
      <c r="L5" s="437" t="s">
        <v>210</v>
      </c>
      <c r="M5" s="422">
        <f>SUM(M6:M11)</f>
        <v>1.712000616163745E-2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4.5019111998909804E-5</v>
      </c>
      <c r="C6" s="423"/>
      <c r="D6" s="890">
        <f>vkm_GW_PW*SUMIFS(TableVerdeelsleutelVkm[CNG],TableVerdeelsleutelVkm[Voertuigtype],"Lichte voertuigen")*SUMIFS(TableECFTransport[EnergieConsumptieFactor (PJ per km)],TableECFTransport[Index],CONCATENATE($A6,"_CNG_CNG"))</f>
        <v>1.4502467564292176E-4</v>
      </c>
      <c r="E6" s="890">
        <f>vkm_GW_PW*SUMIFS(TableVerdeelsleutelVkm[LPG],TableVerdeelsleutelVkm[Voertuigtype],"Lichte voertuigen")*SUMIFS(TableECFTransport[EnergieConsumptieFactor (PJ per km)],TableECFTransport[Index],CONCATENATE($A6,"_LPG_LPG"))</f>
        <v>1.2402171010439381E-4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4.0065143915709825E-2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1.3585844581804977E-2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3.2089559124721468E-3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2.3495027306149122E-2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3.3595779459759624E-7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1.354309910334487E-3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5.0445462835999501E-6</v>
      </c>
      <c r="C8" s="423"/>
      <c r="D8" s="425">
        <f>vkm_NGW_PW*SUMIFS(TableVerdeelsleutelVkm[CNG],TableVerdeelsleutelVkm[Voertuigtype],"Lichte voertuigen")*SUMIFS(TableECFTransport[EnergieConsumptieFactor (PJ per km)],TableECFTransport[Index],CONCATENATE($A8,"_CNG_CNG"))</f>
        <v>2.7532961364955884E-5</v>
      </c>
      <c r="E8" s="425">
        <f>vkm_NGW_PW*SUMIFS(TableVerdeelsleutelVkm[LPG],TableVerdeelsleutelVkm[Voertuigtype],"Lichte voertuigen")*SUMIFS(TableECFTransport[EnergieConsumptieFactor (PJ per km)],TableECFTransport[Index],CONCATENATE($A8,"_LPG_LPG"))</f>
        <v>2.2372152110443848E-5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6.7534840633002328E-3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2.536166858509561E-3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5.5720472353905988E-4</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2.7186700899300663E-3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4.9289099880424032E-8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1.5671137552302961E-4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5.3035592351544656E-5</v>
      </c>
      <c r="C10" s="423"/>
      <c r="D10" s="425">
        <f>vkm_SW_PW*SUMIFS(TableVerdeelsleutelVkm[CNG],TableVerdeelsleutelVkm[Voertuigtype],"Lichte voertuigen")*SUMIFS(TableECFTransport[EnergieConsumptieFactor (PJ per km)],TableECFTransport[Index],CONCATENATE($A10,"_CNG_CNG"))</f>
        <v>1.7125270268627537E-4</v>
      </c>
      <c r="E10" s="425">
        <f>vkm_SW_PW*SUMIFS(TableVerdeelsleutelVkm[LPG],TableVerdeelsleutelVkm[Voertuigtype],"Lichte voertuigen")*SUMIFS(TableECFTransport[EnergieConsumptieFactor (PJ per km)],TableECFTransport[Index],CONCATENATE($A10,"_LPG_LPG"))</f>
        <v>1.824855108300668E-4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5.2525710428007431E-2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1.6739385479763266E-2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4.1360026134588277E-3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0.13370040301778258</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2.0427580038571376E-6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7.706821626309898E-3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28.638680731681784</v>
      </c>
      <c r="C14" s="21"/>
      <c r="D14" s="21">
        <f t="shared" ref="D14:M14" si="0">((D5)*10^9/3600)+D12</f>
        <v>95.502872137264717</v>
      </c>
      <c r="E14" s="21">
        <f t="shared" si="0"/>
        <v>91.355381401362351</v>
      </c>
      <c r="F14" s="21"/>
      <c r="G14" s="21">
        <f t="shared" si="0"/>
        <v>72016.233005799804</v>
      </c>
      <c r="H14" s="21">
        <f t="shared" si="0"/>
        <v>9128.8402569378159</v>
      </c>
      <c r="I14" s="21"/>
      <c r="J14" s="21"/>
      <c r="K14" s="21"/>
      <c r="L14" s="21"/>
      <c r="M14" s="21">
        <f t="shared" si="0"/>
        <v>4755.5572671215141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0.21485007325236968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6.1530226530530596</v>
      </c>
      <c r="C18" s="23"/>
      <c r="D18" s="23">
        <f t="shared" ref="D18:M18" si="1">D14*D16</f>
        <v>19.291580171727475</v>
      </c>
      <c r="E18" s="23">
        <f t="shared" si="1"/>
        <v>20.737671578109254</v>
      </c>
      <c r="F18" s="23"/>
      <c r="G18" s="23">
        <f t="shared" si="1"/>
        <v>19228.334212548551</v>
      </c>
      <c r="H18" s="23">
        <f t="shared" si="1"/>
        <v>2273.0812239775159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2.8397174399999998E-3</v>
      </c>
      <c r="C50" s="319">
        <f t="shared" ref="C50:P50" si="2">SUM(C51:C52)</f>
        <v>0</v>
      </c>
      <c r="D50" s="319">
        <f t="shared" si="2"/>
        <v>0</v>
      </c>
      <c r="E50" s="319">
        <f t="shared" si="2"/>
        <v>0</v>
      </c>
      <c r="F50" s="319">
        <f t="shared" si="2"/>
        <v>0</v>
      </c>
      <c r="G50" s="319">
        <f t="shared" si="2"/>
        <v>5.4889033609710003E-4</v>
      </c>
      <c r="H50" s="319">
        <f t="shared" si="2"/>
        <v>0</v>
      </c>
      <c r="I50" s="319">
        <f t="shared" si="2"/>
        <v>0</v>
      </c>
      <c r="J50" s="319">
        <f t="shared" si="2"/>
        <v>0</v>
      </c>
      <c r="K50" s="319">
        <f t="shared" si="2"/>
        <v>0</v>
      </c>
      <c r="L50" s="319">
        <f t="shared" si="2"/>
        <v>0</v>
      </c>
      <c r="M50" s="319">
        <f t="shared" si="2"/>
        <v>3.0502585895784E-5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5.4889033609710003E-4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3.0502585895784E-5</v>
      </c>
      <c r="N51" s="321"/>
      <c r="O51" s="321"/>
      <c r="P51" s="324"/>
    </row>
    <row r="52" spans="1:18">
      <c r="A52" s="4" t="s">
        <v>329</v>
      </c>
      <c r="B52" s="891">
        <f>vkm_tram*SUMIFS(TableECFTransport[EnergieConsumptieFactor (PJ per km)],TableECFTransport[Index],"Tram_gemiddeld_Electric_Electric")</f>
        <v>2.8397174399999998E-3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788.81039999999996</v>
      </c>
      <c r="C54" s="21">
        <f t="shared" ref="C54:P54" si="3">(C50)*10^9/3600</f>
        <v>0</v>
      </c>
      <c r="D54" s="21">
        <f t="shared" si="3"/>
        <v>0</v>
      </c>
      <c r="E54" s="21">
        <f t="shared" si="3"/>
        <v>0</v>
      </c>
      <c r="F54" s="21">
        <f t="shared" si="3"/>
        <v>0</v>
      </c>
      <c r="G54" s="21">
        <f t="shared" si="3"/>
        <v>152.46953780475002</v>
      </c>
      <c r="H54" s="21">
        <f t="shared" si="3"/>
        <v>0</v>
      </c>
      <c r="I54" s="21">
        <f t="shared" si="3"/>
        <v>0</v>
      </c>
      <c r="J54" s="21">
        <f t="shared" si="3"/>
        <v>0</v>
      </c>
      <c r="K54" s="21">
        <f t="shared" si="3"/>
        <v>0</v>
      </c>
      <c r="L54" s="21">
        <f t="shared" si="3"/>
        <v>0</v>
      </c>
      <c r="M54" s="21">
        <f t="shared" si="3"/>
        <v>8.4729405266066671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0.21485007325236968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169.47597222223104</v>
      </c>
      <c r="C58" s="23">
        <f t="shared" ref="C58:P58" ca="1" si="4">C54*C56</f>
        <v>0</v>
      </c>
      <c r="D58" s="23">
        <f t="shared" si="4"/>
        <v>0</v>
      </c>
      <c r="E58" s="23">
        <f t="shared" si="4"/>
        <v>0</v>
      </c>
      <c r="F58" s="23">
        <f t="shared" si="4"/>
        <v>0</v>
      </c>
      <c r="G58" s="23">
        <f t="shared" si="4"/>
        <v>40.709366593868261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30902.806137</v>
      </c>
      <c r="D10" s="686">
        <f ca="1">tertiair!C16</f>
        <v>0</v>
      </c>
      <c r="E10" s="686">
        <f ca="1">tertiair!D16</f>
        <v>32355.395056753998</v>
      </c>
      <c r="F10" s="686">
        <f>tertiair!E16</f>
        <v>381.54578028532649</v>
      </c>
      <c r="G10" s="686">
        <f ca="1">tertiair!F16</f>
        <v>3422.7775265696037</v>
      </c>
      <c r="H10" s="686">
        <f>tertiair!G16</f>
        <v>0</v>
      </c>
      <c r="I10" s="686">
        <f>tertiair!H16</f>
        <v>0</v>
      </c>
      <c r="J10" s="686">
        <f>tertiair!I16</f>
        <v>0</v>
      </c>
      <c r="K10" s="686">
        <f>tertiair!J16</f>
        <v>4.6144539641847879E-2</v>
      </c>
      <c r="L10" s="686">
        <f>tertiair!K16</f>
        <v>0</v>
      </c>
      <c r="M10" s="686">
        <f ca="1">tertiair!L16</f>
        <v>0</v>
      </c>
      <c r="N10" s="686">
        <f>tertiair!M16</f>
        <v>0</v>
      </c>
      <c r="O10" s="686">
        <f ca="1">tertiair!N16</f>
        <v>1817.3868562510102</v>
      </c>
      <c r="P10" s="686">
        <f>tertiair!O16</f>
        <v>24.486303829205774</v>
      </c>
      <c r="Q10" s="687">
        <f>tertiair!P16</f>
        <v>0</v>
      </c>
      <c r="R10" s="689">
        <f ca="1">SUM(C10:Q10)</f>
        <v>68904.443805228773</v>
      </c>
      <c r="S10" s="67"/>
    </row>
    <row r="11" spans="1:19" s="448" customFormat="1">
      <c r="A11" s="808" t="s">
        <v>224</v>
      </c>
      <c r="B11" s="813"/>
      <c r="C11" s="686">
        <f>huishoudens!B8</f>
        <v>22963.664741919554</v>
      </c>
      <c r="D11" s="686">
        <f>huishoudens!C8</f>
        <v>0</v>
      </c>
      <c r="E11" s="686">
        <f>huishoudens!D8</f>
        <v>54016.740302799997</v>
      </c>
      <c r="F11" s="686">
        <f>huishoudens!E8</f>
        <v>0</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0</v>
      </c>
      <c r="P11" s="686">
        <f>huishoudens!O8</f>
        <v>194.42790549992912</v>
      </c>
      <c r="Q11" s="687">
        <f>huishoudens!P8</f>
        <v>105.33959307685021</v>
      </c>
      <c r="R11" s="689">
        <f>SUM(C11:Q11)</f>
        <v>77280.172543296329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1569.591729</v>
      </c>
      <c r="D13" s="686">
        <f>industrie!C18</f>
        <v>0</v>
      </c>
      <c r="E13" s="686">
        <f>industrie!D18</f>
        <v>1765.9890633440002</v>
      </c>
      <c r="F13" s="686">
        <f>industrie!E18</f>
        <v>217.8440241276607</v>
      </c>
      <c r="G13" s="686">
        <f>industrie!F18</f>
        <v>690.28781771988815</v>
      </c>
      <c r="H13" s="686">
        <f>industrie!G18</f>
        <v>0</v>
      </c>
      <c r="I13" s="686">
        <f>industrie!H18</f>
        <v>0</v>
      </c>
      <c r="J13" s="686">
        <f>industrie!I18</f>
        <v>0</v>
      </c>
      <c r="K13" s="686">
        <f>industrie!J18</f>
        <v>6.0202364179772605</v>
      </c>
      <c r="L13" s="686">
        <f>industrie!K18</f>
        <v>0</v>
      </c>
      <c r="M13" s="686">
        <f>industrie!L18</f>
        <v>0</v>
      </c>
      <c r="N13" s="686">
        <f>industrie!M18</f>
        <v>0</v>
      </c>
      <c r="O13" s="686">
        <f>industrie!N18</f>
        <v>85.902574794622581</v>
      </c>
      <c r="P13" s="686">
        <f>industrie!O18</f>
        <v>0</v>
      </c>
      <c r="Q13" s="687">
        <f>industrie!P18</f>
        <v>0</v>
      </c>
      <c r="R13" s="689">
        <f>SUM(C13:Q13)</f>
        <v>4335.6354454041493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55436.062607919557</v>
      </c>
      <c r="D16" s="722">
        <f t="shared" ref="D16:R16" ca="1" si="0">SUM(D9:D15)</f>
        <v>0</v>
      </c>
      <c r="E16" s="722">
        <f t="shared" ca="1" si="0"/>
        <v>88138.124422897992</v>
      </c>
      <c r="F16" s="722">
        <f t="shared" si="0"/>
        <v>599.38980441298713</v>
      </c>
      <c r="G16" s="722">
        <f t="shared" ca="1" si="0"/>
        <v>4113.0653442894918</v>
      </c>
      <c r="H16" s="722">
        <f t="shared" si="0"/>
        <v>0</v>
      </c>
      <c r="I16" s="722">
        <f t="shared" si="0"/>
        <v>0</v>
      </c>
      <c r="J16" s="722">
        <f t="shared" si="0"/>
        <v>0</v>
      </c>
      <c r="K16" s="722">
        <f t="shared" si="0"/>
        <v>6.0663809576191081</v>
      </c>
      <c r="L16" s="722">
        <f t="shared" si="0"/>
        <v>0</v>
      </c>
      <c r="M16" s="722">
        <f t="shared" ca="1" si="0"/>
        <v>0</v>
      </c>
      <c r="N16" s="722">
        <f t="shared" si="0"/>
        <v>0</v>
      </c>
      <c r="O16" s="722">
        <f t="shared" ca="1" si="0"/>
        <v>1903.2894310456327</v>
      </c>
      <c r="P16" s="722">
        <f t="shared" si="0"/>
        <v>218.91420932913491</v>
      </c>
      <c r="Q16" s="722">
        <f t="shared" si="0"/>
        <v>105.33959307685021</v>
      </c>
      <c r="R16" s="722">
        <f t="shared" ca="1" si="0"/>
        <v>150520.25179392926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788.81039999999996</v>
      </c>
      <c r="D19" s="686">
        <f>transport!C54</f>
        <v>0</v>
      </c>
      <c r="E19" s="686">
        <f>transport!D54</f>
        <v>0</v>
      </c>
      <c r="F19" s="686">
        <f>transport!E54</f>
        <v>0</v>
      </c>
      <c r="G19" s="686">
        <f>transport!F54</f>
        <v>0</v>
      </c>
      <c r="H19" s="686">
        <f>transport!G54</f>
        <v>152.46953780475002</v>
      </c>
      <c r="I19" s="686">
        <f>transport!H54</f>
        <v>0</v>
      </c>
      <c r="J19" s="686">
        <f>transport!I54</f>
        <v>0</v>
      </c>
      <c r="K19" s="686">
        <f>transport!J54</f>
        <v>0</v>
      </c>
      <c r="L19" s="686">
        <f>transport!K54</f>
        <v>0</v>
      </c>
      <c r="M19" s="686">
        <f>transport!L54</f>
        <v>0</v>
      </c>
      <c r="N19" s="686">
        <f>transport!M54</f>
        <v>8.4729405266066671</v>
      </c>
      <c r="O19" s="686">
        <f>transport!N54</f>
        <v>0</v>
      </c>
      <c r="P19" s="686">
        <f>transport!O54</f>
        <v>0</v>
      </c>
      <c r="Q19" s="687">
        <f>transport!P54</f>
        <v>0</v>
      </c>
      <c r="R19" s="689">
        <f>SUM(C19:Q19)</f>
        <v>949.75287833135667</v>
      </c>
      <c r="S19" s="67"/>
    </row>
    <row r="20" spans="1:19" s="448" customFormat="1">
      <c r="A20" s="808" t="s">
        <v>306</v>
      </c>
      <c r="B20" s="813"/>
      <c r="C20" s="686">
        <f>transport!B14</f>
        <v>28.638680731681784</v>
      </c>
      <c r="D20" s="686">
        <f>transport!C14</f>
        <v>0</v>
      </c>
      <c r="E20" s="686">
        <f>transport!D14</f>
        <v>95.502872137264717</v>
      </c>
      <c r="F20" s="686">
        <f>transport!E14</f>
        <v>91.355381401362351</v>
      </c>
      <c r="G20" s="686">
        <f>transport!F14</f>
        <v>0</v>
      </c>
      <c r="H20" s="686">
        <f>transport!G14</f>
        <v>72016.233005799804</v>
      </c>
      <c r="I20" s="686">
        <f>transport!H14</f>
        <v>9128.8402569378159</v>
      </c>
      <c r="J20" s="686">
        <f>transport!I14</f>
        <v>0</v>
      </c>
      <c r="K20" s="686">
        <f>transport!J14</f>
        <v>0</v>
      </c>
      <c r="L20" s="686">
        <f>transport!K14</f>
        <v>0</v>
      </c>
      <c r="M20" s="686">
        <f>transport!L14</f>
        <v>0</v>
      </c>
      <c r="N20" s="686">
        <f>transport!M14</f>
        <v>4755.5572671215141</v>
      </c>
      <c r="O20" s="686">
        <f>transport!N14</f>
        <v>0</v>
      </c>
      <c r="P20" s="686">
        <f>transport!O14</f>
        <v>0</v>
      </c>
      <c r="Q20" s="687">
        <f>transport!P14</f>
        <v>0</v>
      </c>
      <c r="R20" s="689">
        <f>SUM(C20:Q20)</f>
        <v>86116.127464129459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817.44908073168176</v>
      </c>
      <c r="D22" s="811">
        <f t="shared" ref="D22:R22" si="1">SUM(D18:D21)</f>
        <v>0</v>
      </c>
      <c r="E22" s="811">
        <f t="shared" si="1"/>
        <v>95.502872137264717</v>
      </c>
      <c r="F22" s="811">
        <f t="shared" si="1"/>
        <v>91.355381401362351</v>
      </c>
      <c r="G22" s="811">
        <f t="shared" si="1"/>
        <v>0</v>
      </c>
      <c r="H22" s="811">
        <f t="shared" si="1"/>
        <v>72168.702543604551</v>
      </c>
      <c r="I22" s="811">
        <f t="shared" si="1"/>
        <v>9128.8402569378159</v>
      </c>
      <c r="J22" s="811">
        <f t="shared" si="1"/>
        <v>0</v>
      </c>
      <c r="K22" s="811">
        <f t="shared" si="1"/>
        <v>0</v>
      </c>
      <c r="L22" s="811">
        <f t="shared" si="1"/>
        <v>0</v>
      </c>
      <c r="M22" s="811">
        <f t="shared" si="1"/>
        <v>0</v>
      </c>
      <c r="N22" s="811">
        <f t="shared" si="1"/>
        <v>4764.0302076481212</v>
      </c>
      <c r="O22" s="811">
        <f t="shared" si="1"/>
        <v>0</v>
      </c>
      <c r="P22" s="811">
        <f t="shared" si="1"/>
        <v>0</v>
      </c>
      <c r="Q22" s="811">
        <f t="shared" si="1"/>
        <v>0</v>
      </c>
      <c r="R22" s="811">
        <f t="shared" si="1"/>
        <v>87065.88034246082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638.10881900000004</v>
      </c>
      <c r="D24" s="686">
        <f>+landbouw!C8</f>
        <v>0</v>
      </c>
      <c r="E24" s="686">
        <f>+landbouw!D8</f>
        <v>42.356777166000001</v>
      </c>
      <c r="F24" s="686">
        <f>+landbouw!E8</f>
        <v>19.915165818660853</v>
      </c>
      <c r="G24" s="686">
        <f>+landbouw!F8</f>
        <v>2255.1472541340954</v>
      </c>
      <c r="H24" s="686">
        <f>+landbouw!G8</f>
        <v>0</v>
      </c>
      <c r="I24" s="686">
        <f>+landbouw!H8</f>
        <v>0</v>
      </c>
      <c r="J24" s="686">
        <f>+landbouw!I8</f>
        <v>0</v>
      </c>
      <c r="K24" s="686">
        <f>+landbouw!J8</f>
        <v>175.8034048803772</v>
      </c>
      <c r="L24" s="686">
        <f>+landbouw!K8</f>
        <v>0</v>
      </c>
      <c r="M24" s="686">
        <f>+landbouw!L8</f>
        <v>0</v>
      </c>
      <c r="N24" s="686">
        <f>+landbouw!M8</f>
        <v>0</v>
      </c>
      <c r="O24" s="686">
        <f>+landbouw!N8</f>
        <v>0</v>
      </c>
      <c r="P24" s="686">
        <f>+landbouw!O8</f>
        <v>0</v>
      </c>
      <c r="Q24" s="687">
        <f>+landbouw!P8</f>
        <v>0</v>
      </c>
      <c r="R24" s="689">
        <f>SUM(C24:Q24)</f>
        <v>3131.3314209991336</v>
      </c>
      <c r="S24" s="67"/>
    </row>
    <row r="25" spans="1:19" s="448" customFormat="1" ht="15" thickBot="1">
      <c r="A25" s="830" t="s">
        <v>724</v>
      </c>
      <c r="B25" s="949"/>
      <c r="C25" s="950">
        <f>IF(Onbekend_ele_kWh="---",0,Onbekend_ele_kWh)/1000+IF(REST_rest_ele_kWh="---",0,REST_rest_ele_kWh)/1000</f>
        <v>4808.7335650000005</v>
      </c>
      <c r="D25" s="950"/>
      <c r="E25" s="950">
        <f>IF(onbekend_gas_kWh="---",0,onbekend_gas_kWh)/1000+IF(REST_rest_gas_kWh="---",0,REST_rest_gas_kWh)/1000</f>
        <v>6297.5539630000003</v>
      </c>
      <c r="F25" s="950"/>
      <c r="G25" s="950"/>
      <c r="H25" s="950"/>
      <c r="I25" s="950"/>
      <c r="J25" s="950"/>
      <c r="K25" s="950"/>
      <c r="L25" s="950"/>
      <c r="M25" s="950"/>
      <c r="N25" s="950"/>
      <c r="O25" s="950"/>
      <c r="P25" s="950"/>
      <c r="Q25" s="951"/>
      <c r="R25" s="689">
        <f>SUM(C25:Q25)</f>
        <v>11106.287528000001</v>
      </c>
      <c r="S25" s="67"/>
    </row>
    <row r="26" spans="1:19" s="448" customFormat="1" ht="15.75" thickBot="1">
      <c r="A26" s="694" t="s">
        <v>725</v>
      </c>
      <c r="B26" s="816"/>
      <c r="C26" s="811">
        <f>SUM(C24:C25)</f>
        <v>5446.8423840000005</v>
      </c>
      <c r="D26" s="811">
        <f t="shared" ref="D26:R26" si="2">SUM(D24:D25)</f>
        <v>0</v>
      </c>
      <c r="E26" s="811">
        <f t="shared" si="2"/>
        <v>6339.9107401660003</v>
      </c>
      <c r="F26" s="811">
        <f t="shared" si="2"/>
        <v>19.915165818660853</v>
      </c>
      <c r="G26" s="811">
        <f t="shared" si="2"/>
        <v>2255.1472541340954</v>
      </c>
      <c r="H26" s="811">
        <f t="shared" si="2"/>
        <v>0</v>
      </c>
      <c r="I26" s="811">
        <f t="shared" si="2"/>
        <v>0</v>
      </c>
      <c r="J26" s="811">
        <f t="shared" si="2"/>
        <v>0</v>
      </c>
      <c r="K26" s="811">
        <f t="shared" si="2"/>
        <v>175.8034048803772</v>
      </c>
      <c r="L26" s="811">
        <f t="shared" si="2"/>
        <v>0</v>
      </c>
      <c r="M26" s="811">
        <f t="shared" si="2"/>
        <v>0</v>
      </c>
      <c r="N26" s="811">
        <f t="shared" si="2"/>
        <v>0</v>
      </c>
      <c r="O26" s="811">
        <f t="shared" si="2"/>
        <v>0</v>
      </c>
      <c r="P26" s="811">
        <f t="shared" si="2"/>
        <v>0</v>
      </c>
      <c r="Q26" s="811">
        <f t="shared" si="2"/>
        <v>0</v>
      </c>
      <c r="R26" s="811">
        <f t="shared" si="2"/>
        <v>14237.618948999134</v>
      </c>
      <c r="S26" s="67"/>
    </row>
    <row r="27" spans="1:19" s="448" customFormat="1" ht="17.25" thickTop="1" thickBot="1">
      <c r="A27" s="695" t="s">
        <v>115</v>
      </c>
      <c r="B27" s="803"/>
      <c r="C27" s="696">
        <f ca="1">C22+C16+C26</f>
        <v>61700.354072651244</v>
      </c>
      <c r="D27" s="696">
        <f t="shared" ref="D27:R27" ca="1" si="3">D22+D16+D26</f>
        <v>0</v>
      </c>
      <c r="E27" s="696">
        <f t="shared" ca="1" si="3"/>
        <v>94573.538035201258</v>
      </c>
      <c r="F27" s="696">
        <f t="shared" si="3"/>
        <v>710.66035163301035</v>
      </c>
      <c r="G27" s="696">
        <f t="shared" ca="1" si="3"/>
        <v>6368.2125984235872</v>
      </c>
      <c r="H27" s="696">
        <f t="shared" si="3"/>
        <v>72168.702543604551</v>
      </c>
      <c r="I27" s="696">
        <f t="shared" si="3"/>
        <v>9128.8402569378159</v>
      </c>
      <c r="J27" s="696">
        <f t="shared" si="3"/>
        <v>0</v>
      </c>
      <c r="K27" s="696">
        <f t="shared" si="3"/>
        <v>181.86978583799632</v>
      </c>
      <c r="L27" s="696">
        <f t="shared" si="3"/>
        <v>0</v>
      </c>
      <c r="M27" s="696">
        <f t="shared" ca="1" si="3"/>
        <v>0</v>
      </c>
      <c r="N27" s="696">
        <f t="shared" si="3"/>
        <v>4764.0302076481212</v>
      </c>
      <c r="O27" s="696">
        <f t="shared" ca="1" si="3"/>
        <v>1903.2894310456327</v>
      </c>
      <c r="P27" s="696">
        <f t="shared" si="3"/>
        <v>218.91420932913491</v>
      </c>
      <c r="Q27" s="696">
        <f t="shared" si="3"/>
        <v>105.33959307685021</v>
      </c>
      <c r="R27" s="696">
        <f t="shared" ca="1" si="3"/>
        <v>251823.7510853892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6639.470162238229</v>
      </c>
      <c r="D40" s="686">
        <f ca="1">tertiair!C20</f>
        <v>0</v>
      </c>
      <c r="E40" s="686">
        <f ca="1">tertiair!D20</f>
        <v>6535.7898014643079</v>
      </c>
      <c r="F40" s="686">
        <f>tertiair!E20</f>
        <v>86.610892124769109</v>
      </c>
      <c r="G40" s="686">
        <f ca="1">tertiair!F20</f>
        <v>913.88159959408426</v>
      </c>
      <c r="H40" s="686">
        <f>tertiair!G20</f>
        <v>0</v>
      </c>
      <c r="I40" s="686">
        <f>tertiair!H20</f>
        <v>0</v>
      </c>
      <c r="J40" s="686">
        <f>tertiair!I20</f>
        <v>0</v>
      </c>
      <c r="K40" s="686">
        <f>tertiair!J20</f>
        <v>1.6335167033214148E-2</v>
      </c>
      <c r="L40" s="686">
        <f>tertiair!K20</f>
        <v>0</v>
      </c>
      <c r="M40" s="686">
        <f ca="1">tertiair!L20</f>
        <v>0</v>
      </c>
      <c r="N40" s="686">
        <f>tertiair!M20</f>
        <v>0</v>
      </c>
      <c r="O40" s="686">
        <f ca="1">tertiair!N20</f>
        <v>0</v>
      </c>
      <c r="P40" s="686">
        <f>tertiair!O20</f>
        <v>0</v>
      </c>
      <c r="Q40" s="769">
        <f>tertiair!P20</f>
        <v>0</v>
      </c>
      <c r="R40" s="849">
        <f t="shared" ca="1" si="4"/>
        <v>14175.768790588423</v>
      </c>
    </row>
    <row r="41" spans="1:18">
      <c r="A41" s="821" t="s">
        <v>224</v>
      </c>
      <c r="B41" s="828"/>
      <c r="C41" s="686">
        <f ca="1">huishoudens!B12</f>
        <v>4933.7450519442755</v>
      </c>
      <c r="D41" s="686">
        <f ca="1">huishoudens!C12</f>
        <v>0</v>
      </c>
      <c r="E41" s="686">
        <f>huishoudens!D12</f>
        <v>10911.3815411656</v>
      </c>
      <c r="F41" s="686">
        <f>huishoudens!E12</f>
        <v>0</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15845.126593109875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337.22689795196356</v>
      </c>
      <c r="D43" s="686">
        <f ca="1">industrie!C22</f>
        <v>0</v>
      </c>
      <c r="E43" s="686">
        <f>industrie!D22</f>
        <v>356.72979079548804</v>
      </c>
      <c r="F43" s="686">
        <f>industrie!E22</f>
        <v>49.45059347697898</v>
      </c>
      <c r="G43" s="686">
        <f>industrie!F22</f>
        <v>184.30684733121015</v>
      </c>
      <c r="H43" s="686">
        <f>industrie!G22</f>
        <v>0</v>
      </c>
      <c r="I43" s="686">
        <f>industrie!H22</f>
        <v>0</v>
      </c>
      <c r="J43" s="686">
        <f>industrie!I22</f>
        <v>0</v>
      </c>
      <c r="K43" s="686">
        <f>industrie!J22</f>
        <v>2.1311636919639501</v>
      </c>
      <c r="L43" s="686">
        <f>industrie!K22</f>
        <v>0</v>
      </c>
      <c r="M43" s="686">
        <f>industrie!L22</f>
        <v>0</v>
      </c>
      <c r="N43" s="686">
        <f>industrie!M22</f>
        <v>0</v>
      </c>
      <c r="O43" s="686">
        <f>industrie!N22</f>
        <v>0</v>
      </c>
      <c r="P43" s="686">
        <f>industrie!O22</f>
        <v>0</v>
      </c>
      <c r="Q43" s="769">
        <f>industrie!P22</f>
        <v>0</v>
      </c>
      <c r="R43" s="848">
        <f t="shared" ca="1" si="4"/>
        <v>929.84529324760467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11910.442112134468</v>
      </c>
      <c r="D46" s="722">
        <f t="shared" ref="D46:Q46" ca="1" si="5">SUM(D39:D45)</f>
        <v>0</v>
      </c>
      <c r="E46" s="722">
        <f t="shared" ca="1" si="5"/>
        <v>17803.901133425396</v>
      </c>
      <c r="F46" s="722">
        <f t="shared" si="5"/>
        <v>136.06148560174807</v>
      </c>
      <c r="G46" s="722">
        <f t="shared" ca="1" si="5"/>
        <v>1098.1884469252943</v>
      </c>
      <c r="H46" s="722">
        <f t="shared" si="5"/>
        <v>0</v>
      </c>
      <c r="I46" s="722">
        <f t="shared" si="5"/>
        <v>0</v>
      </c>
      <c r="J46" s="722">
        <f t="shared" si="5"/>
        <v>0</v>
      </c>
      <c r="K46" s="722">
        <f t="shared" si="5"/>
        <v>2.1474988589971642</v>
      </c>
      <c r="L46" s="722">
        <f t="shared" si="5"/>
        <v>0</v>
      </c>
      <c r="M46" s="722">
        <f t="shared" ca="1" si="5"/>
        <v>0</v>
      </c>
      <c r="N46" s="722">
        <f t="shared" si="5"/>
        <v>0</v>
      </c>
      <c r="O46" s="722">
        <f t="shared" ca="1" si="5"/>
        <v>0</v>
      </c>
      <c r="P46" s="722">
        <f t="shared" si="5"/>
        <v>0</v>
      </c>
      <c r="Q46" s="722">
        <f t="shared" si="5"/>
        <v>0</v>
      </c>
      <c r="R46" s="722">
        <f ca="1">SUM(R39:R45)</f>
        <v>30950.740676945901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169.47597222223104</v>
      </c>
      <c r="D49" s="686">
        <f ca="1">transport!C58</f>
        <v>0</v>
      </c>
      <c r="E49" s="686">
        <f>transport!D58</f>
        <v>0</v>
      </c>
      <c r="F49" s="686">
        <f>transport!E58</f>
        <v>0</v>
      </c>
      <c r="G49" s="686">
        <f>transport!F58</f>
        <v>0</v>
      </c>
      <c r="H49" s="686">
        <f>transport!G58</f>
        <v>40.709366593868261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210.18533881609929</v>
      </c>
    </row>
    <row r="50" spans="1:18">
      <c r="A50" s="824" t="s">
        <v>306</v>
      </c>
      <c r="B50" s="834"/>
      <c r="C50" s="692">
        <f ca="1">transport!B18</f>
        <v>6.1530226530530596</v>
      </c>
      <c r="D50" s="692">
        <f>transport!C18</f>
        <v>0</v>
      </c>
      <c r="E50" s="692">
        <f>transport!D18</f>
        <v>19.291580171727475</v>
      </c>
      <c r="F50" s="692">
        <f>transport!E18</f>
        <v>20.737671578109254</v>
      </c>
      <c r="G50" s="692">
        <f>transport!F18</f>
        <v>0</v>
      </c>
      <c r="H50" s="692">
        <f>transport!G18</f>
        <v>19228.334212548551</v>
      </c>
      <c r="I50" s="692">
        <f>transport!H18</f>
        <v>2273.0812239775159</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21547.597710928956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175.62899487528409</v>
      </c>
      <c r="D52" s="722">
        <f t="shared" ref="D52:Q52" ca="1" si="6">SUM(D48:D51)</f>
        <v>0</v>
      </c>
      <c r="E52" s="722">
        <f t="shared" si="6"/>
        <v>19.291580171727475</v>
      </c>
      <c r="F52" s="722">
        <f t="shared" si="6"/>
        <v>20.737671578109254</v>
      </c>
      <c r="G52" s="722">
        <f t="shared" si="6"/>
        <v>0</v>
      </c>
      <c r="H52" s="722">
        <f t="shared" si="6"/>
        <v>19269.043579142421</v>
      </c>
      <c r="I52" s="722">
        <f t="shared" si="6"/>
        <v>2273.0812239775159</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21757.783049745056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137.09772650513312</v>
      </c>
      <c r="D54" s="692">
        <f ca="1">+landbouw!C12</f>
        <v>0</v>
      </c>
      <c r="E54" s="692">
        <f>+landbouw!D12</f>
        <v>8.5560689875320008</v>
      </c>
      <c r="F54" s="692">
        <f>+landbouw!E12</f>
        <v>4.5207426408360138</v>
      </c>
      <c r="G54" s="692">
        <f>+landbouw!F12</f>
        <v>602.12431685380352</v>
      </c>
      <c r="H54" s="692">
        <f>+landbouw!G12</f>
        <v>0</v>
      </c>
      <c r="I54" s="692">
        <f>+landbouw!H12</f>
        <v>0</v>
      </c>
      <c r="J54" s="692">
        <f>+landbouw!I12</f>
        <v>0</v>
      </c>
      <c r="K54" s="692">
        <f>+landbouw!J12</f>
        <v>62.234405327653526</v>
      </c>
      <c r="L54" s="692">
        <f>+landbouw!K12</f>
        <v>0</v>
      </c>
      <c r="M54" s="692">
        <f>+landbouw!L12</f>
        <v>0</v>
      </c>
      <c r="N54" s="692">
        <f>+landbouw!M12</f>
        <v>0</v>
      </c>
      <c r="O54" s="692">
        <f>+landbouw!N12</f>
        <v>0</v>
      </c>
      <c r="P54" s="692">
        <f>+landbouw!O12</f>
        <v>0</v>
      </c>
      <c r="Q54" s="693">
        <f>+landbouw!P12</f>
        <v>0</v>
      </c>
      <c r="R54" s="721">
        <f ca="1">SUM(C54:Q54)</f>
        <v>814.53326031495817</v>
      </c>
    </row>
    <row r="55" spans="1:18" ht="15" thickBot="1">
      <c r="A55" s="824" t="s">
        <v>724</v>
      </c>
      <c r="B55" s="834"/>
      <c r="C55" s="692">
        <f ca="1">C25*'EF ele_warmte'!B12</f>
        <v>1033.1567586913789</v>
      </c>
      <c r="D55" s="692"/>
      <c r="E55" s="692">
        <f>E25*EF_CO2_aardgas</f>
        <v>1272.1059005260001</v>
      </c>
      <c r="F55" s="692"/>
      <c r="G55" s="692"/>
      <c r="H55" s="692"/>
      <c r="I55" s="692"/>
      <c r="J55" s="692"/>
      <c r="K55" s="692"/>
      <c r="L55" s="692"/>
      <c r="M55" s="692"/>
      <c r="N55" s="692"/>
      <c r="O55" s="692"/>
      <c r="P55" s="692"/>
      <c r="Q55" s="693"/>
      <c r="R55" s="721">
        <f ca="1">SUM(C55:Q55)</f>
        <v>2305.2626592173792</v>
      </c>
    </row>
    <row r="56" spans="1:18" ht="15.75" thickBot="1">
      <c r="A56" s="822" t="s">
        <v>725</v>
      </c>
      <c r="B56" s="835"/>
      <c r="C56" s="722">
        <f ca="1">SUM(C54:C55)</f>
        <v>1170.254485196512</v>
      </c>
      <c r="D56" s="722">
        <f t="shared" ref="D56:Q56" ca="1" si="7">SUM(D54:D55)</f>
        <v>0</v>
      </c>
      <c r="E56" s="722">
        <f t="shared" si="7"/>
        <v>1280.6619695135321</v>
      </c>
      <c r="F56" s="722">
        <f t="shared" si="7"/>
        <v>4.5207426408360138</v>
      </c>
      <c r="G56" s="722">
        <f t="shared" si="7"/>
        <v>602.12431685380352</v>
      </c>
      <c r="H56" s="722">
        <f t="shared" si="7"/>
        <v>0</v>
      </c>
      <c r="I56" s="722">
        <f t="shared" si="7"/>
        <v>0</v>
      </c>
      <c r="J56" s="722">
        <f t="shared" si="7"/>
        <v>0</v>
      </c>
      <c r="K56" s="722">
        <f t="shared" si="7"/>
        <v>62.234405327653526</v>
      </c>
      <c r="L56" s="722">
        <f t="shared" si="7"/>
        <v>0</v>
      </c>
      <c r="M56" s="722">
        <f t="shared" si="7"/>
        <v>0</v>
      </c>
      <c r="N56" s="722">
        <f t="shared" si="7"/>
        <v>0</v>
      </c>
      <c r="O56" s="722">
        <f t="shared" si="7"/>
        <v>0</v>
      </c>
      <c r="P56" s="722">
        <f t="shared" si="7"/>
        <v>0</v>
      </c>
      <c r="Q56" s="723">
        <f t="shared" si="7"/>
        <v>0</v>
      </c>
      <c r="R56" s="724">
        <f ca="1">SUM(R54:R55)</f>
        <v>3119.7959195323374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13256.325592206264</v>
      </c>
      <c r="D61" s="730">
        <f t="shared" ref="D61:Q61" ca="1" si="8">D46+D52+D56</f>
        <v>0</v>
      </c>
      <c r="E61" s="730">
        <f t="shared" ca="1" si="8"/>
        <v>19103.854683110654</v>
      </c>
      <c r="F61" s="730">
        <f t="shared" si="8"/>
        <v>161.31989982069334</v>
      </c>
      <c r="G61" s="730">
        <f t="shared" ca="1" si="8"/>
        <v>1700.3127637790978</v>
      </c>
      <c r="H61" s="730">
        <f t="shared" si="8"/>
        <v>19269.043579142421</v>
      </c>
      <c r="I61" s="730">
        <f t="shared" si="8"/>
        <v>2273.0812239775159</v>
      </c>
      <c r="J61" s="730">
        <f t="shared" si="8"/>
        <v>0</v>
      </c>
      <c r="K61" s="730">
        <f t="shared" si="8"/>
        <v>64.381904186650686</v>
      </c>
      <c r="L61" s="730">
        <f t="shared" si="8"/>
        <v>0</v>
      </c>
      <c r="M61" s="730">
        <f t="shared" ca="1" si="8"/>
        <v>0</v>
      </c>
      <c r="N61" s="730">
        <f t="shared" si="8"/>
        <v>0</v>
      </c>
      <c r="O61" s="730">
        <f t="shared" ca="1" si="8"/>
        <v>0</v>
      </c>
      <c r="P61" s="730">
        <f t="shared" si="8"/>
        <v>0</v>
      </c>
      <c r="Q61" s="730">
        <f t="shared" si="8"/>
        <v>0</v>
      </c>
      <c r="R61" s="730">
        <f ca="1">R46+R52+R56</f>
        <v>55828.319646223288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0.21485007325236966</v>
      </c>
      <c r="D63" s="776">
        <f t="shared" ca="1" si="9"/>
        <v>0</v>
      </c>
      <c r="E63" s="975">
        <f t="shared" ca="1" si="9"/>
        <v>0.20200000000000001</v>
      </c>
      <c r="F63" s="776">
        <f t="shared" si="9"/>
        <v>0.22699999999999998</v>
      </c>
      <c r="G63" s="776">
        <f t="shared" ca="1" si="9"/>
        <v>0.26700000000000002</v>
      </c>
      <c r="H63" s="776">
        <f t="shared" si="9"/>
        <v>0.26700000000000007</v>
      </c>
      <c r="I63" s="776">
        <f t="shared" si="9"/>
        <v>0.24899999999999997</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1716.9803522608984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1716.9803522608984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1716.9803522608984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1716.9803522608984</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22963.664741919554</v>
      </c>
      <c r="C4" s="452">
        <f>huishoudens!C8</f>
        <v>0</v>
      </c>
      <c r="D4" s="452">
        <f>huishoudens!D8</f>
        <v>54016.740302799997</v>
      </c>
      <c r="E4" s="452">
        <f>huishoudens!E8</f>
        <v>0</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0</v>
      </c>
      <c r="O4" s="452">
        <f>huishoudens!O8</f>
        <v>194.42790549992912</v>
      </c>
      <c r="P4" s="453">
        <f>huishoudens!P8</f>
        <v>105.33959307685021</v>
      </c>
      <c r="Q4" s="454">
        <f>SUM(B4:P4)</f>
        <v>77280.172543296329</v>
      </c>
    </row>
    <row r="5" spans="1:17">
      <c r="A5" s="451" t="s">
        <v>155</v>
      </c>
      <c r="B5" s="452">
        <f ca="1">tertiair!B16</f>
        <v>29441.235137</v>
      </c>
      <c r="C5" s="452">
        <f ca="1">tertiair!C16</f>
        <v>0</v>
      </c>
      <c r="D5" s="452">
        <f ca="1">tertiair!D16</f>
        <v>32355.395056753998</v>
      </c>
      <c r="E5" s="452">
        <f>tertiair!E16</f>
        <v>381.54578028532649</v>
      </c>
      <c r="F5" s="452">
        <f ca="1">tertiair!F16</f>
        <v>3422.7775265696037</v>
      </c>
      <c r="G5" s="452">
        <f>tertiair!G16</f>
        <v>0</v>
      </c>
      <c r="H5" s="452">
        <f>tertiair!H16</f>
        <v>0</v>
      </c>
      <c r="I5" s="452">
        <f>tertiair!I16</f>
        <v>0</v>
      </c>
      <c r="J5" s="452">
        <f>tertiair!J16</f>
        <v>4.6144539641847879E-2</v>
      </c>
      <c r="K5" s="452">
        <f>tertiair!K16</f>
        <v>0</v>
      </c>
      <c r="L5" s="452">
        <f ca="1">tertiair!L16</f>
        <v>0</v>
      </c>
      <c r="M5" s="452">
        <f>tertiair!M16</f>
        <v>0</v>
      </c>
      <c r="N5" s="452">
        <f ca="1">tertiair!N16</f>
        <v>1817.3868562510102</v>
      </c>
      <c r="O5" s="452">
        <f>tertiair!O16</f>
        <v>24.486303829205774</v>
      </c>
      <c r="P5" s="453">
        <f>tertiair!P16</f>
        <v>0</v>
      </c>
      <c r="Q5" s="451">
        <f t="shared" ref="Q5:Q14" ca="1" si="0">SUM(B5:P5)</f>
        <v>67442.872805228777</v>
      </c>
    </row>
    <row r="6" spans="1:17">
      <c r="A6" s="451" t="s">
        <v>193</v>
      </c>
      <c r="B6" s="452">
        <f>'openbare verlichting'!B8</f>
        <v>1461.5709999999999</v>
      </c>
      <c r="C6" s="452"/>
      <c r="D6" s="452"/>
      <c r="E6" s="452"/>
      <c r="F6" s="452"/>
      <c r="G6" s="452"/>
      <c r="H6" s="452"/>
      <c r="I6" s="452"/>
      <c r="J6" s="452"/>
      <c r="K6" s="452"/>
      <c r="L6" s="452"/>
      <c r="M6" s="452"/>
      <c r="N6" s="452"/>
      <c r="O6" s="452"/>
      <c r="P6" s="453"/>
      <c r="Q6" s="451">
        <f t="shared" si="0"/>
        <v>1461.5709999999999</v>
      </c>
    </row>
    <row r="7" spans="1:17">
      <c r="A7" s="451" t="s">
        <v>111</v>
      </c>
      <c r="B7" s="452">
        <f>landbouw!B8</f>
        <v>638.10881900000004</v>
      </c>
      <c r="C7" s="452">
        <f>landbouw!C8</f>
        <v>0</v>
      </c>
      <c r="D7" s="452">
        <f>landbouw!D8</f>
        <v>42.356777166000001</v>
      </c>
      <c r="E7" s="452">
        <f>landbouw!E8</f>
        <v>19.915165818660853</v>
      </c>
      <c r="F7" s="452">
        <f>landbouw!F8</f>
        <v>2255.1472541340954</v>
      </c>
      <c r="G7" s="452">
        <f>landbouw!G8</f>
        <v>0</v>
      </c>
      <c r="H7" s="452">
        <f>landbouw!H8</f>
        <v>0</v>
      </c>
      <c r="I7" s="452">
        <f>landbouw!I8</f>
        <v>0</v>
      </c>
      <c r="J7" s="452">
        <f>landbouw!J8</f>
        <v>175.8034048803772</v>
      </c>
      <c r="K7" s="452">
        <f>landbouw!K8</f>
        <v>0</v>
      </c>
      <c r="L7" s="452">
        <f>landbouw!L8</f>
        <v>0</v>
      </c>
      <c r="M7" s="452">
        <f>landbouw!M8</f>
        <v>0</v>
      </c>
      <c r="N7" s="452">
        <f>landbouw!N8</f>
        <v>0</v>
      </c>
      <c r="O7" s="452">
        <f>landbouw!O8</f>
        <v>0</v>
      </c>
      <c r="P7" s="453">
        <f>landbouw!P8</f>
        <v>0</v>
      </c>
      <c r="Q7" s="451">
        <f t="shared" si="0"/>
        <v>3131.3314209991336</v>
      </c>
    </row>
    <row r="8" spans="1:17">
      <c r="A8" s="451" t="s">
        <v>625</v>
      </c>
      <c r="B8" s="452">
        <f>industrie!B18</f>
        <v>1569.591729</v>
      </c>
      <c r="C8" s="452">
        <f>industrie!C18</f>
        <v>0</v>
      </c>
      <c r="D8" s="452">
        <f>industrie!D18</f>
        <v>1765.9890633440002</v>
      </c>
      <c r="E8" s="452">
        <f>industrie!E18</f>
        <v>217.8440241276607</v>
      </c>
      <c r="F8" s="452">
        <f>industrie!F18</f>
        <v>690.28781771988815</v>
      </c>
      <c r="G8" s="452">
        <f>industrie!G18</f>
        <v>0</v>
      </c>
      <c r="H8" s="452">
        <f>industrie!H18</f>
        <v>0</v>
      </c>
      <c r="I8" s="452">
        <f>industrie!I18</f>
        <v>0</v>
      </c>
      <c r="J8" s="452">
        <f>industrie!J18</f>
        <v>6.0202364179772605</v>
      </c>
      <c r="K8" s="452">
        <f>industrie!K18</f>
        <v>0</v>
      </c>
      <c r="L8" s="452">
        <f>industrie!L18</f>
        <v>0</v>
      </c>
      <c r="M8" s="452">
        <f>industrie!M18</f>
        <v>0</v>
      </c>
      <c r="N8" s="452">
        <f>industrie!N18</f>
        <v>85.902574794622581</v>
      </c>
      <c r="O8" s="452">
        <f>industrie!O18</f>
        <v>0</v>
      </c>
      <c r="P8" s="453">
        <f>industrie!P18</f>
        <v>0</v>
      </c>
      <c r="Q8" s="451">
        <f t="shared" si="0"/>
        <v>4335.6354454041493</v>
      </c>
    </row>
    <row r="9" spans="1:17" s="457" customFormat="1">
      <c r="A9" s="455" t="s">
        <v>551</v>
      </c>
      <c r="B9" s="456">
        <f>transport!B14</f>
        <v>28.638680731681784</v>
      </c>
      <c r="C9" s="456">
        <f>transport!C14</f>
        <v>0</v>
      </c>
      <c r="D9" s="456">
        <f>transport!D14</f>
        <v>95.502872137264717</v>
      </c>
      <c r="E9" s="456">
        <f>transport!E14</f>
        <v>91.355381401362351</v>
      </c>
      <c r="F9" s="456">
        <f>transport!F14</f>
        <v>0</v>
      </c>
      <c r="G9" s="456">
        <f>transport!G14</f>
        <v>72016.233005799804</v>
      </c>
      <c r="H9" s="456">
        <f>transport!H14</f>
        <v>9128.8402569378159</v>
      </c>
      <c r="I9" s="456">
        <f>transport!I14</f>
        <v>0</v>
      </c>
      <c r="J9" s="456">
        <f>transport!J14</f>
        <v>0</v>
      </c>
      <c r="K9" s="456">
        <f>transport!K14</f>
        <v>0</v>
      </c>
      <c r="L9" s="456">
        <f>transport!L14</f>
        <v>0</v>
      </c>
      <c r="M9" s="456">
        <f>transport!M14</f>
        <v>4755.5572671215141</v>
      </c>
      <c r="N9" s="456">
        <f>transport!N14</f>
        <v>0</v>
      </c>
      <c r="O9" s="456">
        <f>transport!O14</f>
        <v>0</v>
      </c>
      <c r="P9" s="456">
        <f>transport!P14</f>
        <v>0</v>
      </c>
      <c r="Q9" s="455">
        <f>SUM(B9:P9)</f>
        <v>86116.127464129459</v>
      </c>
    </row>
    <row r="10" spans="1:17">
      <c r="A10" s="451" t="s">
        <v>541</v>
      </c>
      <c r="B10" s="452">
        <f>transport!B54</f>
        <v>788.81039999999996</v>
      </c>
      <c r="C10" s="452">
        <f>transport!C54</f>
        <v>0</v>
      </c>
      <c r="D10" s="452">
        <f>transport!D54</f>
        <v>0</v>
      </c>
      <c r="E10" s="452">
        <f>transport!E54</f>
        <v>0</v>
      </c>
      <c r="F10" s="452">
        <f>transport!F54</f>
        <v>0</v>
      </c>
      <c r="G10" s="452">
        <f>transport!G54</f>
        <v>152.46953780475002</v>
      </c>
      <c r="H10" s="452">
        <f>transport!H54</f>
        <v>0</v>
      </c>
      <c r="I10" s="452">
        <f>transport!I54</f>
        <v>0</v>
      </c>
      <c r="J10" s="452">
        <f>transport!J54</f>
        <v>0</v>
      </c>
      <c r="K10" s="452">
        <f>transport!K54</f>
        <v>0</v>
      </c>
      <c r="L10" s="452">
        <f>transport!L54</f>
        <v>0</v>
      </c>
      <c r="M10" s="452">
        <f>transport!M54</f>
        <v>8.4729405266066671</v>
      </c>
      <c r="N10" s="452">
        <f>transport!N54</f>
        <v>0</v>
      </c>
      <c r="O10" s="452">
        <f>transport!O54</f>
        <v>0</v>
      </c>
      <c r="P10" s="453">
        <f>transport!P54</f>
        <v>0</v>
      </c>
      <c r="Q10" s="451">
        <f t="shared" si="0"/>
        <v>949.75287833135667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4808.7335650000005</v>
      </c>
      <c r="C14" s="459"/>
      <c r="D14" s="459">
        <f>'SEAP template'!E25</f>
        <v>6297.5539630000003</v>
      </c>
      <c r="E14" s="459"/>
      <c r="F14" s="459"/>
      <c r="G14" s="459"/>
      <c r="H14" s="459"/>
      <c r="I14" s="459"/>
      <c r="J14" s="459"/>
      <c r="K14" s="459"/>
      <c r="L14" s="459"/>
      <c r="M14" s="459"/>
      <c r="N14" s="459"/>
      <c r="O14" s="459"/>
      <c r="P14" s="460"/>
      <c r="Q14" s="451">
        <f t="shared" si="0"/>
        <v>11106.287528000001</v>
      </c>
    </row>
    <row r="15" spans="1:17" s="463" customFormat="1">
      <c r="A15" s="461" t="s">
        <v>545</v>
      </c>
      <c r="B15" s="462">
        <f ca="1">SUM(B4:B14)</f>
        <v>61700.354072651244</v>
      </c>
      <c r="C15" s="462">
        <f t="shared" ref="C15:Q15" ca="1" si="1">SUM(C4:C14)</f>
        <v>0</v>
      </c>
      <c r="D15" s="462">
        <f t="shared" ca="1" si="1"/>
        <v>94573.538035201258</v>
      </c>
      <c r="E15" s="462">
        <f t="shared" si="1"/>
        <v>710.66035163301035</v>
      </c>
      <c r="F15" s="462">
        <f t="shared" ca="1" si="1"/>
        <v>6368.2125984235872</v>
      </c>
      <c r="G15" s="462">
        <f t="shared" si="1"/>
        <v>72168.702543604551</v>
      </c>
      <c r="H15" s="462">
        <f t="shared" si="1"/>
        <v>9128.8402569378159</v>
      </c>
      <c r="I15" s="462">
        <f t="shared" si="1"/>
        <v>0</v>
      </c>
      <c r="J15" s="462">
        <f t="shared" si="1"/>
        <v>181.86978583799632</v>
      </c>
      <c r="K15" s="462">
        <f t="shared" si="1"/>
        <v>0</v>
      </c>
      <c r="L15" s="462">
        <f t="shared" ca="1" si="1"/>
        <v>0</v>
      </c>
      <c r="M15" s="462">
        <f t="shared" si="1"/>
        <v>4764.0302076481212</v>
      </c>
      <c r="N15" s="462">
        <f t="shared" ca="1" si="1"/>
        <v>1903.2894310456327</v>
      </c>
      <c r="O15" s="462">
        <f t="shared" si="1"/>
        <v>218.91420932913491</v>
      </c>
      <c r="P15" s="462">
        <f t="shared" si="1"/>
        <v>105.33959307685021</v>
      </c>
      <c r="Q15" s="462">
        <f t="shared" ca="1" si="1"/>
        <v>251823.75108538923</v>
      </c>
    </row>
    <row r="17" spans="1:17">
      <c r="A17" s="464" t="s">
        <v>546</v>
      </c>
      <c r="B17" s="781">
        <f ca="1">huishoudens!B10</f>
        <v>0.21485007325236968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4933.7450519442755</v>
      </c>
      <c r="C22" s="452">
        <f t="shared" ref="C22:C32" ca="1" si="3">C4*$C$17</f>
        <v>0</v>
      </c>
      <c r="D22" s="452">
        <f t="shared" ref="D22:D32" si="4">D4*$D$17</f>
        <v>10911.3815411656</v>
      </c>
      <c r="E22" s="452">
        <f t="shared" ref="E22:E32" si="5">E4*$E$17</f>
        <v>0</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15845.126593109875</v>
      </c>
    </row>
    <row r="23" spans="1:17">
      <c r="A23" s="451" t="s">
        <v>155</v>
      </c>
      <c r="B23" s="452">
        <f t="shared" ca="1" si="2"/>
        <v>6325.4515258246902</v>
      </c>
      <c r="C23" s="452">
        <f t="shared" ca="1" si="3"/>
        <v>0</v>
      </c>
      <c r="D23" s="452">
        <f t="shared" ca="1" si="4"/>
        <v>6535.7898014643079</v>
      </c>
      <c r="E23" s="452">
        <f t="shared" si="5"/>
        <v>86.610892124769109</v>
      </c>
      <c r="F23" s="452">
        <f t="shared" ca="1" si="6"/>
        <v>913.88159959408426</v>
      </c>
      <c r="G23" s="452">
        <f t="shared" si="7"/>
        <v>0</v>
      </c>
      <c r="H23" s="452">
        <f t="shared" si="8"/>
        <v>0</v>
      </c>
      <c r="I23" s="452">
        <f t="shared" si="9"/>
        <v>0</v>
      </c>
      <c r="J23" s="452">
        <f t="shared" si="10"/>
        <v>1.6335167033214148E-2</v>
      </c>
      <c r="K23" s="452">
        <f t="shared" si="11"/>
        <v>0</v>
      </c>
      <c r="L23" s="452">
        <f t="shared" ca="1" si="12"/>
        <v>0</v>
      </c>
      <c r="M23" s="452">
        <f t="shared" si="13"/>
        <v>0</v>
      </c>
      <c r="N23" s="452">
        <f t="shared" ca="1" si="14"/>
        <v>0</v>
      </c>
      <c r="O23" s="452">
        <f t="shared" si="15"/>
        <v>0</v>
      </c>
      <c r="P23" s="453">
        <f t="shared" si="16"/>
        <v>0</v>
      </c>
      <c r="Q23" s="451">
        <f t="shared" ref="Q23:Q31" ca="1" si="17">SUM(B23:P23)</f>
        <v>13861.750154174882</v>
      </c>
    </row>
    <row r="24" spans="1:17">
      <c r="A24" s="451" t="s">
        <v>193</v>
      </c>
      <c r="B24" s="452">
        <f t="shared" ca="1" si="2"/>
        <v>314.01863641353918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314.01863641353918</v>
      </c>
    </row>
    <row r="25" spans="1:17">
      <c r="A25" s="451" t="s">
        <v>111</v>
      </c>
      <c r="B25" s="452">
        <f t="shared" ca="1" si="2"/>
        <v>137.09772650513312</v>
      </c>
      <c r="C25" s="452">
        <f t="shared" ca="1" si="3"/>
        <v>0</v>
      </c>
      <c r="D25" s="452">
        <f t="shared" si="4"/>
        <v>8.5560689875320008</v>
      </c>
      <c r="E25" s="452">
        <f t="shared" si="5"/>
        <v>4.5207426408360138</v>
      </c>
      <c r="F25" s="452">
        <f t="shared" si="6"/>
        <v>602.12431685380352</v>
      </c>
      <c r="G25" s="452">
        <f t="shared" si="7"/>
        <v>0</v>
      </c>
      <c r="H25" s="452">
        <f t="shared" si="8"/>
        <v>0</v>
      </c>
      <c r="I25" s="452">
        <f t="shared" si="9"/>
        <v>0</v>
      </c>
      <c r="J25" s="452">
        <f t="shared" si="10"/>
        <v>62.234405327653526</v>
      </c>
      <c r="K25" s="452">
        <f t="shared" si="11"/>
        <v>0</v>
      </c>
      <c r="L25" s="452">
        <f t="shared" si="12"/>
        <v>0</v>
      </c>
      <c r="M25" s="452">
        <f t="shared" si="13"/>
        <v>0</v>
      </c>
      <c r="N25" s="452">
        <f t="shared" si="14"/>
        <v>0</v>
      </c>
      <c r="O25" s="452">
        <f t="shared" si="15"/>
        <v>0</v>
      </c>
      <c r="P25" s="453">
        <f t="shared" si="16"/>
        <v>0</v>
      </c>
      <c r="Q25" s="451">
        <f t="shared" ca="1" si="17"/>
        <v>814.53326031495817</v>
      </c>
    </row>
    <row r="26" spans="1:17">
      <c r="A26" s="451" t="s">
        <v>625</v>
      </c>
      <c r="B26" s="452">
        <f t="shared" ca="1" si="2"/>
        <v>337.22689795196356</v>
      </c>
      <c r="C26" s="452">
        <f t="shared" ca="1" si="3"/>
        <v>0</v>
      </c>
      <c r="D26" s="452">
        <f t="shared" si="4"/>
        <v>356.72979079548804</v>
      </c>
      <c r="E26" s="452">
        <f t="shared" si="5"/>
        <v>49.45059347697898</v>
      </c>
      <c r="F26" s="452">
        <f t="shared" si="6"/>
        <v>184.30684733121015</v>
      </c>
      <c r="G26" s="452">
        <f t="shared" si="7"/>
        <v>0</v>
      </c>
      <c r="H26" s="452">
        <f t="shared" si="8"/>
        <v>0</v>
      </c>
      <c r="I26" s="452">
        <f t="shared" si="9"/>
        <v>0</v>
      </c>
      <c r="J26" s="452">
        <f t="shared" si="10"/>
        <v>2.1311636919639501</v>
      </c>
      <c r="K26" s="452">
        <f t="shared" si="11"/>
        <v>0</v>
      </c>
      <c r="L26" s="452">
        <f t="shared" si="12"/>
        <v>0</v>
      </c>
      <c r="M26" s="452">
        <f t="shared" si="13"/>
        <v>0</v>
      </c>
      <c r="N26" s="452">
        <f t="shared" si="14"/>
        <v>0</v>
      </c>
      <c r="O26" s="452">
        <f t="shared" si="15"/>
        <v>0</v>
      </c>
      <c r="P26" s="453">
        <f t="shared" si="16"/>
        <v>0</v>
      </c>
      <c r="Q26" s="451">
        <f t="shared" ca="1" si="17"/>
        <v>929.84529324760467</v>
      </c>
    </row>
    <row r="27" spans="1:17" s="457" customFormat="1">
      <c r="A27" s="455" t="s">
        <v>551</v>
      </c>
      <c r="B27" s="775">
        <f t="shared" ca="1" si="2"/>
        <v>6.1530226530530596</v>
      </c>
      <c r="C27" s="456">
        <f t="shared" ca="1" si="3"/>
        <v>0</v>
      </c>
      <c r="D27" s="456">
        <f t="shared" si="4"/>
        <v>19.291580171727475</v>
      </c>
      <c r="E27" s="456">
        <f t="shared" si="5"/>
        <v>20.737671578109254</v>
      </c>
      <c r="F27" s="456">
        <f t="shared" si="6"/>
        <v>0</v>
      </c>
      <c r="G27" s="456">
        <f t="shared" si="7"/>
        <v>19228.334212548551</v>
      </c>
      <c r="H27" s="456">
        <f t="shared" si="8"/>
        <v>2273.0812239775159</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21547.597710928956</v>
      </c>
    </row>
    <row r="28" spans="1:17" ht="16.5" customHeight="1">
      <c r="A28" s="451" t="s">
        <v>541</v>
      </c>
      <c r="B28" s="452">
        <f t="shared" ca="1" si="2"/>
        <v>169.47597222223104</v>
      </c>
      <c r="C28" s="452">
        <f t="shared" ca="1" si="3"/>
        <v>0</v>
      </c>
      <c r="D28" s="452">
        <f t="shared" si="4"/>
        <v>0</v>
      </c>
      <c r="E28" s="452">
        <f t="shared" si="5"/>
        <v>0</v>
      </c>
      <c r="F28" s="452">
        <f t="shared" si="6"/>
        <v>0</v>
      </c>
      <c r="G28" s="452">
        <f t="shared" si="7"/>
        <v>40.709366593868261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210.18533881609929</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1033.1567586913789</v>
      </c>
      <c r="C32" s="452">
        <f t="shared" ca="1" si="3"/>
        <v>0</v>
      </c>
      <c r="D32" s="452">
        <f t="shared" si="4"/>
        <v>1272.1059005260001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2305.2626592173792</v>
      </c>
    </row>
    <row r="33" spans="1:17" s="463" customFormat="1">
      <c r="A33" s="461" t="s">
        <v>545</v>
      </c>
      <c r="B33" s="462">
        <f ca="1">SUM(B22:B32)</f>
        <v>13256.325592206264</v>
      </c>
      <c r="C33" s="462">
        <f t="shared" ref="C33:Q33" ca="1" si="19">SUM(C22:C32)</f>
        <v>0</v>
      </c>
      <c r="D33" s="462">
        <f t="shared" ca="1" si="19"/>
        <v>19103.854683110654</v>
      </c>
      <c r="E33" s="462">
        <f t="shared" si="19"/>
        <v>161.31989982069337</v>
      </c>
      <c r="F33" s="462">
        <f t="shared" ca="1" si="19"/>
        <v>1700.3127637790978</v>
      </c>
      <c r="G33" s="462">
        <f t="shared" si="19"/>
        <v>19269.043579142421</v>
      </c>
      <c r="H33" s="462">
        <f t="shared" si="19"/>
        <v>2273.0812239775159</v>
      </c>
      <c r="I33" s="462">
        <f t="shared" si="19"/>
        <v>0</v>
      </c>
      <c r="J33" s="462">
        <f t="shared" si="19"/>
        <v>64.381904186650686</v>
      </c>
      <c r="K33" s="462">
        <f t="shared" si="19"/>
        <v>0</v>
      </c>
      <c r="L33" s="462">
        <f t="shared" ca="1" si="19"/>
        <v>0</v>
      </c>
      <c r="M33" s="462">
        <f t="shared" si="19"/>
        <v>0</v>
      </c>
      <c r="N33" s="462">
        <f t="shared" ca="1" si="19"/>
        <v>0</v>
      </c>
      <c r="O33" s="462">
        <f t="shared" si="19"/>
        <v>0</v>
      </c>
      <c r="P33" s="462">
        <f t="shared" si="19"/>
        <v>0</v>
      </c>
      <c r="Q33" s="462">
        <f t="shared" ca="1" si="19"/>
        <v>55828.319646223288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1716.9803522608984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1716.9803522608984</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0.21485007325236968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0.21485007325236968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2020-06-20T15:34:29Z</dcterms:modified>
</cp:coreProperties>
</file>