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29" i="20"/>
  <c r="C20" i="16"/>
  <c r="C22" i="16" s="1"/>
  <c r="D43" i="14" s="1"/>
  <c r="C10" i="13"/>
  <c r="C12" i="13" s="1"/>
  <c r="D41" i="14" s="1"/>
  <c r="D46" i="14" s="1"/>
  <c r="D61" i="14" s="1"/>
  <c r="D63" i="14" s="1"/>
  <c r="C17" i="49"/>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<sst xmlns="http://schemas.openxmlformats.org/spreadsheetml/2006/main" count="2416" uniqueCount="895">
  <si>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</si>
  <si>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</si>
  <si>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</si>
  <si>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</si>
  <si>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</si>
  <si>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</si>
  <si>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</si>
  <si>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</si>
  <si>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</si>
  <si>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</si>
  <si>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</si>
  <si>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</si>
  <si>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</si>
  <si>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</si>
  <si>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</si>
  <si>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</si>
  <si>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</si>
  <si>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</si>
  <si>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</si>
  <si>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</si>
  <si>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</si>
  <si>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</si>
  <si>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</si>
  <si>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</si>
  <si>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</si>
  <si>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</si>
  <si>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</si>
  <si>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</si>
  <si>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</si>
  <si>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</si>
  <si>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</si>
  <si>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</si>
  <si>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</si>
  <si>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</si>
  <si>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</si>
  <si>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</si>
  <si>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</si>
  <si>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</si>
  <si>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</si>
  <si>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</si>
  <si>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</si>
  <si>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</si>
  <si>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</si>
  <si>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</si>
  <si>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</si>
  <si>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</si>
  <si>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</si>
  <si>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</si>
  <si>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</si>
  <si>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</si>
  <si>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</si>
  <si>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</si>
  <si>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</si>
  <si>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</si>
  <si>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</si>
  <si>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</si>
  <si>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</si>
  <si>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</si>
  <si>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</si>
  <si>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</si>
  <si>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</si>
  <si>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</si>
  <si>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</si>
  <si>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</si>
  <si>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</si>
  <si>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</si>
  <si>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</si>
  <si>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</si>
  <si>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</si>
  <si>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</si>
  <si>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</si>
  <si>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</si>
  <si>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</si>
  <si>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</si>
  <si>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</si>
  <si>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</si>
  <si>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</si>
  <si>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</si>
  <si>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</si>
  <si>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</si>
  <si>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</si>
  <si>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</si>
  <si>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</si>
  <si>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</si>
  <si>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</si>
  <si>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</si>
  <si>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</si>
  <si>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</si>
  <si>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</si>
  <si>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</si>
  <si>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</si>
  <si>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</si>
  <si>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</si>
  <si>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</si>
  <si>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</si>
  <si>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</si>
  <si>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</si>
  <si>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</si>
  <si>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</si>
  <si>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</si>
  <si>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</si>
  <si>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</si>
  <si>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</si>
  <si>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</si>
  <si>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</si>
  <si>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</si>
  <si>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</si>
  <si>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</si>
  <si>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</si>
  <si>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</si>
  <si>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</si>
  <si>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</si>
  <si>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</si>
  <si>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</si>
  <si>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</si>
  <si>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</si>
  <si>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</si>
  <si>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</si>
  <si>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</si>
  <si>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</si>
  <si>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</si>
  <si>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</si>
  <si>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</si>
  <si>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</si>
  <si>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</si>
  <si>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</si>
  <si>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</si>
  <si>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</si>
  <si>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</si>
  <si>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</si>
  <si>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</si>
  <si>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</si>
  <si>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</si>
  <si>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</si>
  <si>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</si>
  <si>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</si>
  <si>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</si>
  <si>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</si>
  <si>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</si>
  <si>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</si>
  <si>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</si>
  <si>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</si>
  <si>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</si>
  <si>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</si>
  <si>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</si>
  <si>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</si>
  <si>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</si>
  <si>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</si>
  <si>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</si>
  <si>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</si>
  <si>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</si>
  <si>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</si>
  <si>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</si>
  <si>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</si>
  <si>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</si>
  <si>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</si>
  <si>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</si>
  <si>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</si>
  <si>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</si>
  <si>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</si>
  <si>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</si>
  <si>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</si>
  <si>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</si>
  <si>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</si>
  <si>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</si>
  <si>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</si>
  <si>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</si>
  <si>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</si>
  <si>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</si>
  <si>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</si>
  <si>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</si>
  <si>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</si>
  <si>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</si>
  <si>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</si>
  <si>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</si>
  <si>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</si>
  <si>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</si>
  <si>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</si>
  <si>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</si>
  <si>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</si>
  <si>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</si>
  <si>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</si>
  <si>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</si>
  <si>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</si>
  <si>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</si>
  <si>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</si>
  <si>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</si>
  <si>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</si>
  <si>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</si>
  <si>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</si>
  <si>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</si>
  <si>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</si>
  <si>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</si>
  <si>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</si>
  <si>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</si>
  <si>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</si>
  <si>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</si>
  <si>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</si>
  <si>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</si>
  <si>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</si>
  <si>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</si>
  <si>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</si>
  <si>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</si>
  <si>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</si>
  <si>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</si>
  <si>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</si>
  <si>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</si>
  <si>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</si>
  <si>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</si>
  <si>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</si>
  <si>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</si>
  <si>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</si>
  <si>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</si>
  <si>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</si>
  <si>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</si>
  <si>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</si>
  <si>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</si>
  <si>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</si>
  <si>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</si>
  <si>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</si>
  <si>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</si>
  <si>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</si>
  <si>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</si>
  <si>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</si>
  <si>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</si>
  <si>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</si>
  <si>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</si>
  <si>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</si>
  <si>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</si>
  <si>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</si>
  <si>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</si>
  <si>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</si>
  <si>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</si>
  <si>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</si>
  <si>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</si>
  <si>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</si>
  <si>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</si>
  <si>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</si>
  <si>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</si>
  <si>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</si>
  <si>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</si>
  <si>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</si>
  <si>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</si>
  <si>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</si>
  <si>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</si>
  <si>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</si>
  <si>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</si>
  <si>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</si>
  <si>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</si>
  <si>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</si>
  <si>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</si>
  <si>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</si>
  <si>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</si>
  <si>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</si>
  <si>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</si>
  <si>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</si>
  <si>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</si>
  <si>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</si>
  <si>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</si>
  <si>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</si>
  <si>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</si>
  <si>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</si>
  <si>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</si>
  <si>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</si>
  <si>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</si>
  <si>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</si>
  <si>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</si>
  <si>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</si>
  <si>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</si>
  <si>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</si>
  <si>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</si>
  <si>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</si>
  <si>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</si>
  <si>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</si>
  <si>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</si>
  <si>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</si>
  <si>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</si>
  <si>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</si>
  <si>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</si>
  <si>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</si>
  <si>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</si>
  <si>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</si>
  <si>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</si>
  <si>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</si>
  <si>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</si>
  <si>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</si>
  <si>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</si>
  <si>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</si>
  <si>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</si>
  <si>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</si>
  <si>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</si>
  <si>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</si>
  <si>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</si>
  <si>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</si>
  <si>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</si>
  <si>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</si>
  <si>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</si>
  <si>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</si>
  <si>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</si>
  <si>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</si>
  <si>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</si>
  <si>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</si>
  <si>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</si>
  <si>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</si>
  <si>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</si>
  <si>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</si>
  <si>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</si>
  <si>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</si>
  <si>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</si>
  <si>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</si>
  <si>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</si>
  <si>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</si>
  <si>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</si>
  <si>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</si>
  <si>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</si>
  <si>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</si>
  <si>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</si>
  <si>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</si>
  <si>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</si>
  <si>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</si>
  <si>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</si>
  <si>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</si>
  <si>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</si>
  <si>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</si>
  <si>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</si>
  <si>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</si>
  <si>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</si>
  <si>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</si>
  <si>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</si>
  <si>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</si>
  <si>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</si>
  <si>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</si>
  <si>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</si>
  <si>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</si>
  <si>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</si>
  <si>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</si>
  <si>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</si>
  <si>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</si>
  <si>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</si>
  <si>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</si>
  <si>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</si>
  <si>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</si>
  <si>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</si>
  <si>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</si>
  <si>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</si>
  <si>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</si>
  <si>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</si>
  <si>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</si>
  <si>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</si>
  <si>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</si>
  <si>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</si>
  <si>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</si>
  <si>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</si>
  <si>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</si>
  <si>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</si>
  <si>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</si>
  <si>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</si>
  <si>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</si>
  <si>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</si>
  <si>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</si>
  <si>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</si>
  <si>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</si>
  <si>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</si>
  <si>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</si>
  <si>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</si>
  <si>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</si>
  <si>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</si>
  <si>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</si>
  <si>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</si>
  <si>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</si>
  <si>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</si>
  <si>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</si>
  <si>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</si>
  <si>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</si>
  <si>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</si>
  <si>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</si>
  <si>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</si>
  <si>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</si>
  <si>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</si>
  <si>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</si>
  <si>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</si>
  <si>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</si>
  <si>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</si>
  <si>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</si>
  <si>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</si>
  <si>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</si>
  <si>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</si>
  <si>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</si>
  <si>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</si>
  <si>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</si>
  <si>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</si>
  <si>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</si>
  <si>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</si>
  <si>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</si>
  <si>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</si>
  <si>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</si>
  <si>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</si>
  <si>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</si>
  <si>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</si>
  <si>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</si>
  <si>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</si>
  <si>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</si>
  <si>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</si>
  <si>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</si>
  <si>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</si>
  <si>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</si>
  <si>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</si>
  <si>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</si>
  <si>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</si>
  <si>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</si>
  <si>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</si>
  <si>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</si>
  <si>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</si>
  <si>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</si>
  <si>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</si>
  <si>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</si>
  <si>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</si>
  <si>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</si>
  <si>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</si>
  <si>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</si>
  <si>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</si>
  <si>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</si>
  <si>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</si>
  <si>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</si>
  <si>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</si>
  <si>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</si>
  <si>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</si>
  <si>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</si>
  <si>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</si>
  <si>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</si>
  <si>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</si>
  <si>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</si>
  <si>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</si>
  <si>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</si>
  <si>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</si>
  <si>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</si>
  <si>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</si>
  <si>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</si>
  <si>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</si>
  <si>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</si>
  <si>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</si>
  <si>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</si>
  <si>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</si>
  <si>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</si>
  <si>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</si>
  <si>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</si>
  <si>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</si>
  <si>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</si>
  <si>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</si>
  <si>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</si>
  <si>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</si>
  <si>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</si>
  <si>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</si>
  <si>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</si>
  <si>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</si>
  <si>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</si>
  <si>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</si>
  <si>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</si>
  <si>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</si>
  <si>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</si>
  <si>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</si>
  <si>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</si>
  <si>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</si>
  <si>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</si>
  <si>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</si>
  <si>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</si>
  <si>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</si>
  <si>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</si>
  <si>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</si>
  <si>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</si>
  <si>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</si>
  <si>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</si>
  <si>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</si>
  <si>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</si>
  <si>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</si>
  <si>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</si>
  <si>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</si>
  <si>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</si>
  <si>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</si>
  <si>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</si>
  <si>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</si>
  <si>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</si>
  <si>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</si>
  <si>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</si>
  <si>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</si>
  <si>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</si>
  <si>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</si>
  <si>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</si>
  <si>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</si>
  <si>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</si>
  <si>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</si>
  <si>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</si>
  <si>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</si>
  <si>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</si>
  <si>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</si>
  <si>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</si>
  <si>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</si>
  <si>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</si>
  <si>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</si>
  <si>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</si>
  <si>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</si>
  <si>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</si>
  <si>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</si>
  <si>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</si>
  <si>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</si>
  <si>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</si>
  <si>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</si>
  <si>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</si>
  <si>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</si>
  <si>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</si>
  <si>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</si>
  <si>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</si>
  <si>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</si>
  <si>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</si>
  <si>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</si>
  <si>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</si>
  <si>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</si>
  <si>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</si>
  <si>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</si>
  <si>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</si>
  <si>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</si>
  <si>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</si>
  <si>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</si>
  <si>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</si>
  <si>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</si>
  <si>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</si>
  <si>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</si>
  <si>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</si>
  <si>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</si>
  <si>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</si>
  <si>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</si>
  <si>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</si>
  <si>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</si>
  <si>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</si>
  <si>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</si>
  <si>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</si>
  <si>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</si>
  <si>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</si>
  <si>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</si>
  <si>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</si>
  <si>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</si>
  <si>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</si>
  <si>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</si>
  <si>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</si>
  <si>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</si>
  <si>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</si>
  <si>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</si>
  <si>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</si>
  <si>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</si>
  <si>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</si>
  <si>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</si>
  <si>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</si>
  <si>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</si>
  <si>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</si>
  <si>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</si>
  <si>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</si>
  <si>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</si>
  <si>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</si>
  <si>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</si>
  <si>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</si>
  <si>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</si>
  <si>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</si>
  <si>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</si>
  <si>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</si>
  <si>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</si>
  <si>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</si>
  <si>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</si>
  <si>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</si>
  <si>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</si>
  <si>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</si>
  <si>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</si>
  <si>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</si>
  <si>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</si>
  <si>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</si>
  <si>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</si>
  <si>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</si>
  <si>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</si>
  <si>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</si>
  <si>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</si>
  <si>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</si>
  <si>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</si>
  <si>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</si>
  <si>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</si>
  <si>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</si>
  <si>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</si>
  <si>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</si>
  <si>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</si>
  <si>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</si>
  <si>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</si>
  <si>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</si>
  <si>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</si>
  <si>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</si>
  <si>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</si>
  <si>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</si>
  <si>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</si>
  <si>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</si>
  <si>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</si>
  <si>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</si>
  <si>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</si>
  <si>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</si>
  <si>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</si>
  <si>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</si>
  <si>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</si>
  <si>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</si>
  <si>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</si>
  <si>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</si>
  <si>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</si>
  <si>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</si>
  <si>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</si>
  <si>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</si>
  <si>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</si>
  <si>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</si>
  <si>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</si>
  <si>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</si>
  <si>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</si>
  <si>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</si>
  <si>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</si>
  <si>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</si>
  <si>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</si>
  <si>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</si>
  <si>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</si>
  <si>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</si>
  <si>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</si>
  <si>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</si>
  <si>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</si>
  <si>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</si>
  <si>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</si>
  <si>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</si>
  <si>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</si>
  <si>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</si>
  <si>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</si>
  <si>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</si>
  <si>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</si>
  <si>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</si>
  <si>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</si>
  <si>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</si>
  <si>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</si>
  <si>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</si>
  <si>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</si>
  <si>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</si>
  <si>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</si>
  <si>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</si>
  <si>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</si>
  <si>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</si>
  <si>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</si>
  <si>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</si>
  <si>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</si>
  <si>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</si>
  <si>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</si>
  <si>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</si>
  <si>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</si>
  <si>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</si>
  <si>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</si>
  <si>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</si>
  <si>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</si>
  <si>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</si>
  <si>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</si>
  <si>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</si>
  <si>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</si>
  <si>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</si>
  <si>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</si>
  <si>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</si>
  <si>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</si>
  <si>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</si>
  <si>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</si>
  <si>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</si>
  <si>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</si>
  <si>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</si>
  <si>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</si>
  <si>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</si>
  <si>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</si>
  <si>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</si>
  <si>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</si>
  <si>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</si>
  <si>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</si>
  <si>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</si>
  <si>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</si>
  <si>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</si>
  <si>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</si>
  <si>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</si>
  <si>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</si>
  <si>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</si>
  <si>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</si>
  <si>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</si>
  <si>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</si>
  <si>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</si>
  <si>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</si>
  <si>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</si>
  <si>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</si>
  <si>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</si>
  <si>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</si>
  <si>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</si>
  <si>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</si>
  <si>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</si>
  <si>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</si>
  <si>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</si>
  <si>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</si>
  <si>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</si>
  <si>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</si>
  <si>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</si>
  <si>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</si>
  <si>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</si>
  <si>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</si>
  <si>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</si>
  <si>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</si>
  <si>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</si>
  <si>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</si>
  <si>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</si>
  <si>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</si>
  <si>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</si>
  <si>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</si>
  <si>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</si>
  <si>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</si>
  <si>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</si>
  <si>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</si>
  <si>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</si>
  <si>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</si>
  <si>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</si>
  <si>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</si>
  <si>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</si>
  <si>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</si>
  <si>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</si>
  <si>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</si>
  <si>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</si>
  <si>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</si>
  <si>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</si>
  <si>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</si>
  <si>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</si>
  <si>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</si>
  <si>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</si>
  <si>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</si>
  <si>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</si>
  <si>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</si>
  <si>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</si>
  <si>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</si>
  <si>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</si>
  <si>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</si>
  <si>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</si>
  <si>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</si>
  <si>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</si>
  <si>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</si>
  <si>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</si>
  <si>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</si>
  <si>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</si>
  <si>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</si>
  <si>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</si>
  <si>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</si>
  <si>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</si>
  <si>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</si>
  <si>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</si>
  <si>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</si>
  <si>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</si>
  <si>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</si>
  <si>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</si>
  <si>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</si>
  <si>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</si>
  <si>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</si>
  <si>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</si>
  <si>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</si>
  <si>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</si>
  <si>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</si>
  <si>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</si>
  <si>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</si>
  <si>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</si>
  <si>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</si>
  <si>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</si>
  <si>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</si>
  <si>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</si>
  <si>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</si>
  <si>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</si>
  <si>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</si>
  <si>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</si>
  <si>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</si>
  <si>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</si>
  <si>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</si>
  <si>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</si>
  <si>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</si>
  <si>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</si>
  <si>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</si>
  <si>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</si>
  <si>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</si>
  <si>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</si>
  <si>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</si>
  <si>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</si>
  <si>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</si>
  <si>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</si>
  <si>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</si>
  <si>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</si>
  <si>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</si>
  <si>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</si>
  <si>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</si>
  <si>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</si>
  <si>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</si>
  <si>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</si>
  <si>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</si>
  <si>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</si>
  <si>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</si>
  <si>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</si>
  <si>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</si>
  <si>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</si>
  <si>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</si>
  <si>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</si>
  <si>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</si>
  <si>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</si>
  <si>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</si>
  <si>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</si>
  <si>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</si>
  <si>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</si>
  <si>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</si>
  <si>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</si>
  <si>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</si>
  <si>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</si>
  <si>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</si>
  <si>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</si>
  <si>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</si>
  <si>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</si>
  <si>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</si>
  <si>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</si>
  <si>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</si>
  <si>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</si>
  <si>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</si>
  <si>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</si>
  <si>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</si>
  <si>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</si>
  <si>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</si>
  <si>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</si>
  <si>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</si>
  <si>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</si>
  <si>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</si>
  <si>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</si>
  <si>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</si>
  <si>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</si>
  <si>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</si>
  <si>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</si>
  <si>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</si>
  <si>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</si>
  <si>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</si>
  <si>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</si>
  <si>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</si>
  <si>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</si>
  <si>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</si>
  <si>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</si>
  <si>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</si>
  <si>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</si>
  <si>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</si>
  <si>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</si>
  <si>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</si>
  <si>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</si>
  <si>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</si>
  <si>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</si>
  <si>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</si>
  <si>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</si>
  <si>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</si>
  <si>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</si>
  <si>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</si>
  <si>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</si>
  <si>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</si>
  <si>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</si>
  <si>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</si>
  <si>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</si>
  <si>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</si>
  <si>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</si>
  <si>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</si>
  <si>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</si>
  <si>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</si>
  <si>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</si>
  <si>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</si>
  <si>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</si>
  <si>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</si>
  <si>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</si>
  <si>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</si>
  <si>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</si>
  <si>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</si>
  <si>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</si>
  <si>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</si>
  <si>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</si>
  <si>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</si>
  <si>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</si>
  <si>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</si>
  <si>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</si>
  <si>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</si>
  <si>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</si>
  <si>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</si>
  <si>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</si>
  <si>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</si>
  <si>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37015</t>
  </si>
  <si>
    <t>TIELT</t>
  </si>
  <si>
    <t>referentietaak LNE (2017); Jaarverslag De Lijn</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</si>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</sst>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166637.87642866385</c:v>
                </c:pt>
                <c:pt idx="1">
                  <c:v>85054.347758474309</c:v>
                </c:pt>
                <c:pt idx="2">
                  <c:v>1465.614</c:v>
                </c:pt>
                <c:pt idx="3">
                  <c:v>67446.024674979082</c:v>
                </c:pt>
                <c:pt idx="4">
                  <c:v>430805.57897627738</c:v>
                </c:pt>
                <c:pt idx="5">
                  <c:v>157481.61752371982</c:v>
                </c:pt>
                <c:pt idx="6">
                  <c:v>1213.6294159929787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166637.87642866385</c:v>
                </c:pt>
                <c:pt idx="1">
                  <c:v>85054.347758474309</c:v>
                </c:pt>
                <c:pt idx="2">
                  <c:v>1465.614</c:v>
                </c:pt>
                <c:pt idx="3">
                  <c:v>67446.024674979082</c:v>
                </c:pt>
                <c:pt idx="4">
                  <c:v>430805.57897627738</c:v>
                </c:pt>
                <c:pt idx="5">
                  <c:v>157481.61752371982</c:v>
                </c:pt>
                <c:pt idx="6">
                  <c:v>1213.6294159929787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30350.010286848712</c:v>
                </c:pt>
                <c:pt idx="1">
                  <c:v>17193.032901163006</c:v>
                </c:pt>
                <c:pt idx="2">
                  <c:v>304.00421963396315</c:v>
                </c:pt>
                <c:pt idx="3">
                  <c:v>17426.116799995038</c:v>
                </c:pt>
                <c:pt idx="4">
                  <c:v>90934.62716114166</c:v>
                </c:pt>
                <c:pt idx="5">
                  <c:v>39241.744685583617</c:v>
                </c:pt>
                <c:pt idx="6">
                  <c:v>306.97976890253062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30350.010286848712</c:v>
                </c:pt>
                <c:pt idx="1">
                  <c:v>17193.032901163006</c:v>
                </c:pt>
                <c:pt idx="2">
                  <c:v>304.00421963396315</c:v>
                </c:pt>
                <c:pt idx="3">
                  <c:v>17426.116799995038</c:v>
                </c:pt>
                <c:pt idx="4">
                  <c:v>90934.62716114166</c:v>
                </c:pt>
                <c:pt idx="5">
                  <c:v>39241.744685583617</c:v>
                </c:pt>
                <c:pt idx="6">
                  <c:v>306.97976890253062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37015</v>
      </c>
      <c r="B6" s="390"/>
      <c r="C6" s="391"/>
    </row>
    <row r="7" spans="1:7" s="388" customFormat="1" ht="15.75" customHeight="1">
      <c r="A7" s="392" t="str">
        <f>txtMunicipality</f>
        <v>TIELT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0.20742447850113546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0.20742447850113546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8638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5083.5999999999904</v>
      </c>
      <c r="C14" s="330"/>
      <c r="D14" s="330"/>
      <c r="E14" s="330"/>
      <c r="F14" s="330"/>
    </row>
    <row r="15" spans="1:6">
      <c r="A15" s="1298" t="s">
        <v>183</v>
      </c>
      <c r="B15" s="1299">
        <v>108</v>
      </c>
      <c r="C15" s="330"/>
      <c r="D15" s="330"/>
      <c r="E15" s="330"/>
      <c r="F15" s="330"/>
    </row>
    <row r="16" spans="1:6">
      <c r="A16" s="1298" t="s">
        <v>6</v>
      </c>
      <c r="B16" s="1299">
        <v>3676</v>
      </c>
      <c r="C16" s="330"/>
      <c r="D16" s="330"/>
      <c r="E16" s="330"/>
      <c r="F16" s="330"/>
    </row>
    <row r="17" spans="1:6">
      <c r="A17" s="1298" t="s">
        <v>7</v>
      </c>
      <c r="B17" s="1299">
        <v>2841</v>
      </c>
      <c r="C17" s="330"/>
      <c r="D17" s="330"/>
      <c r="E17" s="330"/>
      <c r="F17" s="330"/>
    </row>
    <row r="18" spans="1:6">
      <c r="A18" s="1298" t="s">
        <v>8</v>
      </c>
      <c r="B18" s="1299">
        <v>3882</v>
      </c>
      <c r="C18" s="330"/>
      <c r="D18" s="330"/>
      <c r="E18" s="330"/>
      <c r="F18" s="330"/>
    </row>
    <row r="19" spans="1:6">
      <c r="A19" s="1298" t="s">
        <v>9</v>
      </c>
      <c r="B19" s="1299">
        <v>3586</v>
      </c>
      <c r="C19" s="330"/>
      <c r="D19" s="330"/>
      <c r="E19" s="330"/>
      <c r="F19" s="330"/>
    </row>
    <row r="20" spans="1:6">
      <c r="A20" s="1298" t="s">
        <v>10</v>
      </c>
      <c r="B20" s="1299">
        <v>2750</v>
      </c>
      <c r="C20" s="330"/>
      <c r="D20" s="330"/>
      <c r="E20" s="330"/>
      <c r="F20" s="330"/>
    </row>
    <row r="21" spans="1:6">
      <c r="A21" s="1298" t="s">
        <v>11</v>
      </c>
      <c r="B21" s="1299">
        <v>35444</v>
      </c>
      <c r="C21" s="330"/>
      <c r="D21" s="330"/>
      <c r="E21" s="330"/>
      <c r="F21" s="330"/>
    </row>
    <row r="22" spans="1:6">
      <c r="A22" s="1298" t="s">
        <v>12</v>
      </c>
      <c r="B22" s="1299">
        <v>115013</v>
      </c>
      <c r="C22" s="330"/>
      <c r="D22" s="330"/>
      <c r="E22" s="330"/>
      <c r="F22" s="330"/>
    </row>
    <row r="23" spans="1:6">
      <c r="A23" s="1298" t="s">
        <v>13</v>
      </c>
      <c r="B23" s="1299">
        <v>1328</v>
      </c>
      <c r="C23" s="330"/>
      <c r="D23" s="330"/>
      <c r="E23" s="330"/>
      <c r="F23" s="330"/>
    </row>
    <row r="24" spans="1:6">
      <c r="A24" s="1298" t="s">
        <v>14</v>
      </c>
      <c r="B24" s="1299">
        <v>70</v>
      </c>
      <c r="C24" s="330"/>
      <c r="D24" s="330"/>
      <c r="E24" s="330"/>
      <c r="F24" s="330"/>
    </row>
    <row r="25" spans="1:6">
      <c r="A25" s="1298" t="s">
        <v>15</v>
      </c>
      <c r="B25" s="1299">
        <v>8405</v>
      </c>
      <c r="C25" s="330"/>
      <c r="D25" s="330"/>
      <c r="E25" s="330"/>
      <c r="F25" s="330"/>
    </row>
    <row r="26" spans="1:6">
      <c r="A26" s="1298" t="s">
        <v>16</v>
      </c>
      <c r="B26" s="1299">
        <v>394</v>
      </c>
      <c r="C26" s="330"/>
      <c r="D26" s="330"/>
      <c r="E26" s="330"/>
      <c r="F26" s="330"/>
    </row>
    <row r="27" spans="1:6">
      <c r="A27" s="1298" t="s">
        <v>17</v>
      </c>
      <c r="B27" s="1299">
        <v>0</v>
      </c>
      <c r="C27" s="330"/>
      <c r="D27" s="330"/>
      <c r="E27" s="330"/>
      <c r="F27" s="330"/>
    </row>
    <row r="28" spans="1:6" s="43" customFormat="1">
      <c r="A28" s="1300" t="s">
        <v>18</v>
      </c>
      <c r="B28" s="1301">
        <v>708323</v>
      </c>
      <c r="C28" s="336"/>
      <c r="D28" s="336"/>
      <c r="E28" s="336"/>
      <c r="F28" s="336"/>
    </row>
    <row r="29" spans="1:6">
      <c r="A29" s="1300" t="s">
        <v>705</v>
      </c>
      <c r="B29" s="1301">
        <v>252</v>
      </c>
      <c r="C29" s="336"/>
      <c r="D29" s="336"/>
      <c r="E29" s="336"/>
      <c r="F29" s="336"/>
    </row>
    <row r="30" spans="1:6">
      <c r="A30" s="1293" t="s">
        <v>706</v>
      </c>
      <c r="B30" s="1302">
        <v>50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14712.043</v>
      </c>
    </row>
    <row r="37" spans="1:6">
      <c r="A37" s="1298" t="s">
        <v>24</v>
      </c>
      <c r="B37" s="1298" t="s">
        <v>27</v>
      </c>
      <c r="C37" s="1299">
        <v>0</v>
      </c>
      <c r="D37" s="1299">
        <v>0</v>
      </c>
      <c r="E37" s="1299">
        <v>0</v>
      </c>
      <c r="F37" s="1299">
        <v>0</v>
      </c>
    </row>
    <row r="38" spans="1:6">
      <c r="A38" s="1298" t="s">
        <v>24</v>
      </c>
      <c r="B38" s="1298" t="s">
        <v>28</v>
      </c>
      <c r="C38" s="1299">
        <v>1</v>
      </c>
      <c r="D38" s="1299">
        <v>82770.972999999998</v>
      </c>
      <c r="E38" s="1299">
        <v>2</v>
      </c>
      <c r="F38" s="1299">
        <v>115159</v>
      </c>
    </row>
    <row r="39" spans="1:6">
      <c r="A39" s="1298" t="s">
        <v>29</v>
      </c>
      <c r="B39" s="1298" t="s">
        <v>30</v>
      </c>
      <c r="C39" s="1299">
        <v>5722</v>
      </c>
      <c r="D39" s="1299">
        <v>83079128.370000005</v>
      </c>
      <c r="E39" s="1299">
        <v>7962</v>
      </c>
      <c r="F39" s="1299">
        <v>28556542.18</v>
      </c>
    </row>
    <row r="40" spans="1:6">
      <c r="A40" s="1298" t="s">
        <v>29</v>
      </c>
      <c r="B40" s="1298" t="s">
        <v>28</v>
      </c>
      <c r="C40" s="1299">
        <v>0</v>
      </c>
      <c r="D40" s="1299">
        <v>0</v>
      </c>
      <c r="E40" s="1299">
        <v>0</v>
      </c>
      <c r="F40" s="1299">
        <v>0</v>
      </c>
    </row>
    <row r="41" spans="1:6">
      <c r="A41" s="1298" t="s">
        <v>31</v>
      </c>
      <c r="B41" s="1298" t="s">
        <v>32</v>
      </c>
      <c r="C41" s="1299">
        <v>140</v>
      </c>
      <c r="D41" s="1299">
        <v>68631135.090000004</v>
      </c>
      <c r="E41" s="1299">
        <v>293</v>
      </c>
      <c r="F41" s="1299">
        <v>62728416.719999999</v>
      </c>
    </row>
    <row r="42" spans="1:6">
      <c r="A42" s="1298" t="s">
        <v>31</v>
      </c>
      <c r="B42" s="1298" t="s">
        <v>33</v>
      </c>
      <c r="C42" s="1299">
        <v>3</v>
      </c>
      <c r="D42" s="1299">
        <v>28676.748</v>
      </c>
      <c r="E42" s="1299">
        <v>6</v>
      </c>
      <c r="F42" s="1299">
        <v>689482.91</v>
      </c>
    </row>
    <row r="43" spans="1:6">
      <c r="A43" s="1298" t="s">
        <v>31</v>
      </c>
      <c r="B43" s="1298" t="s">
        <v>34</v>
      </c>
      <c r="C43" s="1299">
        <v>0</v>
      </c>
      <c r="D43" s="1299">
        <v>0</v>
      </c>
      <c r="E43" s="1299">
        <v>0</v>
      </c>
      <c r="F43" s="1299">
        <v>0</v>
      </c>
    </row>
    <row r="44" spans="1:6">
      <c r="A44" s="1298" t="s">
        <v>31</v>
      </c>
      <c r="B44" s="1298" t="s">
        <v>35</v>
      </c>
      <c r="C44" s="1299">
        <v>4</v>
      </c>
      <c r="D44" s="1299">
        <v>174763.141</v>
      </c>
      <c r="E44" s="1299">
        <v>32</v>
      </c>
      <c r="F44" s="1299">
        <v>1016358.634</v>
      </c>
    </row>
    <row r="45" spans="1:6">
      <c r="A45" s="1298" t="s">
        <v>31</v>
      </c>
      <c r="B45" s="1298" t="s">
        <v>36</v>
      </c>
      <c r="C45" s="1299">
        <v>0</v>
      </c>
      <c r="D45" s="1299">
        <v>0</v>
      </c>
      <c r="E45" s="1299">
        <v>6</v>
      </c>
      <c r="F45" s="1299">
        <v>291261.41899999999</v>
      </c>
    </row>
    <row r="46" spans="1:6">
      <c r="A46" s="1298" t="s">
        <v>31</v>
      </c>
      <c r="B46" s="1298" t="s">
        <v>37</v>
      </c>
      <c r="C46" s="1299">
        <v>0</v>
      </c>
      <c r="D46" s="1299">
        <v>0</v>
      </c>
      <c r="E46" s="1299">
        <v>0</v>
      </c>
      <c r="F46" s="1299">
        <v>0</v>
      </c>
    </row>
    <row r="47" spans="1:6">
      <c r="A47" s="1298" t="s">
        <v>31</v>
      </c>
      <c r="B47" s="1298" t="s">
        <v>38</v>
      </c>
      <c r="C47" s="1299">
        <v>4</v>
      </c>
      <c r="D47" s="1299">
        <v>1138208.1129999999</v>
      </c>
      <c r="E47" s="1299">
        <v>4</v>
      </c>
      <c r="F47" s="1299">
        <v>1163706</v>
      </c>
    </row>
    <row r="48" spans="1:6">
      <c r="A48" s="1298" t="s">
        <v>31</v>
      </c>
      <c r="B48" s="1298" t="s">
        <v>28</v>
      </c>
      <c r="C48" s="1299">
        <v>38</v>
      </c>
      <c r="D48" s="1299">
        <v>137452681.40000001</v>
      </c>
      <c r="E48" s="1299">
        <v>40</v>
      </c>
      <c r="F48" s="1299">
        <v>60748581.090000004</v>
      </c>
    </row>
    <row r="49" spans="1:6">
      <c r="A49" s="1298" t="s">
        <v>31</v>
      </c>
      <c r="B49" s="1298" t="s">
        <v>39</v>
      </c>
      <c r="C49" s="1299">
        <v>0</v>
      </c>
      <c r="D49" s="1299">
        <v>0</v>
      </c>
      <c r="E49" s="1299">
        <v>7</v>
      </c>
      <c r="F49" s="1299">
        <v>2952209.6639999999</v>
      </c>
    </row>
    <row r="50" spans="1:6">
      <c r="A50" s="1298" t="s">
        <v>31</v>
      </c>
      <c r="B50" s="1298" t="s">
        <v>40</v>
      </c>
      <c r="C50" s="1299">
        <v>9</v>
      </c>
      <c r="D50" s="1299">
        <v>2811960.406</v>
      </c>
      <c r="E50" s="1299">
        <v>19</v>
      </c>
      <c r="F50" s="1299">
        <v>18314474.93</v>
      </c>
    </row>
    <row r="51" spans="1:6">
      <c r="A51" s="1298" t="s">
        <v>41</v>
      </c>
      <c r="B51" s="1298" t="s">
        <v>42</v>
      </c>
      <c r="C51" s="1299">
        <v>15</v>
      </c>
      <c r="D51" s="1299">
        <v>598629.82900000003</v>
      </c>
      <c r="E51" s="1299">
        <v>327</v>
      </c>
      <c r="F51" s="1299">
        <v>13722295.560000001</v>
      </c>
    </row>
    <row r="52" spans="1:6">
      <c r="A52" s="1298" t="s">
        <v>41</v>
      </c>
      <c r="B52" s="1298" t="s">
        <v>28</v>
      </c>
      <c r="C52" s="1299">
        <v>6</v>
      </c>
      <c r="D52" s="1299">
        <v>99437.025999999998</v>
      </c>
      <c r="E52" s="1299">
        <v>4</v>
      </c>
      <c r="F52" s="1299">
        <v>54616.695</v>
      </c>
    </row>
    <row r="53" spans="1:6">
      <c r="A53" s="1298" t="s">
        <v>43</v>
      </c>
      <c r="B53" s="1298" t="s">
        <v>44</v>
      </c>
      <c r="C53" s="1299">
        <v>132</v>
      </c>
      <c r="D53" s="1299">
        <v>1904303.037</v>
      </c>
      <c r="E53" s="1299">
        <v>281</v>
      </c>
      <c r="F53" s="1299">
        <v>856268.24899999995</v>
      </c>
    </row>
    <row r="54" spans="1:6">
      <c r="A54" s="1298" t="s">
        <v>45</v>
      </c>
      <c r="B54" s="1298" t="s">
        <v>46</v>
      </c>
      <c r="C54" s="1299">
        <v>0</v>
      </c>
      <c r="D54" s="1299">
        <v>0</v>
      </c>
      <c r="E54" s="1299">
        <v>2</v>
      </c>
      <c r="F54" s="1299">
        <v>1465614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71</v>
      </c>
      <c r="D57" s="1299">
        <v>4948748.6220000004</v>
      </c>
      <c r="E57" s="1299">
        <v>150</v>
      </c>
      <c r="F57" s="1299">
        <v>2591950.5049999999</v>
      </c>
    </row>
    <row r="58" spans="1:6">
      <c r="A58" s="1298" t="s">
        <v>48</v>
      </c>
      <c r="B58" s="1298" t="s">
        <v>50</v>
      </c>
      <c r="C58" s="1299">
        <v>67</v>
      </c>
      <c r="D58" s="1299">
        <v>9968746.4700000007</v>
      </c>
      <c r="E58" s="1299">
        <v>93</v>
      </c>
      <c r="F58" s="1299">
        <v>6987649.0379999997</v>
      </c>
    </row>
    <row r="59" spans="1:6">
      <c r="A59" s="1298" t="s">
        <v>48</v>
      </c>
      <c r="B59" s="1298" t="s">
        <v>51</v>
      </c>
      <c r="C59" s="1299">
        <v>164</v>
      </c>
      <c r="D59" s="1299">
        <v>7415090.932</v>
      </c>
      <c r="E59" s="1299">
        <v>377</v>
      </c>
      <c r="F59" s="1299">
        <v>12704802.65</v>
      </c>
    </row>
    <row r="60" spans="1:6">
      <c r="A60" s="1298" t="s">
        <v>48</v>
      </c>
      <c r="B60" s="1298" t="s">
        <v>52</v>
      </c>
      <c r="C60" s="1299">
        <v>76</v>
      </c>
      <c r="D60" s="1299">
        <v>6414941.9299999997</v>
      </c>
      <c r="E60" s="1299">
        <v>97</v>
      </c>
      <c r="F60" s="1299">
        <v>2743531.5809999998</v>
      </c>
    </row>
    <row r="61" spans="1:6">
      <c r="A61" s="1298" t="s">
        <v>48</v>
      </c>
      <c r="B61" s="1298" t="s">
        <v>53</v>
      </c>
      <c r="C61" s="1299">
        <v>297</v>
      </c>
      <c r="D61" s="1299">
        <v>12155939.73</v>
      </c>
      <c r="E61" s="1299">
        <v>519</v>
      </c>
      <c r="F61" s="1299">
        <v>6744850.2439999999</v>
      </c>
    </row>
    <row r="62" spans="1:6">
      <c r="A62" s="1298" t="s">
        <v>48</v>
      </c>
      <c r="B62" s="1298" t="s">
        <v>54</v>
      </c>
      <c r="C62" s="1299">
        <v>13</v>
      </c>
      <c r="D62" s="1299">
        <v>2385889.0869999998</v>
      </c>
      <c r="E62" s="1299">
        <v>13</v>
      </c>
      <c r="F62" s="1299">
        <v>401321.79700000002</v>
      </c>
    </row>
    <row r="63" spans="1:6">
      <c r="A63" s="1298" t="s">
        <v>48</v>
      </c>
      <c r="B63" s="1298" t="s">
        <v>28</v>
      </c>
      <c r="C63" s="1299">
        <v>105</v>
      </c>
      <c r="D63" s="1299">
        <v>5249788.3059999999</v>
      </c>
      <c r="E63" s="1299">
        <v>110</v>
      </c>
      <c r="F63" s="1299">
        <v>2767211.5260000001</v>
      </c>
    </row>
    <row r="64" spans="1:6">
      <c r="A64" s="1298" t="s">
        <v>55</v>
      </c>
      <c r="B64" s="1298" t="s">
        <v>56</v>
      </c>
      <c r="C64" s="1299">
        <v>0</v>
      </c>
      <c r="D64" s="1299">
        <v>0</v>
      </c>
      <c r="E64" s="1299">
        <v>0</v>
      </c>
      <c r="F64" s="1299">
        <v>0</v>
      </c>
    </row>
    <row r="65" spans="1:6">
      <c r="A65" s="1298" t="s">
        <v>55</v>
      </c>
      <c r="B65" s="1298" t="s">
        <v>28</v>
      </c>
      <c r="C65" s="1299">
        <v>4</v>
      </c>
      <c r="D65" s="1299">
        <v>157325.94200000001</v>
      </c>
      <c r="E65" s="1299">
        <v>3</v>
      </c>
      <c r="F65" s="1299">
        <v>18990.55</v>
      </c>
    </row>
    <row r="66" spans="1:6">
      <c r="A66" s="1298" t="s">
        <v>55</v>
      </c>
      <c r="B66" s="1298" t="s">
        <v>57</v>
      </c>
      <c r="C66" s="1299">
        <v>0</v>
      </c>
      <c r="D66" s="1299">
        <v>0</v>
      </c>
      <c r="E66" s="1299">
        <v>13</v>
      </c>
      <c r="F66" s="1299">
        <v>214556.06299999999</v>
      </c>
    </row>
    <row r="67" spans="1:6">
      <c r="A67" s="1300" t="s">
        <v>55</v>
      </c>
      <c r="B67" s="1300" t="s">
        <v>58</v>
      </c>
      <c r="C67" s="1299">
        <v>0</v>
      </c>
      <c r="D67" s="1299">
        <v>0</v>
      </c>
      <c r="E67" s="1299">
        <v>0</v>
      </c>
      <c r="F67" s="1299">
        <v>0</v>
      </c>
    </row>
    <row r="68" spans="1:6">
      <c r="A68" s="1293" t="s">
        <v>55</v>
      </c>
      <c r="B68" s="1293" t="s">
        <v>59</v>
      </c>
      <c r="C68" s="1302">
        <v>6</v>
      </c>
      <c r="D68" s="1302">
        <v>103399.97500000001</v>
      </c>
      <c r="E68" s="1302">
        <v>24</v>
      </c>
      <c r="F68" s="1302">
        <v>280381.61800000002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116794259</v>
      </c>
      <c r="E73" s="450"/>
      <c r="F73" s="330"/>
    </row>
    <row r="74" spans="1:6">
      <c r="A74" s="1298" t="s">
        <v>63</v>
      </c>
      <c r="B74" s="1298" t="s">
        <v>647</v>
      </c>
      <c r="C74" s="1312" t="s">
        <v>649</v>
      </c>
      <c r="D74" s="1313">
        <v>16491059.5</v>
      </c>
      <c r="E74" s="450"/>
      <c r="F74" s="330"/>
    </row>
    <row r="75" spans="1:6">
      <c r="A75" s="1298" t="s">
        <v>64</v>
      </c>
      <c r="B75" s="1298" t="s">
        <v>646</v>
      </c>
      <c r="C75" s="1312" t="s">
        <v>650</v>
      </c>
      <c r="D75" s="1313">
        <v>31418218</v>
      </c>
      <c r="E75" s="450"/>
      <c r="F75" s="330"/>
    </row>
    <row r="76" spans="1:6">
      <c r="A76" s="1298" t="s">
        <v>64</v>
      </c>
      <c r="B76" s="1298" t="s">
        <v>647</v>
      </c>
      <c r="C76" s="1312" t="s">
        <v>651</v>
      </c>
      <c r="D76" s="1313">
        <v>3078368.5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333151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4724.2328190074659</v>
      </c>
      <c r="C91" s="330"/>
      <c r="D91" s="330"/>
      <c r="E91" s="330"/>
      <c r="F91" s="330"/>
    </row>
    <row r="92" spans="1:6">
      <c r="A92" s="1293" t="s">
        <v>68</v>
      </c>
      <c r="B92" s="1294">
        <v>9457.8920931459743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3670</v>
      </c>
      <c r="C97" s="330"/>
      <c r="D97" s="330"/>
      <c r="E97" s="330"/>
      <c r="F97" s="330"/>
    </row>
    <row r="98" spans="1:6">
      <c r="A98" s="1298" t="s">
        <v>71</v>
      </c>
      <c r="B98" s="1299">
        <v>1</v>
      </c>
      <c r="C98" s="330"/>
      <c r="D98" s="330"/>
      <c r="E98" s="330"/>
      <c r="F98" s="330"/>
    </row>
    <row r="99" spans="1:6">
      <c r="A99" s="1298" t="s">
        <v>72</v>
      </c>
      <c r="B99" s="1299">
        <v>172</v>
      </c>
      <c r="C99" s="330"/>
      <c r="D99" s="330"/>
      <c r="E99" s="330"/>
      <c r="F99" s="330"/>
    </row>
    <row r="100" spans="1:6">
      <c r="A100" s="1298" t="s">
        <v>73</v>
      </c>
      <c r="B100" s="1299">
        <v>626</v>
      </c>
      <c r="C100" s="330"/>
      <c r="D100" s="330"/>
      <c r="E100" s="330"/>
      <c r="F100" s="330"/>
    </row>
    <row r="101" spans="1:6">
      <c r="A101" s="1298" t="s">
        <v>74</v>
      </c>
      <c r="B101" s="1299">
        <v>138</v>
      </c>
      <c r="C101" s="330"/>
      <c r="D101" s="330"/>
      <c r="E101" s="330"/>
      <c r="F101" s="330"/>
    </row>
    <row r="102" spans="1:6">
      <c r="A102" s="1298" t="s">
        <v>75</v>
      </c>
      <c r="B102" s="1299">
        <v>138</v>
      </c>
      <c r="C102" s="330"/>
      <c r="D102" s="330"/>
      <c r="E102" s="330"/>
      <c r="F102" s="330"/>
    </row>
    <row r="103" spans="1:6">
      <c r="A103" s="1298" t="s">
        <v>76</v>
      </c>
      <c r="B103" s="1299">
        <v>233</v>
      </c>
      <c r="C103" s="330"/>
      <c r="D103" s="330"/>
      <c r="E103" s="330"/>
      <c r="F103" s="330"/>
    </row>
    <row r="104" spans="1:6">
      <c r="A104" s="1298" t="s">
        <v>77</v>
      </c>
      <c r="B104" s="1299">
        <v>2399</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53</v>
      </c>
      <c r="C123" s="1299">
        <v>65</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261</v>
      </c>
      <c r="C129" s="330"/>
      <c r="D129" s="330"/>
      <c r="E129" s="330"/>
      <c r="F129" s="330"/>
    </row>
    <row r="130" spans="1:6">
      <c r="A130" s="1298" t="s">
        <v>294</v>
      </c>
      <c r="B130" s="1299">
        <v>8</v>
      </c>
      <c r="C130" s="330"/>
      <c r="D130" s="330"/>
      <c r="E130" s="330"/>
      <c r="F130" s="330"/>
    </row>
    <row r="131" spans="1:6">
      <c r="A131" s="1298" t="s">
        <v>295</v>
      </c>
      <c r="B131" s="1299">
        <v>2</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232296.26249346457</v>
      </c>
      <c r="C3" s="43" t="s">
        <v>169</v>
      </c>
      <c r="D3" s="43"/>
      <c r="E3" s="154"/>
      <c r="F3" s="43"/>
      <c r="G3" s="43"/>
      <c r="H3" s="43"/>
      <c r="I3" s="43"/>
      <c r="J3" s="43"/>
      <c r="K3" s="96"/>
    </row>
    <row r="4" spans="1:11">
      <c r="A4" s="358" t="s">
        <v>170</v>
      </c>
      <c r="B4" s="49">
        <f>IF(ISERROR('SEAP template'!B78+'SEAP template'!C78),0,'SEAP template'!B78+'SEAP template'!C78)</f>
        <v>14269.424912153439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0.20742447850113546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1465.614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1465.614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0.20742447850113546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304.00421963396315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28556.54218</v>
      </c>
      <c r="C5" s="17">
        <f>IF(ISERROR('Eigen informatie GS &amp; warmtenet'!B59),0,'Eigen informatie GS &amp; warmtenet'!B59)</f>
        <v>0</v>
      </c>
      <c r="D5" s="30">
        <f>(SUM(HH_hh_gas_kWh,HH_rest_gas_kWh)/1000)*0.902</f>
        <v>74937.373789740013</v>
      </c>
      <c r="E5" s="17">
        <f>B46*B57</f>
        <v>22554.695180320014</v>
      </c>
      <c r="F5" s="17">
        <f>B51*B62</f>
        <v>11460.291363234755</v>
      </c>
      <c r="G5" s="18"/>
      <c r="H5" s="17"/>
      <c r="I5" s="17"/>
      <c r="J5" s="17">
        <f>B50*B61+C50*C61</f>
        <v>366.10108226597282</v>
      </c>
      <c r="K5" s="17"/>
      <c r="L5" s="17"/>
      <c r="M5" s="17"/>
      <c r="N5" s="17">
        <f>B48*B59+C48*C59</f>
        <v>22578.770809664333</v>
      </c>
      <c r="O5" s="17">
        <f>B69*B70*B71</f>
        <v>648.75433773955933</v>
      </c>
      <c r="P5" s="17">
        <f>B77*B78*B79/1000-B77*B78*B79/1000/B80</f>
        <v>811.11486669174678</v>
      </c>
    </row>
    <row r="6" spans="1:16">
      <c r="A6" s="16" t="s">
        <v>611</v>
      </c>
      <c r="B6" s="783">
        <f>kWh_PV_kleiner_dan_10kW</f>
        <v>4724.2328190074659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33280.774999007466</v>
      </c>
      <c r="C8" s="21">
        <f>C5</f>
        <v>0</v>
      </c>
      <c r="D8" s="21">
        <f>D5</f>
        <v>74937.373789740013</v>
      </c>
      <c r="E8" s="21">
        <f>E5</f>
        <v>22554.695180320014</v>
      </c>
      <c r="F8" s="21">
        <f>F5</f>
        <v>11460.291363234755</v>
      </c>
      <c r="G8" s="21"/>
      <c r="H8" s="21"/>
      <c r="I8" s="21"/>
      <c r="J8" s="21">
        <f>J5</f>
        <v>366.10108226597282</v>
      </c>
      <c r="K8" s="21"/>
      <c r="L8" s="21">
        <f>L5</f>
        <v>0</v>
      </c>
      <c r="M8" s="21">
        <f>M5</f>
        <v>0</v>
      </c>
      <c r="N8" s="21">
        <f>N5</f>
        <v>22578.770809664333</v>
      </c>
      <c r="O8" s="21">
        <f>O5</f>
        <v>648.75433773955933</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0.20742447850113546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6903.2473982827505</v>
      </c>
      <c r="C12" s="23">
        <f ca="1">C10*C8</f>
        <v>0</v>
      </c>
      <c r="D12" s="23">
        <f>D8*D10</f>
        <v>15137.349505527483</v>
      </c>
      <c r="E12" s="23">
        <f>E10*E8</f>
        <v>5119.9158059326437</v>
      </c>
      <c r="F12" s="23">
        <f>F10*F8</f>
        <v>3059.89779398368</v>
      </c>
      <c r="G12" s="23"/>
      <c r="H12" s="23"/>
      <c r="I12" s="23"/>
      <c r="J12" s="23">
        <f>J10*J8</f>
        <v>129.59978312215438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8638</v>
      </c>
      <c r="C28" s="36"/>
      <c r="D28" s="228"/>
    </row>
    <row r="29" spans="1:7" s="15" customFormat="1">
      <c r="A29" s="230" t="s">
        <v>819</v>
      </c>
      <c r="B29" s="37">
        <f>SUM(HH_hh_gas_aantal,HH_rest_gas_aantal)</f>
        <v>5722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5722</v>
      </c>
      <c r="C32" s="167">
        <f>IF(ISERROR(B32/SUM($B$32,$B$34,$B$35,$B$36,$B$38,$B$39)*100),0,B32/SUM($B$32,$B$34,$B$35,$B$36,$B$38,$B$39)*100)</f>
        <v>66.837986216563479</v>
      </c>
      <c r="D32" s="233"/>
      <c r="G32" s="15"/>
    </row>
    <row r="33" spans="1:7">
      <c r="A33" s="171" t="s">
        <v>71</v>
      </c>
      <c r="B33" s="34" t="s">
        <v>110</v>
      </c>
      <c r="C33" s="167"/>
      <c r="D33" s="233"/>
      <c r="G33" s="15"/>
    </row>
    <row r="34" spans="1:7">
      <c r="A34" s="171" t="s">
        <v>72</v>
      </c>
      <c r="B34" s="33">
        <f>IF((($B$28-$B$32-$B$39-$B$77-$B$38)*C20/100)&lt;0,0,($B$28-$B$32-$B$39-$B$77-$B$38)*C20/100)</f>
        <v>415.1153846153847</v>
      </c>
      <c r="C34" s="167">
        <f>IF(ISERROR(B34/SUM($B$32,$B$34,$B$35,$B$36,$B$38,$B$39)*100),0,B34/SUM($B$32,$B$34,$B$35,$B$36,$B$38,$B$39)*100)</f>
        <v>4.8489123305149473</v>
      </c>
      <c r="D34" s="233"/>
      <c r="G34" s="15"/>
    </row>
    <row r="35" spans="1:7">
      <c r="A35" s="171" t="s">
        <v>73</v>
      </c>
      <c r="B35" s="33">
        <f>IF((($B$28-$B$32-$B$39-$B$77-$B$38)*C21/100)&lt;0,0,($B$28-$B$32-$B$39-$B$77-$B$38)*C21/100)</f>
        <v>1510.8269230769229</v>
      </c>
      <c r="C35" s="167">
        <f>IF(ISERROR(B35/SUM($B$32,$B$34,$B$35,$B$36,$B$38,$B$39)*100),0,B35/SUM($B$32,$B$34,$B$35,$B$36,$B$38,$B$39)*100)</f>
        <v>17.6477855750137</v>
      </c>
      <c r="D35" s="233"/>
      <c r="G35" s="15"/>
    </row>
    <row r="36" spans="1:7">
      <c r="A36" s="171" t="s">
        <v>74</v>
      </c>
      <c r="B36" s="33">
        <f>IF((($B$28-$B$32-$B$39-$B$77-$B$38)*C22/100)&lt;0,0,($B$28-$B$32-$B$39-$B$77-$B$38)*C22/100)</f>
        <v>333.05769230769232</v>
      </c>
      <c r="C36" s="167">
        <f>IF(ISERROR(B36/SUM($B$32,$B$34,$B$35,$B$36,$B$38,$B$39)*100),0,B36/SUM($B$32,$B$34,$B$35,$B$36,$B$38,$B$39)*100)</f>
        <v>3.8904064047154812</v>
      </c>
      <c r="D36" s="233"/>
      <c r="G36" s="15"/>
    </row>
    <row r="37" spans="1:7">
      <c r="A37" s="171" t="s">
        <v>75</v>
      </c>
      <c r="B37" s="34" t="s">
        <v>110</v>
      </c>
      <c r="C37" s="167"/>
      <c r="D37" s="173"/>
      <c r="G37" s="15"/>
    </row>
    <row r="38" spans="1:7">
      <c r="A38" s="171" t="s">
        <v>76</v>
      </c>
      <c r="B38" s="33">
        <f>IF((B24-(B29-B18)*0.1)&lt;0,0,B24-(B29-B18)*0.1)</f>
        <v>27.799999999999983</v>
      </c>
      <c r="C38" s="167">
        <f>IF(ISERROR(B38/SUM($B$32,$B$34,$B$35,$B$36,$B$38,$B$39)*100),0,B38/SUM($B$32,$B$34,$B$35,$B$36,$B$38,$B$39)*100)</f>
        <v>0.32472841957715204</v>
      </c>
      <c r="D38" s="234"/>
      <c r="G38" s="15"/>
    </row>
    <row r="39" spans="1:7">
      <c r="A39" s="171" t="s">
        <v>77</v>
      </c>
      <c r="B39" s="33">
        <f>IF((B25-(B29-B18))&lt;0,0,B25-(B29-B18)*0.9)</f>
        <v>552.20000000000005</v>
      </c>
      <c r="C39" s="167">
        <f>IF(ISERROR(B39/SUM($B$32,$B$34,$B$35,$B$36,$B$38,$B$39)*100),0,B39/SUM($B$32,$B$34,$B$35,$B$36,$B$38,$B$39)*100)</f>
        <v>6.450181053615232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5722</v>
      </c>
      <c r="C44" s="34" t="s">
        <v>110</v>
      </c>
      <c r="D44" s="174"/>
    </row>
    <row r="45" spans="1:7">
      <c r="A45" s="171" t="s">
        <v>71</v>
      </c>
      <c r="B45" s="33" t="str">
        <f t="shared" si="0"/>
        <v>-</v>
      </c>
      <c r="C45" s="34" t="s">
        <v>110</v>
      </c>
      <c r="D45" s="174"/>
    </row>
    <row r="46" spans="1:7">
      <c r="A46" s="171" t="s">
        <v>72</v>
      </c>
      <c r="B46" s="33">
        <f t="shared" si="0"/>
        <v>415.1153846153847</v>
      </c>
      <c r="C46" s="34" t="s">
        <v>110</v>
      </c>
      <c r="D46" s="174"/>
    </row>
    <row r="47" spans="1:7">
      <c r="A47" s="171" t="s">
        <v>73</v>
      </c>
      <c r="B47" s="33">
        <f t="shared" si="0"/>
        <v>1510.8269230769229</v>
      </c>
      <c r="C47" s="34" t="s">
        <v>110</v>
      </c>
      <c r="D47" s="174"/>
    </row>
    <row r="48" spans="1:7">
      <c r="A48" s="171" t="s">
        <v>74</v>
      </c>
      <c r="B48" s="33">
        <f t="shared" si="0"/>
        <v>333.05769230769232</v>
      </c>
      <c r="C48" s="33">
        <f>B48*10</f>
        <v>3330.5769230769233</v>
      </c>
      <c r="D48" s="234"/>
    </row>
    <row r="49" spans="1:6">
      <c r="A49" s="171" t="s">
        <v>75</v>
      </c>
      <c r="B49" s="33" t="str">
        <f t="shared" si="0"/>
        <v>-</v>
      </c>
      <c r="C49" s="34" t="s">
        <v>110</v>
      </c>
      <c r="D49" s="234"/>
    </row>
    <row r="50" spans="1:6">
      <c r="A50" s="171" t="s">
        <v>76</v>
      </c>
      <c r="B50" s="33">
        <f t="shared" si="0"/>
        <v>27.799999999999983</v>
      </c>
      <c r="C50" s="33">
        <f>B50*2</f>
        <v>55.599999999999966</v>
      </c>
      <c r="D50" s="234"/>
    </row>
    <row r="51" spans="1:6">
      <c r="A51" s="171" t="s">
        <v>77</v>
      </c>
      <c r="B51" s="33">
        <f t="shared" si="0"/>
        <v>552.20000000000005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34941.317341000002</v>
      </c>
      <c r="C5" s="17">
        <f>IF(ISERROR('Eigen informatie GS &amp; warmtenet'!B60),0,'Eigen informatie GS &amp; warmtenet'!B60)</f>
        <v>0</v>
      </c>
      <c r="D5" s="30">
        <f>SUM(D6:D12)</f>
        <v>43782.308859454002</v>
      </c>
      <c r="E5" s="17">
        <f>SUM(E6:E12)</f>
        <v>487.73978120349676</v>
      </c>
      <c r="F5" s="17">
        <f>SUM(F6:F12)</f>
        <v>3710.0659172116966</v>
      </c>
      <c r="G5" s="18"/>
      <c r="H5" s="17"/>
      <c r="I5" s="17"/>
      <c r="J5" s="17">
        <f>SUM(J6:J12)</f>
        <v>4.9304307838432433E-2</v>
      </c>
      <c r="K5" s="17"/>
      <c r="L5" s="17"/>
      <c r="M5" s="17"/>
      <c r="N5" s="17">
        <f>SUM(N6:N12)</f>
        <v>1988.6101925575572</v>
      </c>
      <c r="O5" s="17">
        <f>B38*B39*B40</f>
        <v>39.178086126729234</v>
      </c>
      <c r="P5" s="17">
        <f>B46*B47*B48/1000-B46*B47*B48/1000/B49</f>
        <v>105.07827661299004</v>
      </c>
      <c r="R5" s="32"/>
    </row>
    <row r="6" spans="1:18">
      <c r="A6" s="32" t="s">
        <v>53</v>
      </c>
      <c r="B6" s="37">
        <f>B26</f>
        <v>6744.8502440000002</v>
      </c>
      <c r="C6" s="33"/>
      <c r="D6" s="37">
        <f>IF(ISERROR(TER_kantoor_gas_kWh/1000),0,TER_kantoor_gas_kWh/1000)*0.902</f>
        <v>10964.657636460001</v>
      </c>
      <c r="E6" s="33">
        <f>$C$26*'E Balans VL '!I12/100/3.6*1000000</f>
        <v>54.273647344107374</v>
      </c>
      <c r="F6" s="33">
        <f>$C$26*('E Balans VL '!L12+'E Balans VL '!N12)/100/3.6*1000000</f>
        <v>824.62889588194207</v>
      </c>
      <c r="G6" s="34"/>
      <c r="H6" s="33"/>
      <c r="I6" s="33"/>
      <c r="J6" s="33">
        <f>$C$26*('E Balans VL '!D12+'E Balans VL '!E12)/100/3.6*1000000</f>
        <v>0</v>
      </c>
      <c r="K6" s="33"/>
      <c r="L6" s="33"/>
      <c r="M6" s="33"/>
      <c r="N6" s="33">
        <f>$C$26*'E Balans VL '!Y12/100/3.6*1000000</f>
        <v>3.6250248582253461</v>
      </c>
      <c r="O6" s="33"/>
      <c r="P6" s="33"/>
      <c r="R6" s="32"/>
    </row>
    <row r="7" spans="1:18">
      <c r="A7" s="32" t="s">
        <v>52</v>
      </c>
      <c r="B7" s="37">
        <f t="shared" ref="B7:B12" si="0">B27</f>
        <v>2743.5315809999997</v>
      </c>
      <c r="C7" s="33"/>
      <c r="D7" s="37">
        <f>IF(ISERROR(TER_horeca_gas_kWh/1000),0,TER_horeca_gas_kWh/1000)*0.902</f>
        <v>5786.2776208599998</v>
      </c>
      <c r="E7" s="33">
        <f>$C$27*'E Balans VL '!I9/100/3.6*1000000</f>
        <v>29.458792244183865</v>
      </c>
      <c r="F7" s="33">
        <f>$C$27*('E Balans VL '!L9+'E Balans VL '!N9)/100/3.6*1000000</f>
        <v>329.98032214006457</v>
      </c>
      <c r="G7" s="34"/>
      <c r="H7" s="33"/>
      <c r="I7" s="33"/>
      <c r="J7" s="33">
        <f>$C$27*('E Balans VL '!D9+'E Balans VL '!E9)/100/3.6*1000000</f>
        <v>0</v>
      </c>
      <c r="K7" s="33"/>
      <c r="L7" s="33"/>
      <c r="M7" s="33"/>
      <c r="N7" s="33">
        <f>$C$27*'E Balans VL '!Y9/100/3.6*1000000</f>
        <v>0.41131098892139595</v>
      </c>
      <c r="O7" s="33"/>
      <c r="P7" s="33"/>
      <c r="R7" s="32"/>
    </row>
    <row r="8" spans="1:18">
      <c r="A8" s="6" t="s">
        <v>51</v>
      </c>
      <c r="B8" s="37">
        <f t="shared" si="0"/>
        <v>12704.80265</v>
      </c>
      <c r="C8" s="33"/>
      <c r="D8" s="37">
        <f>IF(ISERROR(TER_handel_gas_kWh/1000),0,TER_handel_gas_kWh/1000)*0.902</f>
        <v>6688.412020664</v>
      </c>
      <c r="E8" s="33">
        <f>$C$28*'E Balans VL '!I13/100/3.6*1000000</f>
        <v>340.95800775000299</v>
      </c>
      <c r="F8" s="33">
        <f>$C$28*('E Balans VL '!L13+'E Balans VL '!N13)/100/3.6*1000000</f>
        <v>1212.4297449242633</v>
      </c>
      <c r="G8" s="34"/>
      <c r="H8" s="33"/>
      <c r="I8" s="33"/>
      <c r="J8" s="33">
        <f>$C$28*('E Balans VL '!D13+'E Balans VL '!E13)/100/3.6*1000000</f>
        <v>0</v>
      </c>
      <c r="K8" s="33"/>
      <c r="L8" s="33"/>
      <c r="M8" s="33"/>
      <c r="N8" s="33">
        <f>$C$28*'E Balans VL '!Y13/100/3.6*1000000</f>
        <v>5.036328228963586</v>
      </c>
      <c r="O8" s="33"/>
      <c r="P8" s="33"/>
      <c r="R8" s="32"/>
    </row>
    <row r="9" spans="1:18">
      <c r="A9" s="32" t="s">
        <v>50</v>
      </c>
      <c r="B9" s="37">
        <f t="shared" si="0"/>
        <v>6987.6490379999996</v>
      </c>
      <c r="C9" s="33"/>
      <c r="D9" s="37">
        <f>IF(ISERROR(TER_gezond_gas_kWh/1000),0,TER_gezond_gas_kWh/1000)*0.902</f>
        <v>8991.8093159399996</v>
      </c>
      <c r="E9" s="33">
        <f>$C$29*'E Balans VL '!I10/100/3.6*1000000</f>
        <v>13.097129574539952</v>
      </c>
      <c r="F9" s="33">
        <f>$C$29*('E Balans VL '!L10+'E Balans VL '!N10)/100/3.6*1000000</f>
        <v>574.44850830835389</v>
      </c>
      <c r="G9" s="34"/>
      <c r="H9" s="33"/>
      <c r="I9" s="33"/>
      <c r="J9" s="33">
        <f>$C$29*('E Balans VL '!D10+'E Balans VL '!E10)/100/3.6*1000000</f>
        <v>0</v>
      </c>
      <c r="K9" s="33"/>
      <c r="L9" s="33"/>
      <c r="M9" s="33"/>
      <c r="N9" s="33">
        <f>$C$29*'E Balans VL '!Y10/100/3.6*1000000</f>
        <v>54.369123050939343</v>
      </c>
      <c r="O9" s="33"/>
      <c r="P9" s="33"/>
      <c r="R9" s="32"/>
    </row>
    <row r="10" spans="1:18">
      <c r="A10" s="32" t="s">
        <v>49</v>
      </c>
      <c r="B10" s="37">
        <f t="shared" si="0"/>
        <v>2591.9505049999998</v>
      </c>
      <c r="C10" s="33"/>
      <c r="D10" s="37">
        <f>IF(ISERROR(TER_ander_gas_kWh/1000),0,TER_ander_gas_kWh/1000)*0.902</f>
        <v>4463.7712570439999</v>
      </c>
      <c r="E10" s="33">
        <f>$C$30*'E Balans VL '!I14/100/3.6*1000000</f>
        <v>3.9955179672861569</v>
      </c>
      <c r="F10" s="33">
        <f>$C$30*('E Balans VL '!L14+'E Balans VL '!N14)/100/3.6*1000000</f>
        <v>402.40103144852685</v>
      </c>
      <c r="G10" s="34"/>
      <c r="H10" s="33"/>
      <c r="I10" s="33"/>
      <c r="J10" s="33">
        <f>$C$30*('E Balans VL '!D14+'E Balans VL '!E14)/100/3.6*1000000</f>
        <v>4.4001093357657506E-2</v>
      </c>
      <c r="K10" s="33"/>
      <c r="L10" s="33"/>
      <c r="M10" s="33"/>
      <c r="N10" s="33">
        <f>$C$30*'E Balans VL '!Y14/100/3.6*1000000</f>
        <v>1714.7513827178793</v>
      </c>
      <c r="O10" s="33"/>
      <c r="P10" s="33"/>
      <c r="R10" s="32"/>
    </row>
    <row r="11" spans="1:18">
      <c r="A11" s="32" t="s">
        <v>54</v>
      </c>
      <c r="B11" s="37">
        <f t="shared" si="0"/>
        <v>401.321797</v>
      </c>
      <c r="C11" s="33"/>
      <c r="D11" s="37">
        <f>IF(ISERROR(TER_onderwijs_gas_kWh/1000),0,TER_onderwijs_gas_kWh/1000)*0.902</f>
        <v>2152.0719564740002</v>
      </c>
      <c r="E11" s="33">
        <f>$C$31*'E Balans VL '!I11/100/3.6*1000000</f>
        <v>10.236446874021443</v>
      </c>
      <c r="F11" s="33">
        <f>$C$31*('E Balans VL '!L11+'E Balans VL '!N11)/100/3.6*1000000</f>
        <v>48.262723473851203</v>
      </c>
      <c r="G11" s="34"/>
      <c r="H11" s="33"/>
      <c r="I11" s="33"/>
      <c r="J11" s="33">
        <f>$C$31*('E Balans VL '!D11+'E Balans VL '!E11)/100/3.6*1000000</f>
        <v>0</v>
      </c>
      <c r="K11" s="33"/>
      <c r="L11" s="33"/>
      <c r="M11" s="33"/>
      <c r="N11" s="33">
        <f>$C$31*'E Balans VL '!Y11/100/3.6*1000000</f>
        <v>0.8925298841917757</v>
      </c>
      <c r="O11" s="33"/>
      <c r="P11" s="33"/>
      <c r="R11" s="32"/>
    </row>
    <row r="12" spans="1:18">
      <c r="A12" s="32" t="s">
        <v>259</v>
      </c>
      <c r="B12" s="37">
        <f t="shared" si="0"/>
        <v>2767.211526</v>
      </c>
      <c r="C12" s="33"/>
      <c r="D12" s="37">
        <f>IF(ISERROR(TER_rest_gas_kWh/1000),0,TER_rest_gas_kWh/1000)*0.902</f>
        <v>4735.3090520119995</v>
      </c>
      <c r="E12" s="33">
        <f>$C$32*'E Balans VL '!I8/100/3.6*1000000</f>
        <v>35.720239449354963</v>
      </c>
      <c r="F12" s="33">
        <f>$C$32*('E Balans VL '!L8+'E Balans VL '!N8)/100/3.6*1000000</f>
        <v>317.91469103469524</v>
      </c>
      <c r="G12" s="34"/>
      <c r="H12" s="33"/>
      <c r="I12" s="33"/>
      <c r="J12" s="33">
        <f>$C$32*('E Balans VL '!D8+'E Balans VL '!E8)/100/3.6*1000000</f>
        <v>5.3032144807749282E-3</v>
      </c>
      <c r="K12" s="33"/>
      <c r="L12" s="33"/>
      <c r="M12" s="33"/>
      <c r="N12" s="33">
        <f>$C$32*'E Balans VL '!Y8/100/3.6*1000000</f>
        <v>209.52449282843634</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34941.317341000002</v>
      </c>
      <c r="C16" s="21">
        <f t="shared" ca="1" si="1"/>
        <v>0</v>
      </c>
      <c r="D16" s="21">
        <f t="shared" ca="1" si="1"/>
        <v>43782.308859454002</v>
      </c>
      <c r="E16" s="21">
        <f t="shared" si="1"/>
        <v>487.73978120349676</v>
      </c>
      <c r="F16" s="21">
        <f t="shared" ca="1" si="1"/>
        <v>3710.0659172116966</v>
      </c>
      <c r="G16" s="21">
        <f t="shared" si="1"/>
        <v>0</v>
      </c>
      <c r="H16" s="21">
        <f t="shared" si="1"/>
        <v>0</v>
      </c>
      <c r="I16" s="21">
        <f t="shared" si="1"/>
        <v>0</v>
      </c>
      <c r="J16" s="21">
        <f t="shared" si="1"/>
        <v>4.9304307838432433E-2</v>
      </c>
      <c r="K16" s="21">
        <f t="shared" si="1"/>
        <v>0</v>
      </c>
      <c r="L16" s="21">
        <f t="shared" ca="1" si="1"/>
        <v>0</v>
      </c>
      <c r="M16" s="21">
        <f t="shared" si="1"/>
        <v>0</v>
      </c>
      <c r="N16" s="21">
        <f t="shared" ca="1" si="1"/>
        <v>1988.6101925575572</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0.20742447850113546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7247.6845275996066</v>
      </c>
      <c r="C20" s="23">
        <f t="shared" ref="C20:P20" ca="1" si="2">C16*C18</f>
        <v>0</v>
      </c>
      <c r="D20" s="23">
        <f t="shared" ca="1" si="2"/>
        <v>8844.0263896097094</v>
      </c>
      <c r="E20" s="23">
        <f t="shared" si="2"/>
        <v>110.71693033319377</v>
      </c>
      <c r="F20" s="23">
        <f t="shared" ca="1" si="2"/>
        <v>990.587599895523</v>
      </c>
      <c r="G20" s="23">
        <f t="shared" si="2"/>
        <v>0</v>
      </c>
      <c r="H20" s="23">
        <f t="shared" si="2"/>
        <v>0</v>
      </c>
      <c r="I20" s="23">
        <f t="shared" si="2"/>
        <v>0</v>
      </c>
      <c r="J20" s="23">
        <f t="shared" si="2"/>
        <v>1.7453724974805081E-2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6744.8502440000002</v>
      </c>
      <c r="C26" s="39">
        <f>IF(ISERROR(B26*3.6/1000000/'E Balans VL '!Z12*100),0,B26*3.6/1000000/'E Balans VL '!Z12*100)</f>
        <v>0.14308582709710568</v>
      </c>
      <c r="D26" s="237" t="s">
        <v>708</v>
      </c>
      <c r="F26" s="6"/>
    </row>
    <row r="27" spans="1:18">
      <c r="A27" s="231" t="s">
        <v>52</v>
      </c>
      <c r="B27" s="33">
        <f>IF(ISERROR(TER_horeca_ele_kWh/1000),0,TER_horeca_ele_kWh/1000)</f>
        <v>2743.5315809999997</v>
      </c>
      <c r="C27" s="39">
        <f>IF(ISERROR(B27*3.6/1000000/'E Balans VL '!Z9*100),0,B27*3.6/1000000/'E Balans VL '!Z9*100)</f>
        <v>0.2066122316418012</v>
      </c>
      <c r="D27" s="237" t="s">
        <v>708</v>
      </c>
      <c r="F27" s="6"/>
    </row>
    <row r="28" spans="1:18">
      <c r="A28" s="171" t="s">
        <v>51</v>
      </c>
      <c r="B28" s="33">
        <f>IF(ISERROR(TER_handel_ele_kWh/1000),0,TER_handel_ele_kWh/1000)</f>
        <v>12704.80265</v>
      </c>
      <c r="C28" s="39">
        <f>IF(ISERROR(B28*3.6/1000000/'E Balans VL '!Z13*100),0,B28*3.6/1000000/'E Balans VL '!Z13*100)</f>
        <v>0.36877540430143252</v>
      </c>
      <c r="D28" s="237" t="s">
        <v>708</v>
      </c>
      <c r="F28" s="6"/>
    </row>
    <row r="29" spans="1:18">
      <c r="A29" s="231" t="s">
        <v>50</v>
      </c>
      <c r="B29" s="33">
        <f>IF(ISERROR(TER_gezond_ele_kWh/1000),0,TER_gezond_ele_kWh/1000)</f>
        <v>6987.6490379999996</v>
      </c>
      <c r="C29" s="39">
        <f>IF(ISERROR(B29*3.6/1000000/'E Balans VL '!Z10*100),0,B29*3.6/1000000/'E Balans VL '!Z10*100)</f>
        <v>0.70471273859317796</v>
      </c>
      <c r="D29" s="237" t="s">
        <v>708</v>
      </c>
      <c r="F29" s="6"/>
    </row>
    <row r="30" spans="1:18">
      <c r="A30" s="231" t="s">
        <v>49</v>
      </c>
      <c r="B30" s="33">
        <f>IF(ISERROR(TER_ander_ele_kWh/1000),0,TER_ander_ele_kWh/1000)</f>
        <v>2591.9505049999998</v>
      </c>
      <c r="C30" s="39">
        <f>IF(ISERROR(B30*3.6/1000000/'E Balans VL '!Z14*100),0,B30*3.6/1000000/'E Balans VL '!Z14*100)</f>
        <v>0.18808136982620019</v>
      </c>
      <c r="D30" s="237" t="s">
        <v>708</v>
      </c>
      <c r="F30" s="6"/>
    </row>
    <row r="31" spans="1:18">
      <c r="A31" s="231" t="s">
        <v>54</v>
      </c>
      <c r="B31" s="33">
        <f>IF(ISERROR(TER_onderwijs_ele_kWh/1000),0,TER_onderwijs_ele_kWh/1000)</f>
        <v>401.321797</v>
      </c>
      <c r="C31" s="39">
        <f>IF(ISERROR(B31*3.6/1000000/'E Balans VL '!Z11*100),0,B31*3.6/1000000/'E Balans VL '!Z11*100)</f>
        <v>0.11439305472954384</v>
      </c>
      <c r="D31" s="237" t="s">
        <v>708</v>
      </c>
    </row>
    <row r="32" spans="1:18">
      <c r="A32" s="231" t="s">
        <v>259</v>
      </c>
      <c r="B32" s="33">
        <f>IF(ISERROR(TER_rest_ele_kWh/1000),0,TER_rest_ele_kWh/1000)</f>
        <v>2767.211526</v>
      </c>
      <c r="C32" s="39">
        <f>IF(ISERROR(B32*3.6/1000000/'E Balans VL '!Z8*100),0,B32*3.6/1000000/'E Balans VL '!Z8*100)</f>
        <v>2.2668433166393252E-2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147904.49136700001</v>
      </c>
      <c r="C5" s="17">
        <f>IF(ISERROR('Eigen informatie GS &amp; warmtenet'!B61),0,'Eigen informatie GS &amp; warmtenet'!B61)</f>
        <v>0</v>
      </c>
      <c r="D5" s="30">
        <f>SUM(D6:D15)</f>
        <v>189634.15725799603</v>
      </c>
      <c r="E5" s="17">
        <f>SUM(E6:E15)</f>
        <v>20320.156038558678</v>
      </c>
      <c r="F5" s="17">
        <f>SUM(F6:F15)</f>
        <v>64096.327976817753</v>
      </c>
      <c r="G5" s="18"/>
      <c r="H5" s="17"/>
      <c r="I5" s="17"/>
      <c r="J5" s="17">
        <f>SUM(J6:J15)</f>
        <v>630.28365730967039</v>
      </c>
      <c r="K5" s="17"/>
      <c r="L5" s="17"/>
      <c r="M5" s="17"/>
      <c r="N5" s="17">
        <f>SUM(N6:N15)</f>
        <v>8220.1626785952212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1016.3586339999999</v>
      </c>
      <c r="C8" s="33"/>
      <c r="D8" s="37">
        <f>IF( ISERROR(IND_metaal_Gas_kWH/1000),0,IND_metaal_Gas_kWH/1000)*0.902</f>
        <v>157.63635318199999</v>
      </c>
      <c r="E8" s="33">
        <f>C30*'E Balans VL '!I18/100/3.6*1000000</f>
        <v>7.332314197151546</v>
      </c>
      <c r="F8" s="33">
        <f>C30*'E Balans VL '!L18/100/3.6*1000000+C30*'E Balans VL '!N18/100/3.6*1000000</f>
        <v>96.128786435953884</v>
      </c>
      <c r="G8" s="34"/>
      <c r="H8" s="33"/>
      <c r="I8" s="33"/>
      <c r="J8" s="40">
        <f>C30*'E Balans VL '!D18/100/3.6*1000000+C30*'E Balans VL '!E18/100/3.6*1000000</f>
        <v>1.0222594203385802</v>
      </c>
      <c r="K8" s="33"/>
      <c r="L8" s="33"/>
      <c r="M8" s="33"/>
      <c r="N8" s="33">
        <f>C30*'E Balans VL '!Y18/100/3.6*1000000</f>
        <v>12.849462153228217</v>
      </c>
      <c r="O8" s="33"/>
      <c r="P8" s="33"/>
      <c r="R8" s="32"/>
    </row>
    <row r="9" spans="1:18">
      <c r="A9" s="6" t="s">
        <v>32</v>
      </c>
      <c r="B9" s="37">
        <f t="shared" si="0"/>
        <v>62728.416720000001</v>
      </c>
      <c r="C9" s="33"/>
      <c r="D9" s="37">
        <f>IF( ISERROR(IND_andere_gas_kWh/1000),0,IND_andere_gas_kWh/1000)*0.902</f>
        <v>61905.283851180015</v>
      </c>
      <c r="E9" s="33">
        <f>C31*'E Balans VL '!I19/100/3.6*1000000</f>
        <v>17382.883057128278</v>
      </c>
      <c r="F9" s="33">
        <f>C31*'E Balans VL '!L19/100/3.6*1000000+C31*'E Balans VL '!N19/100/3.6*1000000</f>
        <v>51989.447334689263</v>
      </c>
      <c r="G9" s="34"/>
      <c r="H9" s="33"/>
      <c r="I9" s="33"/>
      <c r="J9" s="40">
        <f>C31*'E Balans VL '!D19/100/3.6*1000000+C31*'E Balans VL '!E19/100/3.6*1000000</f>
        <v>0</v>
      </c>
      <c r="K9" s="33"/>
      <c r="L9" s="33"/>
      <c r="M9" s="33"/>
      <c r="N9" s="33">
        <f>C31*'E Balans VL '!Y19/100/3.6*1000000</f>
        <v>4553.3158022741882</v>
      </c>
      <c r="O9" s="33"/>
      <c r="P9" s="33"/>
      <c r="R9" s="32"/>
    </row>
    <row r="10" spans="1:18">
      <c r="A10" s="6" t="s">
        <v>40</v>
      </c>
      <c r="B10" s="37">
        <f t="shared" si="0"/>
        <v>18314.47493</v>
      </c>
      <c r="C10" s="33"/>
      <c r="D10" s="37">
        <f>IF( ISERROR(IND_voed_gas_kWh/1000),0,IND_voed_gas_kWh/1000)*0.902</f>
        <v>2536.3882862120004</v>
      </c>
      <c r="E10" s="33">
        <f>C32*'E Balans VL '!I20/100/3.6*1000000</f>
        <v>32.422824136483605</v>
      </c>
      <c r="F10" s="33">
        <f>C32*'E Balans VL '!L20/100/3.6*1000000+C32*'E Balans VL '!N20/100/3.6*1000000</f>
        <v>989.14396595527262</v>
      </c>
      <c r="G10" s="34"/>
      <c r="H10" s="33"/>
      <c r="I10" s="33"/>
      <c r="J10" s="40">
        <f>C32*'E Balans VL '!D20/100/3.6*1000000+C32*'E Balans VL '!E20/100/3.6*1000000</f>
        <v>0</v>
      </c>
      <c r="K10" s="33"/>
      <c r="L10" s="33"/>
      <c r="M10" s="33"/>
      <c r="N10" s="33">
        <f>C32*'E Balans VL '!Y20/100/3.6*1000000</f>
        <v>1064.2108628209371</v>
      </c>
      <c r="O10" s="33"/>
      <c r="P10" s="33"/>
      <c r="R10" s="32"/>
    </row>
    <row r="11" spans="1:18">
      <c r="A11" s="6" t="s">
        <v>39</v>
      </c>
      <c r="B11" s="37">
        <f t="shared" si="0"/>
        <v>2952.209664</v>
      </c>
      <c r="C11" s="33"/>
      <c r="D11" s="37">
        <f>IF( ISERROR(IND_textiel_gas_kWh/1000),0,IND_textiel_gas_kWh/1000)*0.902</f>
        <v>0</v>
      </c>
      <c r="E11" s="33">
        <f>C33*'E Balans VL '!I21/100/3.6*1000000</f>
        <v>10.406845490113794</v>
      </c>
      <c r="F11" s="33">
        <f>C33*'E Balans VL '!L21/100/3.6*1000000+C33*'E Balans VL '!N21/100/3.6*1000000</f>
        <v>86.651768258601351</v>
      </c>
      <c r="G11" s="34"/>
      <c r="H11" s="33"/>
      <c r="I11" s="33"/>
      <c r="J11" s="40">
        <f>C33*'E Balans VL '!D21/100/3.6*1000000+C33*'E Balans VL '!E21/100/3.6*1000000</f>
        <v>0</v>
      </c>
      <c r="K11" s="33"/>
      <c r="L11" s="33"/>
      <c r="M11" s="33"/>
      <c r="N11" s="33">
        <f>C33*'E Balans VL '!Y21/100/3.6*1000000</f>
        <v>130.07393519801906</v>
      </c>
      <c r="O11" s="33"/>
      <c r="P11" s="33"/>
      <c r="R11" s="32"/>
    </row>
    <row r="12" spans="1:18">
      <c r="A12" s="6" t="s">
        <v>36</v>
      </c>
      <c r="B12" s="37">
        <f t="shared" si="0"/>
        <v>291.26141899999999</v>
      </c>
      <c r="C12" s="33"/>
      <c r="D12" s="37">
        <f>IF( ISERROR(IND_min_gas_kWh/1000),0,IND_min_gas_kWh/1000)*0.902</f>
        <v>0</v>
      </c>
      <c r="E12" s="33">
        <f>C34*'E Balans VL '!I22/100/3.6*1000000</f>
        <v>12.826113953379782</v>
      </c>
      <c r="F12" s="33">
        <f>C34*'E Balans VL '!L22/100/3.6*1000000+C34*'E Balans VL '!N22/100/3.6*1000000</f>
        <v>113.8949775843908</v>
      </c>
      <c r="G12" s="34"/>
      <c r="H12" s="33"/>
      <c r="I12" s="33"/>
      <c r="J12" s="40">
        <f>C34*'E Balans VL '!D22/100/3.6*1000000+C34*'E Balans VL '!E22/100/3.6*1000000</f>
        <v>8.8437317062821319E-2</v>
      </c>
      <c r="K12" s="33"/>
      <c r="L12" s="33"/>
      <c r="M12" s="33"/>
      <c r="N12" s="33">
        <f>C34*'E Balans VL '!Y22/100/3.6*1000000</f>
        <v>72.049248359998813</v>
      </c>
      <c r="O12" s="33"/>
      <c r="P12" s="33"/>
      <c r="R12" s="32"/>
    </row>
    <row r="13" spans="1:18">
      <c r="A13" s="6" t="s">
        <v>38</v>
      </c>
      <c r="B13" s="37">
        <f t="shared" si="0"/>
        <v>1163.7059999999999</v>
      </c>
      <c r="C13" s="33"/>
      <c r="D13" s="37">
        <f>IF( ISERROR(IND_papier_gas_kWh/1000),0,IND_papier_gas_kWh/1000)*0.902</f>
        <v>1026.6637179259999</v>
      </c>
      <c r="E13" s="33">
        <f>C35*'E Balans VL '!I23/100/3.6*1000000</f>
        <v>1.71221111957119</v>
      </c>
      <c r="F13" s="33">
        <f>C35*'E Balans VL '!L23/100/3.6*1000000+C35*'E Balans VL '!N23/100/3.6*1000000</f>
        <v>12.460156849952332</v>
      </c>
      <c r="G13" s="34"/>
      <c r="H13" s="33"/>
      <c r="I13" s="33"/>
      <c r="J13" s="40">
        <f>C35*'E Balans VL '!D23/100/3.6*1000000+C35*'E Balans VL '!E23/100/3.6*1000000</f>
        <v>127.31596212176244</v>
      </c>
      <c r="K13" s="33"/>
      <c r="L13" s="33"/>
      <c r="M13" s="33"/>
      <c r="N13" s="33">
        <f>C35*'E Balans VL '!Y23/100/3.6*1000000</f>
        <v>0</v>
      </c>
      <c r="O13" s="33"/>
      <c r="P13" s="33"/>
      <c r="R13" s="32"/>
    </row>
    <row r="14" spans="1:18">
      <c r="A14" s="6" t="s">
        <v>33</v>
      </c>
      <c r="B14" s="37">
        <f t="shared" si="0"/>
        <v>689.48291000000006</v>
      </c>
      <c r="C14" s="33"/>
      <c r="D14" s="37">
        <f>IF( ISERROR(IND_chemie_gas_kWh/1000),0,IND_chemie_gas_kWh/1000)*0.902</f>
        <v>25.866426696000001</v>
      </c>
      <c r="E14" s="33">
        <f>C36*'E Balans VL '!I24/100/3.6*1000000</f>
        <v>1.5594714674267152</v>
      </c>
      <c r="F14" s="33">
        <f>C36*'E Balans VL '!L24/100/3.6*1000000+C36*'E Balans VL '!N24/100/3.6*1000000</f>
        <v>8.140704865928754</v>
      </c>
      <c r="G14" s="34"/>
      <c r="H14" s="33"/>
      <c r="I14" s="33"/>
      <c r="J14" s="40">
        <f>C36*'E Balans VL '!D24/100/3.6*1000000+C36*'E Balans VL '!E24/100/3.6*1000000</f>
        <v>0</v>
      </c>
      <c r="K14" s="33"/>
      <c r="L14" s="33"/>
      <c r="M14" s="33"/>
      <c r="N14" s="33">
        <f>C36*'E Balans VL '!Y24/100/3.6*1000000</f>
        <v>0.37872264251301974</v>
      </c>
      <c r="O14" s="33"/>
      <c r="P14" s="33"/>
      <c r="R14" s="32"/>
    </row>
    <row r="15" spans="1:18">
      <c r="A15" s="6" t="s">
        <v>269</v>
      </c>
      <c r="B15" s="37">
        <f t="shared" si="0"/>
        <v>60748.581090000007</v>
      </c>
      <c r="C15" s="33"/>
      <c r="D15" s="37">
        <f>IF( ISERROR(IND_rest_gas_kWh/1000),0,IND_rest_gas_kWh/1000)*0.902</f>
        <v>123982.3186228</v>
      </c>
      <c r="E15" s="33">
        <f>C37*'E Balans VL '!I15/100/3.6*1000000</f>
        <v>2871.0132010662737</v>
      </c>
      <c r="F15" s="33">
        <f>C37*'E Balans VL '!L15/100/3.6*1000000+C37*'E Balans VL '!N15/100/3.6*1000000</f>
        <v>10800.46028217839</v>
      </c>
      <c r="G15" s="34"/>
      <c r="H15" s="33"/>
      <c r="I15" s="33"/>
      <c r="J15" s="40">
        <f>C37*'E Balans VL '!D15/100/3.6*1000000+C37*'E Balans VL '!E15/100/3.6*1000000</f>
        <v>501.85699845050658</v>
      </c>
      <c r="K15" s="33"/>
      <c r="L15" s="33"/>
      <c r="M15" s="33"/>
      <c r="N15" s="33">
        <f>C37*'E Balans VL '!Y15/100/3.6*1000000</f>
        <v>2387.284645146337</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147904.49136700001</v>
      </c>
      <c r="C18" s="21">
        <f>C5+C16</f>
        <v>0</v>
      </c>
      <c r="D18" s="21">
        <f>MAX((D5+D16),0)</f>
        <v>189634.15725799603</v>
      </c>
      <c r="E18" s="21">
        <f>MAX((E5+E16),0)</f>
        <v>20320.156038558678</v>
      </c>
      <c r="F18" s="21">
        <f>MAX((F5+F16),0)</f>
        <v>64096.327976817753</v>
      </c>
      <c r="G18" s="21"/>
      <c r="H18" s="21"/>
      <c r="I18" s="21"/>
      <c r="J18" s="21">
        <f>MAX((J5+J16),0)</f>
        <v>630.28365730967039</v>
      </c>
      <c r="K18" s="21"/>
      <c r="L18" s="21">
        <f>MAX((L5+L16),0)</f>
        <v>0</v>
      </c>
      <c r="M18" s="21"/>
      <c r="N18" s="21">
        <f>MAX((N5+N16),0)</f>
        <v>8220.1626785952212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0.20742447850113546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30679.01198977567</v>
      </c>
      <c r="C22" s="23">
        <f ca="1">C18*C20</f>
        <v>0</v>
      </c>
      <c r="D22" s="23">
        <f>D18*D20</f>
        <v>38306.0997661152</v>
      </c>
      <c r="E22" s="23">
        <f>E18*E20</f>
        <v>4612.6754207528202</v>
      </c>
      <c r="F22" s="23">
        <f>F18*F20</f>
        <v>17113.719569810342</v>
      </c>
      <c r="G22" s="23"/>
      <c r="H22" s="23"/>
      <c r="I22" s="23"/>
      <c r="J22" s="23">
        <f>J18*J20</f>
        <v>223.12041468762331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1016.3586339999999</v>
      </c>
      <c r="C30" s="39">
        <f>IF(ISERROR(B30*3.6/1000000/'E Balans VL '!Z18*100),0,B30*3.6/1000000/'E Balans VL '!Z18*100)</f>
        <v>5.8672798067995795E-2</v>
      </c>
      <c r="D30" s="237" t="s">
        <v>708</v>
      </c>
    </row>
    <row r="31" spans="1:18">
      <c r="A31" s="6" t="s">
        <v>32</v>
      </c>
      <c r="B31" s="37">
        <f>IF( ISERROR(IND_ander_ele_kWh/1000),0,IND_ander_ele_kWh/1000)</f>
        <v>62728.416720000001</v>
      </c>
      <c r="C31" s="39">
        <f>IF(ISERROR(B31*3.6/1000000/'E Balans VL '!Z19*100),0,B31*3.6/1000000/'E Balans VL '!Z19*100)</f>
        <v>3.1550360347261943</v>
      </c>
      <c r="D31" s="237" t="s">
        <v>708</v>
      </c>
    </row>
    <row r="32" spans="1:18">
      <c r="A32" s="171" t="s">
        <v>40</v>
      </c>
      <c r="B32" s="37">
        <f>IF( ISERROR(IND_voed_ele_kWh/1000),0,IND_voed_ele_kWh/1000)</f>
        <v>18314.47493</v>
      </c>
      <c r="C32" s="39">
        <f>IF(ISERROR(B32*3.6/1000000/'E Balans VL '!Z20*100),0,B32*3.6/1000000/'E Balans VL '!Z20*100)</f>
        <v>0.60998077106468751</v>
      </c>
      <c r="D32" s="237" t="s">
        <v>708</v>
      </c>
    </row>
    <row r="33" spans="1:5">
      <c r="A33" s="171" t="s">
        <v>39</v>
      </c>
      <c r="B33" s="37">
        <f>IF( ISERROR(IND_textiel_ele_kWh/1000),0,IND_textiel_ele_kWh/1000)</f>
        <v>2952.209664</v>
      </c>
      <c r="C33" s="39">
        <f>IF(ISERROR(B33*3.6/1000000/'E Balans VL '!Z21*100),0,B33*3.6/1000000/'E Balans VL '!Z21*100)</f>
        <v>0.46028706066394592</v>
      </c>
      <c r="D33" s="237" t="s">
        <v>708</v>
      </c>
    </row>
    <row r="34" spans="1:5">
      <c r="A34" s="171" t="s">
        <v>36</v>
      </c>
      <c r="B34" s="37">
        <f>IF( ISERROR(IND_min_ele_kWh/1000),0,IND_min_ele_kWh/1000)</f>
        <v>291.26141899999999</v>
      </c>
      <c r="C34" s="39">
        <f>IF(ISERROR(B34*3.6/1000000/'E Balans VL '!Z22*100),0,B34*3.6/1000000/'E Balans VL '!Z22*100)</f>
        <v>5.4330092393539239E-2</v>
      </c>
      <c r="D34" s="237" t="s">
        <v>708</v>
      </c>
    </row>
    <row r="35" spans="1:5">
      <c r="A35" s="171" t="s">
        <v>38</v>
      </c>
      <c r="B35" s="37">
        <f>IF( ISERROR(IND_papier_ele_kWh/1000),0,IND_papier_ele_kWh/1000)</f>
        <v>1163.7059999999999</v>
      </c>
      <c r="C35" s="39">
        <f>IF(ISERROR(B35*3.6/1000000/'E Balans VL '!Z22*100),0,B35*3.6/1000000/'E Balans VL '!Z22*100)</f>
        <v>0.21707047475078037</v>
      </c>
      <c r="D35" s="237" t="s">
        <v>708</v>
      </c>
    </row>
    <row r="36" spans="1:5">
      <c r="A36" s="171" t="s">
        <v>33</v>
      </c>
      <c r="B36" s="37">
        <f>IF( ISERROR(IND_chemie_ele_kWh/1000),0,IND_chemie_ele_kWh/1000)</f>
        <v>689.48291000000006</v>
      </c>
      <c r="C36" s="39">
        <f>IF(ISERROR(B36*3.6/1000000/'E Balans VL '!Z24*100),0,B36*3.6/1000000/'E Balans VL '!Z24*100)</f>
        <v>1.8185961225114986E-2</v>
      </c>
      <c r="D36" s="237" t="s">
        <v>708</v>
      </c>
    </row>
    <row r="37" spans="1:5">
      <c r="A37" s="171" t="s">
        <v>269</v>
      </c>
      <c r="B37" s="37">
        <f>IF( ISERROR(IND_rest_ele_kWh/1000),0,IND_rest_ele_kWh/1000)</f>
        <v>60748.581090000007</v>
      </c>
      <c r="C37" s="39">
        <f>IF(ISERROR(B37*3.6/1000000/'E Balans VL '!Z15*100),0,B37*3.6/1000000/'E Balans VL '!Z15*100)</f>
        <v>0.47400505746678595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13776.912255000001</v>
      </c>
      <c r="C5" s="17">
        <f>'Eigen informatie GS &amp; warmtenet'!B62</f>
        <v>0</v>
      </c>
      <c r="D5" s="30">
        <f>IF(ISERROR(SUM(LB_lb_gas_kWh,LB_rest_gas_kWh)/1000),0,SUM(LB_lb_gas_kWh,LB_rest_gas_kWh)/1000)*0.902</f>
        <v>629.65630321000003</v>
      </c>
      <c r="E5" s="17">
        <f>B17*'E Balans VL '!I25/3.6*1000000/100</f>
        <v>429.97288841335666</v>
      </c>
      <c r="F5" s="17">
        <f>B17*('E Balans VL '!L25/3.6*1000000+'E Balans VL '!N25/3.6*1000000)/100</f>
        <v>48689.134074339774</v>
      </c>
      <c r="G5" s="18"/>
      <c r="H5" s="17"/>
      <c r="I5" s="17"/>
      <c r="J5" s="17">
        <f>('E Balans VL '!D25+'E Balans VL '!E25)/3.6*1000000*landbouw!B17/100</f>
        <v>3795.6348683016636</v>
      </c>
      <c r="K5" s="17"/>
      <c r="L5" s="17">
        <f>L6*(-1)</f>
        <v>0</v>
      </c>
      <c r="M5" s="17"/>
      <c r="N5" s="17">
        <f>N6*(-1)</f>
        <v>249.42857142857139</v>
      </c>
      <c r="O5" s="17"/>
      <c r="P5" s="17"/>
      <c r="R5" s="32"/>
    </row>
    <row r="6" spans="1:18">
      <c r="A6" s="16" t="s">
        <v>478</v>
      </c>
      <c r="B6" s="17" t="s">
        <v>210</v>
      </c>
      <c r="C6" s="17">
        <f>'lokale energieproductie'!O40+'lokale energieproductie'!O33</f>
        <v>124.71428571428569</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13776.912255000001</v>
      </c>
      <c r="C8" s="21">
        <f>C5+C6</f>
        <v>124.71428571428569</v>
      </c>
      <c r="D8" s="21">
        <f>MAX((D5+D6),0)</f>
        <v>629.65630321000003</v>
      </c>
      <c r="E8" s="21">
        <f>MAX((E5+E6),0)</f>
        <v>429.97288841335666</v>
      </c>
      <c r="F8" s="21">
        <f>MAX((F5+F6),0)</f>
        <v>48689.134074339774</v>
      </c>
      <c r="G8" s="21"/>
      <c r="H8" s="21"/>
      <c r="I8" s="21"/>
      <c r="J8" s="21">
        <f>MAX((J5+J6),0)</f>
        <v>3795.6348683016636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0.20742447850113546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2857.6688398492774</v>
      </c>
      <c r="C12" s="23">
        <f ca="1">C8*C10</f>
        <v>0</v>
      </c>
      <c r="D12" s="23">
        <f>D8*D10</f>
        <v>127.19057324842001</v>
      </c>
      <c r="E12" s="23">
        <f>E8*E10</f>
        <v>97.603845669831969</v>
      </c>
      <c r="F12" s="23">
        <f>F8*F10</f>
        <v>12999.998797848721</v>
      </c>
      <c r="G12" s="23"/>
      <c r="H12" s="23"/>
      <c r="I12" s="23"/>
      <c r="J12" s="23">
        <f>J8*J10</f>
        <v>1343.6547433787889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2.0480367689677701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1513.3418990076573</v>
      </c>
      <c r="C26" s="247">
        <f>B26*'GWP N2O_CH4'!B5</f>
        <v>31780.179879160802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924.2241552427331</v>
      </c>
      <c r="C27" s="247">
        <f>B27*'GWP N2O_CH4'!B5</f>
        <v>19408.707260097395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20.867755760472736</v>
      </c>
      <c r="C28" s="247">
        <f>B28*'GWP N2O_CH4'!B4</f>
        <v>6469.0042857465478</v>
      </c>
      <c r="D28" s="50"/>
    </row>
    <row r="29" spans="1:4">
      <c r="A29" s="41" t="s">
        <v>276</v>
      </c>
      <c r="B29" s="247">
        <f>B34*'ha_N2O bodem landbouw'!B4</f>
        <v>34.323748532862055</v>
      </c>
      <c r="C29" s="247">
        <f>B29*'GWP N2O_CH4'!B4</f>
        <v>10640.362045187238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7.5265800680595985E-3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2.5518341684559469E-4</v>
      </c>
      <c r="C5" s="437" t="s">
        <v>210</v>
      </c>
      <c r="D5" s="422">
        <f>SUM(D6:D11)</f>
        <v>9.430331734277108E-4</v>
      </c>
      <c r="E5" s="422">
        <f>SUM(E6:E11)</f>
        <v>7.9387731008724615E-4</v>
      </c>
      <c r="F5" s="435" t="s">
        <v>210</v>
      </c>
      <c r="G5" s="422">
        <f>SUM(G6:G11)</f>
        <v>0.44555669463670261</v>
      </c>
      <c r="H5" s="422">
        <f>SUM(H6:H11)</f>
        <v>8.7883571335413177E-2</v>
      </c>
      <c r="I5" s="437" t="s">
        <v>210</v>
      </c>
      <c r="J5" s="437" t="s">
        <v>210</v>
      </c>
      <c r="K5" s="437" t="s">
        <v>210</v>
      </c>
      <c r="L5" s="437" t="s">
        <v>210</v>
      </c>
      <c r="M5" s="422">
        <f>SUM(M6:M11)</f>
        <v>3.1501463212915068E-2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2.0108940004807656E-4</v>
      </c>
      <c r="C6" s="423"/>
      <c r="D6" s="890">
        <f>vkm_GW_PW*SUMIFS(TableVerdeelsleutelVkm[CNG],TableVerdeelsleutelVkm[Voertuigtype],"Lichte voertuigen")*SUMIFS(TableECFTransport[EnergieConsumptieFactor (PJ per km)],TableECFTransport[Index],CONCATENATE($A6,"_CNG_CNG"))</f>
        <v>6.477898768396023E-4</v>
      </c>
      <c r="E6" s="890">
        <f>vkm_GW_PW*SUMIFS(TableVerdeelsleutelVkm[LPG],TableVerdeelsleutelVkm[Voertuigtype],"Lichte voertuigen")*SUMIFS(TableECFTransport[EnergieConsumptieFactor (PJ per km)],TableECFTransport[Index],CONCATENATE($A6,"_LPG_LPG"))</f>
        <v>5.5397474917837054E-4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0.17896123213281145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6.0684656244835149E-2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1.4333623889235723E-2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0.15655566502571625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2.2386054405663198E-6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9.024245254136927E-3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5.4094016797518103E-5</v>
      </c>
      <c r="C8" s="423"/>
      <c r="D8" s="425">
        <f>vkm_NGW_PW*SUMIFS(TableVerdeelsleutelVkm[CNG],TableVerdeelsleutelVkm[Voertuigtype],"Lichte voertuigen")*SUMIFS(TableECFTransport[EnergieConsumptieFactor (PJ per km)],TableECFTransport[Index],CONCATENATE($A8,"_CNG_CNG"))</f>
        <v>2.952432965881085E-4</v>
      </c>
      <c r="E8" s="425">
        <f>vkm_NGW_PW*SUMIFS(TableVerdeelsleutelVkm[LPG],TableVerdeelsleutelVkm[Voertuigtype],"Lichte voertuigen")*SUMIFS(TableECFTransport[EnergieConsumptieFactor (PJ per km)],TableECFTransport[Index],CONCATENATE($A8,"_LPG_LPG"))</f>
        <v>2.3990256090887564E-4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7.2419412931072819E-2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2.7195994432946447E-2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5.9750550357263116E-3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3.7620384547102113E-2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6.8205219101438506E-7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2.1685390338161089E-3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70.884282457109634</v>
      </c>
      <c r="C14" s="21"/>
      <c r="D14" s="21">
        <f t="shared" ref="D14:M14" si="0">((D5)*10^9/3600)+D12</f>
        <v>261.95365928547523</v>
      </c>
      <c r="E14" s="21">
        <f t="shared" si="0"/>
        <v>220.52147502423503</v>
      </c>
      <c r="F14" s="21"/>
      <c r="G14" s="21">
        <f t="shared" si="0"/>
        <v>123765.74851019516</v>
      </c>
      <c r="H14" s="21">
        <f t="shared" si="0"/>
        <v>24412.103148725881</v>
      </c>
      <c r="I14" s="21"/>
      <c r="J14" s="21"/>
      <c r="K14" s="21"/>
      <c r="L14" s="21"/>
      <c r="M14" s="21">
        <f t="shared" si="0"/>
        <v>8750.406448031963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0.20742447850113546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14.703135322593152</v>
      </c>
      <c r="C18" s="23"/>
      <c r="D18" s="23">
        <f t="shared" ref="D18:M18" si="1">D14*D16</f>
        <v>52.914639175665997</v>
      </c>
      <c r="E18" s="23">
        <f t="shared" si="1"/>
        <v>50.05837483050135</v>
      </c>
      <c r="F18" s="23"/>
      <c r="G18" s="23">
        <f t="shared" si="1"/>
        <v>33045.454852222108</v>
      </c>
      <c r="H18" s="23">
        <f t="shared" si="1"/>
        <v>6078.6136840327445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4.1390530638543447E-3</v>
      </c>
      <c r="H50" s="319">
        <f t="shared" si="2"/>
        <v>0</v>
      </c>
      <c r="I50" s="319">
        <f t="shared" si="2"/>
        <v>0</v>
      </c>
      <c r="J50" s="319">
        <f t="shared" si="2"/>
        <v>0</v>
      </c>
      <c r="K50" s="319">
        <f t="shared" si="2"/>
        <v>0</v>
      </c>
      <c r="L50" s="319">
        <f t="shared" si="2"/>
        <v>0</v>
      </c>
      <c r="M50" s="319">
        <f t="shared" si="2"/>
        <v>2.3001283372037882E-4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4.1390530638543447E-3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2.3001283372037882E-4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1149.7369621817625</v>
      </c>
      <c r="H54" s="21">
        <f t="shared" si="3"/>
        <v>0</v>
      </c>
      <c r="I54" s="21">
        <f t="shared" si="3"/>
        <v>0</v>
      </c>
      <c r="J54" s="21">
        <f t="shared" si="3"/>
        <v>0</v>
      </c>
      <c r="K54" s="21">
        <f t="shared" si="3"/>
        <v>0</v>
      </c>
      <c r="L54" s="21">
        <f t="shared" si="3"/>
        <v>0</v>
      </c>
      <c r="M54" s="21">
        <f t="shared" si="3"/>
        <v>63.892453811216335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0.20742447850113546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306.97976890253062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36406.931341000003</v>
      </c>
      <c r="D10" s="686">
        <f ca="1">tertiair!C16</f>
        <v>0</v>
      </c>
      <c r="E10" s="686">
        <f ca="1">tertiair!D16</f>
        <v>43782.308859454002</v>
      </c>
      <c r="F10" s="686">
        <f>tertiair!E16</f>
        <v>487.73978120349676</v>
      </c>
      <c r="G10" s="686">
        <f ca="1">tertiair!F16</f>
        <v>3710.0659172116966</v>
      </c>
      <c r="H10" s="686">
        <f>tertiair!G16</f>
        <v>0</v>
      </c>
      <c r="I10" s="686">
        <f>tertiair!H16</f>
        <v>0</v>
      </c>
      <c r="J10" s="686">
        <f>tertiair!I16</f>
        <v>0</v>
      </c>
      <c r="K10" s="686">
        <f>tertiair!J16</f>
        <v>4.9304307838432433E-2</v>
      </c>
      <c r="L10" s="686">
        <f>tertiair!K16</f>
        <v>0</v>
      </c>
      <c r="M10" s="686">
        <f ca="1">tertiair!L16</f>
        <v>0</v>
      </c>
      <c r="N10" s="686">
        <f>tertiair!M16</f>
        <v>0</v>
      </c>
      <c r="O10" s="686">
        <f ca="1">tertiair!N16</f>
        <v>1988.6101925575572</v>
      </c>
      <c r="P10" s="686">
        <f>tertiair!O16</f>
        <v>39.178086126729234</v>
      </c>
      <c r="Q10" s="687">
        <f>tertiair!P16</f>
        <v>105.07827661299004</v>
      </c>
      <c r="R10" s="689">
        <f ca="1">SUM(C10:Q10)</f>
        <v>86519.96175847431</v>
      </c>
      <c r="S10" s="67"/>
    </row>
    <row r="11" spans="1:19" s="448" customFormat="1">
      <c r="A11" s="808" t="s">
        <v>224</v>
      </c>
      <c r="B11" s="813"/>
      <c r="C11" s="686">
        <f>huishoudens!B8</f>
        <v>33280.774999007466</v>
      </c>
      <c r="D11" s="686">
        <f>huishoudens!C8</f>
        <v>0</v>
      </c>
      <c r="E11" s="686">
        <f>huishoudens!D8</f>
        <v>74937.373789740013</v>
      </c>
      <c r="F11" s="686">
        <f>huishoudens!E8</f>
        <v>22554.695180320014</v>
      </c>
      <c r="G11" s="686">
        <f>huishoudens!F8</f>
        <v>11460.291363234755</v>
      </c>
      <c r="H11" s="686">
        <f>huishoudens!G8</f>
        <v>0</v>
      </c>
      <c r="I11" s="686">
        <f>huishoudens!H8</f>
        <v>0</v>
      </c>
      <c r="J11" s="686">
        <f>huishoudens!I8</f>
        <v>0</v>
      </c>
      <c r="K11" s="686">
        <f>huishoudens!J8</f>
        <v>366.10108226597282</v>
      </c>
      <c r="L11" s="686">
        <f>huishoudens!K8</f>
        <v>0</v>
      </c>
      <c r="M11" s="686">
        <f>huishoudens!L8</f>
        <v>0</v>
      </c>
      <c r="N11" s="686">
        <f>huishoudens!M8</f>
        <v>0</v>
      </c>
      <c r="O11" s="686">
        <f>huishoudens!N8</f>
        <v>22578.770809664333</v>
      </c>
      <c r="P11" s="686">
        <f>huishoudens!O8</f>
        <v>648.75433773955933</v>
      </c>
      <c r="Q11" s="687">
        <f>huishoudens!P8</f>
        <v>811.11486669174678</v>
      </c>
      <c r="R11" s="689">
        <f>SUM(C11:Q11)</f>
        <v>166637.87642866385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147904.49136700001</v>
      </c>
      <c r="D13" s="686">
        <f>industrie!C18</f>
        <v>0</v>
      </c>
      <c r="E13" s="686">
        <f>industrie!D18</f>
        <v>189634.15725799603</v>
      </c>
      <c r="F13" s="686">
        <f>industrie!E18</f>
        <v>20320.156038558678</v>
      </c>
      <c r="G13" s="686">
        <f>industrie!F18</f>
        <v>64096.327976817753</v>
      </c>
      <c r="H13" s="686">
        <f>industrie!G18</f>
        <v>0</v>
      </c>
      <c r="I13" s="686">
        <f>industrie!H18</f>
        <v>0</v>
      </c>
      <c r="J13" s="686">
        <f>industrie!I18</f>
        <v>0</v>
      </c>
      <c r="K13" s="686">
        <f>industrie!J18</f>
        <v>630.28365730967039</v>
      </c>
      <c r="L13" s="686">
        <f>industrie!K18</f>
        <v>0</v>
      </c>
      <c r="M13" s="686">
        <f>industrie!L18</f>
        <v>0</v>
      </c>
      <c r="N13" s="686">
        <f>industrie!M18</f>
        <v>0</v>
      </c>
      <c r="O13" s="686">
        <f>industrie!N18</f>
        <v>8220.1626785952212</v>
      </c>
      <c r="P13" s="686">
        <f>industrie!O18</f>
        <v>0</v>
      </c>
      <c r="Q13" s="687">
        <f>industrie!P18</f>
        <v>0</v>
      </c>
      <c r="R13" s="689">
        <f>SUM(C13:Q13)</f>
        <v>430805.57897627738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217592.19770700746</v>
      </c>
      <c r="D16" s="722">
        <f t="shared" ref="D16:R16" ca="1" si="0">SUM(D9:D15)</f>
        <v>0</v>
      </c>
      <c r="E16" s="722">
        <f t="shared" ca="1" si="0"/>
        <v>308353.83990719006</v>
      </c>
      <c r="F16" s="722">
        <f t="shared" si="0"/>
        <v>43362.59100008219</v>
      </c>
      <c r="G16" s="722">
        <f t="shared" ca="1" si="0"/>
        <v>79266.685257264209</v>
      </c>
      <c r="H16" s="722">
        <f t="shared" si="0"/>
        <v>0</v>
      </c>
      <c r="I16" s="722">
        <f t="shared" si="0"/>
        <v>0</v>
      </c>
      <c r="J16" s="722">
        <f t="shared" si="0"/>
        <v>0</v>
      </c>
      <c r="K16" s="722">
        <f t="shared" si="0"/>
        <v>996.43404388348165</v>
      </c>
      <c r="L16" s="722">
        <f t="shared" si="0"/>
        <v>0</v>
      </c>
      <c r="M16" s="722">
        <f t="shared" ca="1" si="0"/>
        <v>0</v>
      </c>
      <c r="N16" s="722">
        <f t="shared" si="0"/>
        <v>0</v>
      </c>
      <c r="O16" s="722">
        <f t="shared" ca="1" si="0"/>
        <v>32787.543680817107</v>
      </c>
      <c r="P16" s="722">
        <f t="shared" si="0"/>
        <v>687.93242386628856</v>
      </c>
      <c r="Q16" s="722">
        <f t="shared" si="0"/>
        <v>916.19314330473685</v>
      </c>
      <c r="R16" s="722">
        <f t="shared" ca="1" si="0"/>
        <v>683963.41716341558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1149.7369621817625</v>
      </c>
      <c r="I19" s="686">
        <f>transport!H54</f>
        <v>0</v>
      </c>
      <c r="J19" s="686">
        <f>transport!I54</f>
        <v>0</v>
      </c>
      <c r="K19" s="686">
        <f>transport!J54</f>
        <v>0</v>
      </c>
      <c r="L19" s="686">
        <f>transport!K54</f>
        <v>0</v>
      </c>
      <c r="M19" s="686">
        <f>transport!L54</f>
        <v>0</v>
      </c>
      <c r="N19" s="686">
        <f>transport!M54</f>
        <v>63.892453811216335</v>
      </c>
      <c r="O19" s="686">
        <f>transport!N54</f>
        <v>0</v>
      </c>
      <c r="P19" s="686">
        <f>transport!O54</f>
        <v>0</v>
      </c>
      <c r="Q19" s="687">
        <f>transport!P54</f>
        <v>0</v>
      </c>
      <c r="R19" s="689">
        <f>SUM(C19:Q19)</f>
        <v>1213.6294159929787</v>
      </c>
      <c r="S19" s="67"/>
    </row>
    <row r="20" spans="1:19" s="448" customFormat="1">
      <c r="A20" s="808" t="s">
        <v>306</v>
      </c>
      <c r="B20" s="813"/>
      <c r="C20" s="686">
        <f>transport!B14</f>
        <v>70.884282457109634</v>
      </c>
      <c r="D20" s="686">
        <f>transport!C14</f>
        <v>0</v>
      </c>
      <c r="E20" s="686">
        <f>transport!D14</f>
        <v>261.95365928547523</v>
      </c>
      <c r="F20" s="686">
        <f>transport!E14</f>
        <v>220.52147502423503</v>
      </c>
      <c r="G20" s="686">
        <f>transport!F14</f>
        <v>0</v>
      </c>
      <c r="H20" s="686">
        <f>transport!G14</f>
        <v>123765.74851019516</v>
      </c>
      <c r="I20" s="686">
        <f>transport!H14</f>
        <v>24412.103148725881</v>
      </c>
      <c r="J20" s="686">
        <f>transport!I14</f>
        <v>0</v>
      </c>
      <c r="K20" s="686">
        <f>transport!J14</f>
        <v>0</v>
      </c>
      <c r="L20" s="686">
        <f>transport!K14</f>
        <v>0</v>
      </c>
      <c r="M20" s="686">
        <f>transport!L14</f>
        <v>0</v>
      </c>
      <c r="N20" s="686">
        <f>transport!M14</f>
        <v>8750.406448031963</v>
      </c>
      <c r="O20" s="686">
        <f>transport!N14</f>
        <v>0</v>
      </c>
      <c r="P20" s="686">
        <f>transport!O14</f>
        <v>0</v>
      </c>
      <c r="Q20" s="687">
        <f>transport!P14</f>
        <v>0</v>
      </c>
      <c r="R20" s="689">
        <f>SUM(C20:Q20)</f>
        <v>157481.61752371982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70.884282457109634</v>
      </c>
      <c r="D22" s="811">
        <f t="shared" ref="D22:R22" si="1">SUM(D18:D21)</f>
        <v>0</v>
      </c>
      <c r="E22" s="811">
        <f t="shared" si="1"/>
        <v>261.95365928547523</v>
      </c>
      <c r="F22" s="811">
        <f t="shared" si="1"/>
        <v>220.52147502423503</v>
      </c>
      <c r="G22" s="811">
        <f t="shared" si="1"/>
        <v>0</v>
      </c>
      <c r="H22" s="811">
        <f t="shared" si="1"/>
        <v>124915.48547237692</v>
      </c>
      <c r="I22" s="811">
        <f t="shared" si="1"/>
        <v>24412.103148725881</v>
      </c>
      <c r="J22" s="811">
        <f t="shared" si="1"/>
        <v>0</v>
      </c>
      <c r="K22" s="811">
        <f t="shared" si="1"/>
        <v>0</v>
      </c>
      <c r="L22" s="811">
        <f t="shared" si="1"/>
        <v>0</v>
      </c>
      <c r="M22" s="811">
        <f t="shared" si="1"/>
        <v>0</v>
      </c>
      <c r="N22" s="811">
        <f t="shared" si="1"/>
        <v>8814.2989018431799</v>
      </c>
      <c r="O22" s="811">
        <f t="shared" si="1"/>
        <v>0</v>
      </c>
      <c r="P22" s="811">
        <f t="shared" si="1"/>
        <v>0</v>
      </c>
      <c r="Q22" s="811">
        <f t="shared" si="1"/>
        <v>0</v>
      </c>
      <c r="R22" s="811">
        <f t="shared" si="1"/>
        <v>158695.24693971279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13776.912255000001</v>
      </c>
      <c r="D24" s="686">
        <f>+landbouw!C8</f>
        <v>124.71428571428569</v>
      </c>
      <c r="E24" s="686">
        <f>+landbouw!D8</f>
        <v>629.65630321000003</v>
      </c>
      <c r="F24" s="686">
        <f>+landbouw!E8</f>
        <v>429.97288841335666</v>
      </c>
      <c r="G24" s="686">
        <f>+landbouw!F8</f>
        <v>48689.134074339774</v>
      </c>
      <c r="H24" s="686">
        <f>+landbouw!G8</f>
        <v>0</v>
      </c>
      <c r="I24" s="686">
        <f>+landbouw!H8</f>
        <v>0</v>
      </c>
      <c r="J24" s="686">
        <f>+landbouw!I8</f>
        <v>0</v>
      </c>
      <c r="K24" s="686">
        <f>+landbouw!J8</f>
        <v>3795.6348683016636</v>
      </c>
      <c r="L24" s="686">
        <f>+landbouw!K8</f>
        <v>0</v>
      </c>
      <c r="M24" s="686">
        <f>+landbouw!L8</f>
        <v>0</v>
      </c>
      <c r="N24" s="686">
        <f>+landbouw!M8</f>
        <v>0</v>
      </c>
      <c r="O24" s="686">
        <f>+landbouw!N8</f>
        <v>0</v>
      </c>
      <c r="P24" s="686">
        <f>+landbouw!O8</f>
        <v>0</v>
      </c>
      <c r="Q24" s="687">
        <f>+landbouw!P8</f>
        <v>0</v>
      </c>
      <c r="R24" s="689">
        <f>SUM(C24:Q24)</f>
        <v>67446.024674979082</v>
      </c>
      <c r="S24" s="67"/>
    </row>
    <row r="25" spans="1:19" s="448" customFormat="1" ht="15" thickBot="1">
      <c r="A25" s="830" t="s">
        <v>724</v>
      </c>
      <c r="B25" s="949"/>
      <c r="C25" s="950">
        <f>IF(Onbekend_ele_kWh="---",0,Onbekend_ele_kWh)/1000+IF(REST_rest_ele_kWh="---",0,REST_rest_ele_kWh)/1000</f>
        <v>856.26824899999997</v>
      </c>
      <c r="D25" s="950"/>
      <c r="E25" s="950">
        <f>IF(onbekend_gas_kWh="---",0,onbekend_gas_kWh)/1000+IF(REST_rest_gas_kWh="---",0,REST_rest_gas_kWh)/1000</f>
        <v>1904.3030369999999</v>
      </c>
      <c r="F25" s="950"/>
      <c r="G25" s="950"/>
      <c r="H25" s="950"/>
      <c r="I25" s="950"/>
      <c r="J25" s="950"/>
      <c r="K25" s="950"/>
      <c r="L25" s="950"/>
      <c r="M25" s="950"/>
      <c r="N25" s="950"/>
      <c r="O25" s="950"/>
      <c r="P25" s="950"/>
      <c r="Q25" s="951"/>
      <c r="R25" s="689">
        <f>SUM(C25:Q25)</f>
        <v>2760.5712859999999</v>
      </c>
      <c r="S25" s="67"/>
    </row>
    <row r="26" spans="1:19" s="448" customFormat="1" ht="15.75" thickBot="1">
      <c r="A26" s="694" t="s">
        <v>725</v>
      </c>
      <c r="B26" s="816"/>
      <c r="C26" s="811">
        <f>SUM(C24:C25)</f>
        <v>14633.180504000002</v>
      </c>
      <c r="D26" s="811">
        <f t="shared" ref="D26:R26" si="2">SUM(D24:D25)</f>
        <v>124.71428571428569</v>
      </c>
      <c r="E26" s="811">
        <f t="shared" si="2"/>
        <v>2533.9593402099999</v>
      </c>
      <c r="F26" s="811">
        <f t="shared" si="2"/>
        <v>429.97288841335666</v>
      </c>
      <c r="G26" s="811">
        <f t="shared" si="2"/>
        <v>48689.134074339774</v>
      </c>
      <c r="H26" s="811">
        <f t="shared" si="2"/>
        <v>0</v>
      </c>
      <c r="I26" s="811">
        <f t="shared" si="2"/>
        <v>0</v>
      </c>
      <c r="J26" s="811">
        <f t="shared" si="2"/>
        <v>0</v>
      </c>
      <c r="K26" s="811">
        <f t="shared" si="2"/>
        <v>3795.6348683016636</v>
      </c>
      <c r="L26" s="811">
        <f t="shared" si="2"/>
        <v>0</v>
      </c>
      <c r="M26" s="811">
        <f t="shared" si="2"/>
        <v>0</v>
      </c>
      <c r="N26" s="811">
        <f t="shared" si="2"/>
        <v>0</v>
      </c>
      <c r="O26" s="811">
        <f t="shared" si="2"/>
        <v>0</v>
      </c>
      <c r="P26" s="811">
        <f t="shared" si="2"/>
        <v>0</v>
      </c>
      <c r="Q26" s="811">
        <f t="shared" si="2"/>
        <v>0</v>
      </c>
      <c r="R26" s="811">
        <f t="shared" si="2"/>
        <v>70206.595960979088</v>
      </c>
      <c r="S26" s="67"/>
    </row>
    <row r="27" spans="1:19" s="448" customFormat="1" ht="17.25" thickTop="1" thickBot="1">
      <c r="A27" s="695" t="s">
        <v>115</v>
      </c>
      <c r="B27" s="803"/>
      <c r="C27" s="696">
        <f ca="1">C22+C16+C26</f>
        <v>232296.26249346457</v>
      </c>
      <c r="D27" s="696">
        <f t="shared" ref="D27:R27" ca="1" si="3">D22+D16+D26</f>
        <v>124.71428571428569</v>
      </c>
      <c r="E27" s="696">
        <f t="shared" ca="1" si="3"/>
        <v>311149.75290668558</v>
      </c>
      <c r="F27" s="696">
        <f t="shared" si="3"/>
        <v>44013.085363519785</v>
      </c>
      <c r="G27" s="696">
        <f t="shared" ca="1" si="3"/>
        <v>127955.81933160398</v>
      </c>
      <c r="H27" s="696">
        <f t="shared" si="3"/>
        <v>124915.48547237692</v>
      </c>
      <c r="I27" s="696">
        <f t="shared" si="3"/>
        <v>24412.103148725881</v>
      </c>
      <c r="J27" s="696">
        <f t="shared" si="3"/>
        <v>0</v>
      </c>
      <c r="K27" s="696">
        <f t="shared" si="3"/>
        <v>4792.0689121851456</v>
      </c>
      <c r="L27" s="696">
        <f t="shared" si="3"/>
        <v>0</v>
      </c>
      <c r="M27" s="696">
        <f t="shared" ca="1" si="3"/>
        <v>0</v>
      </c>
      <c r="N27" s="696">
        <f t="shared" si="3"/>
        <v>8814.2989018431799</v>
      </c>
      <c r="O27" s="696">
        <f t="shared" ca="1" si="3"/>
        <v>32787.543680817107</v>
      </c>
      <c r="P27" s="696">
        <f t="shared" si="3"/>
        <v>687.93242386628856</v>
      </c>
      <c r="Q27" s="696">
        <f t="shared" si="3"/>
        <v>916.19314330473685</v>
      </c>
      <c r="R27" s="696">
        <f t="shared" ca="1" si="3"/>
        <v>912865.26006410748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7551.6887472335693</v>
      </c>
      <c r="D40" s="686">
        <f ca="1">tertiair!C20</f>
        <v>0</v>
      </c>
      <c r="E40" s="686">
        <f ca="1">tertiair!D20</f>
        <v>8844.0263896097094</v>
      </c>
      <c r="F40" s="686">
        <f>tertiair!E20</f>
        <v>110.71693033319377</v>
      </c>
      <c r="G40" s="686">
        <f ca="1">tertiair!F20</f>
        <v>990.587599895523</v>
      </c>
      <c r="H40" s="686">
        <f>tertiair!G20</f>
        <v>0</v>
      </c>
      <c r="I40" s="686">
        <f>tertiair!H20</f>
        <v>0</v>
      </c>
      <c r="J40" s="686">
        <f>tertiair!I20</f>
        <v>0</v>
      </c>
      <c r="K40" s="686">
        <f>tertiair!J20</f>
        <v>1.7453724974805081E-2</v>
      </c>
      <c r="L40" s="686">
        <f>tertiair!K20</f>
        <v>0</v>
      </c>
      <c r="M40" s="686">
        <f ca="1">tertiair!L20</f>
        <v>0</v>
      </c>
      <c r="N40" s="686">
        <f>tertiair!M20</f>
        <v>0</v>
      </c>
      <c r="O40" s="686">
        <f ca="1">tertiair!N20</f>
        <v>0</v>
      </c>
      <c r="P40" s="686">
        <f>tertiair!O20</f>
        <v>0</v>
      </c>
      <c r="Q40" s="769">
        <f>tertiair!P20</f>
        <v>0</v>
      </c>
      <c r="R40" s="849">
        <f t="shared" ca="1" si="4"/>
        <v>17497.037120796969</v>
      </c>
    </row>
    <row r="41" spans="1:18">
      <c r="A41" s="821" t="s">
        <v>224</v>
      </c>
      <c r="B41" s="828"/>
      <c r="C41" s="686">
        <f ca="1">huishoudens!B12</f>
        <v>6903.2473982827505</v>
      </c>
      <c r="D41" s="686">
        <f ca="1">huishoudens!C12</f>
        <v>0</v>
      </c>
      <c r="E41" s="686">
        <f>huishoudens!D12</f>
        <v>15137.349505527483</v>
      </c>
      <c r="F41" s="686">
        <f>huishoudens!E12</f>
        <v>5119.9158059326437</v>
      </c>
      <c r="G41" s="686">
        <f>huishoudens!F12</f>
        <v>3059.89779398368</v>
      </c>
      <c r="H41" s="686">
        <f>huishoudens!G12</f>
        <v>0</v>
      </c>
      <c r="I41" s="686">
        <f>huishoudens!H12</f>
        <v>0</v>
      </c>
      <c r="J41" s="686">
        <f>huishoudens!I12</f>
        <v>0</v>
      </c>
      <c r="K41" s="686">
        <f>huishoudens!J12</f>
        <v>129.59978312215438</v>
      </c>
      <c r="L41" s="686">
        <f>huishoudens!K12</f>
        <v>0</v>
      </c>
      <c r="M41" s="686">
        <f>huishoudens!L12</f>
        <v>0</v>
      </c>
      <c r="N41" s="686">
        <f>huishoudens!M12</f>
        <v>0</v>
      </c>
      <c r="O41" s="686">
        <f>huishoudens!N12</f>
        <v>0</v>
      </c>
      <c r="P41" s="686">
        <f>huishoudens!O12</f>
        <v>0</v>
      </c>
      <c r="Q41" s="769">
        <f>huishoudens!P12</f>
        <v>0</v>
      </c>
      <c r="R41" s="849">
        <f t="shared" ca="1" si="4"/>
        <v>30350.010286848712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30679.01198977567</v>
      </c>
      <c r="D43" s="686">
        <f ca="1">industrie!C22</f>
        <v>0</v>
      </c>
      <c r="E43" s="686">
        <f>industrie!D22</f>
        <v>38306.0997661152</v>
      </c>
      <c r="F43" s="686">
        <f>industrie!E22</f>
        <v>4612.6754207528202</v>
      </c>
      <c r="G43" s="686">
        <f>industrie!F22</f>
        <v>17113.719569810342</v>
      </c>
      <c r="H43" s="686">
        <f>industrie!G22</f>
        <v>0</v>
      </c>
      <c r="I43" s="686">
        <f>industrie!H22</f>
        <v>0</v>
      </c>
      <c r="J43" s="686">
        <f>industrie!I22</f>
        <v>0</v>
      </c>
      <c r="K43" s="686">
        <f>industrie!J22</f>
        <v>223.12041468762331</v>
      </c>
      <c r="L43" s="686">
        <f>industrie!K22</f>
        <v>0</v>
      </c>
      <c r="M43" s="686">
        <f>industrie!L22</f>
        <v>0</v>
      </c>
      <c r="N43" s="686">
        <f>industrie!M22</f>
        <v>0</v>
      </c>
      <c r="O43" s="686">
        <f>industrie!N22</f>
        <v>0</v>
      </c>
      <c r="P43" s="686">
        <f>industrie!O22</f>
        <v>0</v>
      </c>
      <c r="Q43" s="769">
        <f>industrie!P22</f>
        <v>0</v>
      </c>
      <c r="R43" s="848">
        <f t="shared" ca="1" si="4"/>
        <v>90934.62716114166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45133.94813529199</v>
      </c>
      <c r="D46" s="722">
        <f t="shared" ref="D46:Q46" ca="1" si="5">SUM(D39:D45)</f>
        <v>0</v>
      </c>
      <c r="E46" s="722">
        <f t="shared" ca="1" si="5"/>
        <v>62287.475661252392</v>
      </c>
      <c r="F46" s="722">
        <f t="shared" si="5"/>
        <v>9843.3081570186587</v>
      </c>
      <c r="G46" s="722">
        <f t="shared" ca="1" si="5"/>
        <v>21164.204963689546</v>
      </c>
      <c r="H46" s="722">
        <f t="shared" si="5"/>
        <v>0</v>
      </c>
      <c r="I46" s="722">
        <f t="shared" si="5"/>
        <v>0</v>
      </c>
      <c r="J46" s="722">
        <f t="shared" si="5"/>
        <v>0</v>
      </c>
      <c r="K46" s="722">
        <f t="shared" si="5"/>
        <v>352.7376515347525</v>
      </c>
      <c r="L46" s="722">
        <f t="shared" si="5"/>
        <v>0</v>
      </c>
      <c r="M46" s="722">
        <f t="shared" ca="1" si="5"/>
        <v>0</v>
      </c>
      <c r="N46" s="722">
        <f t="shared" si="5"/>
        <v>0</v>
      </c>
      <c r="O46" s="722">
        <f t="shared" ca="1" si="5"/>
        <v>0</v>
      </c>
      <c r="P46" s="722">
        <f t="shared" si="5"/>
        <v>0</v>
      </c>
      <c r="Q46" s="722">
        <f t="shared" si="5"/>
        <v>0</v>
      </c>
      <c r="R46" s="722">
        <f ca="1">SUM(R39:R45)</f>
        <v>138781.67456878733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306.97976890253062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306.97976890253062</v>
      </c>
    </row>
    <row r="50" spans="1:18">
      <c r="A50" s="824" t="s">
        <v>306</v>
      </c>
      <c r="B50" s="834"/>
      <c r="C50" s="692">
        <f ca="1">transport!B18</f>
        <v>14.703135322593152</v>
      </c>
      <c r="D50" s="692">
        <f>transport!C18</f>
        <v>0</v>
      </c>
      <c r="E50" s="692">
        <f>transport!D18</f>
        <v>52.914639175665997</v>
      </c>
      <c r="F50" s="692">
        <f>transport!E18</f>
        <v>50.05837483050135</v>
      </c>
      <c r="G50" s="692">
        <f>transport!F18</f>
        <v>0</v>
      </c>
      <c r="H50" s="692">
        <f>transport!G18</f>
        <v>33045.454852222108</v>
      </c>
      <c r="I50" s="692">
        <f>transport!H18</f>
        <v>6078.6136840327445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39241.744685583617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14.703135322593152</v>
      </c>
      <c r="D52" s="722">
        <f t="shared" ref="D52:Q52" ca="1" si="6">SUM(D48:D51)</f>
        <v>0</v>
      </c>
      <c r="E52" s="722">
        <f t="shared" si="6"/>
        <v>52.914639175665997</v>
      </c>
      <c r="F52" s="722">
        <f t="shared" si="6"/>
        <v>50.05837483050135</v>
      </c>
      <c r="G52" s="722">
        <f t="shared" si="6"/>
        <v>0</v>
      </c>
      <c r="H52" s="722">
        <f t="shared" si="6"/>
        <v>33352.434621124637</v>
      </c>
      <c r="I52" s="722">
        <f t="shared" si="6"/>
        <v>6078.6136840327445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39548.724454486146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2857.6688398492774</v>
      </c>
      <c r="D54" s="692">
        <f ca="1">+landbouw!C12</f>
        <v>0</v>
      </c>
      <c r="E54" s="692">
        <f>+landbouw!D12</f>
        <v>127.19057324842001</v>
      </c>
      <c r="F54" s="692">
        <f>+landbouw!E12</f>
        <v>97.603845669831969</v>
      </c>
      <c r="G54" s="692">
        <f>+landbouw!F12</f>
        <v>12999.998797848721</v>
      </c>
      <c r="H54" s="692">
        <f>+landbouw!G12</f>
        <v>0</v>
      </c>
      <c r="I54" s="692">
        <f>+landbouw!H12</f>
        <v>0</v>
      </c>
      <c r="J54" s="692">
        <f>+landbouw!I12</f>
        <v>0</v>
      </c>
      <c r="K54" s="692">
        <f>+landbouw!J12</f>
        <v>1343.6547433787889</v>
      </c>
      <c r="L54" s="692">
        <f>+landbouw!K12</f>
        <v>0</v>
      </c>
      <c r="M54" s="692">
        <f>+landbouw!L12</f>
        <v>0</v>
      </c>
      <c r="N54" s="692">
        <f>+landbouw!M12</f>
        <v>0</v>
      </c>
      <c r="O54" s="692">
        <f>+landbouw!N12</f>
        <v>0</v>
      </c>
      <c r="P54" s="692">
        <f>+landbouw!O12</f>
        <v>0</v>
      </c>
      <c r="Q54" s="693">
        <f>+landbouw!P12</f>
        <v>0</v>
      </c>
      <c r="R54" s="721">
        <f ca="1">SUM(C54:Q54)</f>
        <v>17426.116799995038</v>
      </c>
    </row>
    <row r="55" spans="1:18" ht="15" thickBot="1">
      <c r="A55" s="824" t="s">
        <v>724</v>
      </c>
      <c r="B55" s="834"/>
      <c r="C55" s="692">
        <f ca="1">C25*'EF ele_warmte'!B12</f>
        <v>177.61099500590541</v>
      </c>
      <c r="D55" s="692"/>
      <c r="E55" s="692">
        <f>E25*EF_CO2_aardgas</f>
        <v>384.669213474</v>
      </c>
      <c r="F55" s="692"/>
      <c r="G55" s="692"/>
      <c r="H55" s="692"/>
      <c r="I55" s="692"/>
      <c r="J55" s="692"/>
      <c r="K55" s="692"/>
      <c r="L55" s="692"/>
      <c r="M55" s="692"/>
      <c r="N55" s="692"/>
      <c r="O55" s="692"/>
      <c r="P55" s="692"/>
      <c r="Q55" s="693"/>
      <c r="R55" s="721">
        <f ca="1">SUM(C55:Q55)</f>
        <v>562.28020847990547</v>
      </c>
    </row>
    <row r="56" spans="1:18" ht="15.75" thickBot="1">
      <c r="A56" s="822" t="s">
        <v>725</v>
      </c>
      <c r="B56" s="835"/>
      <c r="C56" s="722">
        <f ca="1">SUM(C54:C55)</f>
        <v>3035.2798348551828</v>
      </c>
      <c r="D56" s="722">
        <f t="shared" ref="D56:Q56" ca="1" si="7">SUM(D54:D55)</f>
        <v>0</v>
      </c>
      <c r="E56" s="722">
        <f t="shared" si="7"/>
        <v>511.85978672242004</v>
      </c>
      <c r="F56" s="722">
        <f t="shared" si="7"/>
        <v>97.603845669831969</v>
      </c>
      <c r="G56" s="722">
        <f t="shared" si="7"/>
        <v>12999.998797848721</v>
      </c>
      <c r="H56" s="722">
        <f t="shared" si="7"/>
        <v>0</v>
      </c>
      <c r="I56" s="722">
        <f t="shared" si="7"/>
        <v>0</v>
      </c>
      <c r="J56" s="722">
        <f t="shared" si="7"/>
        <v>0</v>
      </c>
      <c r="K56" s="722">
        <f t="shared" si="7"/>
        <v>1343.6547433787889</v>
      </c>
      <c r="L56" s="722">
        <f t="shared" si="7"/>
        <v>0</v>
      </c>
      <c r="M56" s="722">
        <f t="shared" si="7"/>
        <v>0</v>
      </c>
      <c r="N56" s="722">
        <f t="shared" si="7"/>
        <v>0</v>
      </c>
      <c r="O56" s="722">
        <f t="shared" si="7"/>
        <v>0</v>
      </c>
      <c r="P56" s="722">
        <f t="shared" si="7"/>
        <v>0</v>
      </c>
      <c r="Q56" s="723">
        <f t="shared" si="7"/>
        <v>0</v>
      </c>
      <c r="R56" s="724">
        <f ca="1">SUM(R54:R55)</f>
        <v>17988.397008474942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48183.931105469761</v>
      </c>
      <c r="D61" s="730">
        <f t="shared" ref="D61:Q61" ca="1" si="8">D46+D52+D56</f>
        <v>0</v>
      </c>
      <c r="E61" s="730">
        <f t="shared" ca="1" si="8"/>
        <v>62852.250087150482</v>
      </c>
      <c r="F61" s="730">
        <f t="shared" si="8"/>
        <v>9990.9703775189919</v>
      </c>
      <c r="G61" s="730">
        <f t="shared" ca="1" si="8"/>
        <v>34164.203761538265</v>
      </c>
      <c r="H61" s="730">
        <f t="shared" si="8"/>
        <v>33352.434621124637</v>
      </c>
      <c r="I61" s="730">
        <f t="shared" si="8"/>
        <v>6078.6136840327445</v>
      </c>
      <c r="J61" s="730">
        <f t="shared" si="8"/>
        <v>0</v>
      </c>
      <c r="K61" s="730">
        <f t="shared" si="8"/>
        <v>1696.3923949135415</v>
      </c>
      <c r="L61" s="730">
        <f t="shared" si="8"/>
        <v>0</v>
      </c>
      <c r="M61" s="730">
        <f t="shared" ca="1" si="8"/>
        <v>0</v>
      </c>
      <c r="N61" s="730">
        <f t="shared" si="8"/>
        <v>0</v>
      </c>
      <c r="O61" s="730">
        <f t="shared" ca="1" si="8"/>
        <v>0</v>
      </c>
      <c r="P61" s="730">
        <f t="shared" si="8"/>
        <v>0</v>
      </c>
      <c r="Q61" s="730">
        <f t="shared" si="8"/>
        <v>0</v>
      </c>
      <c r="R61" s="730">
        <f ca="1">R46+R52+R56</f>
        <v>196318.79603174844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0.20742447850113546</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14182.12491215344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87.299999999999983</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102.70588235294116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14269.424912153439</v>
      </c>
      <c r="C78" s="748">
        <f>SUM(C72:C77)</f>
        <v>0</v>
      </c>
      <c r="D78" s="749">
        <f t="shared" ref="D78:H78" si="10">SUM(D76:D77)</f>
        <v>0</v>
      </c>
      <c r="E78" s="749">
        <f t="shared" si="10"/>
        <v>0</v>
      </c>
      <c r="F78" s="749">
        <f t="shared" si="10"/>
        <v>0</v>
      </c>
      <c r="G78" s="749">
        <f t="shared" si="10"/>
        <v>0</v>
      </c>
      <c r="H78" s="749">
        <f t="shared" si="10"/>
        <v>0</v>
      </c>
      <c r="I78" s="749">
        <f>SUM(I76:I77)</f>
        <v>0</v>
      </c>
      <c r="J78" s="749">
        <f>SUM(J76:J77)</f>
        <v>102.70588235294116</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124.71428571428569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146.72268907563023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124.71428571428569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146.72268907563023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14182.12491215344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87.299999999999983</v>
      </c>
      <c r="C8" s="548">
        <f>B49</f>
        <v>0</v>
      </c>
      <c r="D8" s="549"/>
      <c r="E8" s="549">
        <f>E49</f>
        <v>0</v>
      </c>
      <c r="F8" s="550"/>
      <c r="G8" s="551"/>
      <c r="H8" s="549">
        <f>I49</f>
        <v>0</v>
      </c>
      <c r="I8" s="549">
        <f>G49+F49</f>
        <v>0</v>
      </c>
      <c r="J8" s="549">
        <f>H49+D49+C49</f>
        <v>102.70588235294116</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14269.424912153439</v>
      </c>
      <c r="C10" s="563">
        <f t="shared" ref="C10:L10" si="0">SUM(C8:C9)</f>
        <v>0</v>
      </c>
      <c r="D10" s="563">
        <f t="shared" si="0"/>
        <v>0</v>
      </c>
      <c r="E10" s="563">
        <f t="shared" si="0"/>
        <v>0</v>
      </c>
      <c r="F10" s="563">
        <f t="shared" si="0"/>
        <v>0</v>
      </c>
      <c r="G10" s="563">
        <f t="shared" si="0"/>
        <v>0</v>
      </c>
      <c r="H10" s="563">
        <f t="shared" si="0"/>
        <v>0</v>
      </c>
      <c r="I10" s="563">
        <f t="shared" si="0"/>
        <v>0</v>
      </c>
      <c r="J10" s="563">
        <f t="shared" si="0"/>
        <v>102.70588235294116</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124.71428571428569</v>
      </c>
      <c r="C17" s="579">
        <f>B50</f>
        <v>0</v>
      </c>
      <c r="D17" s="580"/>
      <c r="E17" s="580">
        <f>E50</f>
        <v>0</v>
      </c>
      <c r="F17" s="581"/>
      <c r="G17" s="582"/>
      <c r="H17" s="579">
        <f>I50</f>
        <v>0</v>
      </c>
      <c r="I17" s="580">
        <f>G50+F50</f>
        <v>0</v>
      </c>
      <c r="J17" s="580">
        <f>H50+D50+C50</f>
        <v>146.72268907563023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124.71428571428569</v>
      </c>
      <c r="C20" s="562">
        <f>SUM(C17:C19)</f>
        <v>0</v>
      </c>
      <c r="D20" s="562">
        <f t="shared" ref="D20:L20" si="1">SUM(D17:D19)</f>
        <v>0</v>
      </c>
      <c r="E20" s="562">
        <f t="shared" si="1"/>
        <v>0</v>
      </c>
      <c r="F20" s="562">
        <f t="shared" si="1"/>
        <v>0</v>
      </c>
      <c r="G20" s="562">
        <f t="shared" si="1"/>
        <v>0</v>
      </c>
      <c r="H20" s="562">
        <f t="shared" si="1"/>
        <v>0</v>
      </c>
      <c r="I20" s="562">
        <f t="shared" si="1"/>
        <v>0</v>
      </c>
      <c r="J20" s="562">
        <f t="shared" si="1"/>
        <v>146.72268907563023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37015</v>
      </c>
      <c r="C28" s="791">
        <v>8700</v>
      </c>
      <c r="D28" s="640"/>
      <c r="E28" s="639"/>
      <c r="F28" s="639" t="s">
        <v>888</v>
      </c>
      <c r="G28" s="639" t="s">
        <v>889</v>
      </c>
      <c r="H28" s="639" t="s">
        <v>890</v>
      </c>
      <c r="I28" s="639" t="s">
        <v>891</v>
      </c>
      <c r="J28" s="790">
        <v>42427</v>
      </c>
      <c r="K28" s="790">
        <v>42427</v>
      </c>
      <c r="L28" s="639" t="s">
        <v>892</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38.25">
      <c r="A29" s="592"/>
      <c r="B29" s="791">
        <v>37015</v>
      </c>
      <c r="C29" s="791">
        <v>8700</v>
      </c>
      <c r="D29" s="640"/>
      <c r="E29" s="639"/>
      <c r="F29" s="639" t="s">
        <v>893</v>
      </c>
      <c r="G29" s="639" t="s">
        <v>889</v>
      </c>
      <c r="H29" s="639" t="s">
        <v>890</v>
      </c>
      <c r="I29" s="639" t="s">
        <v>894</v>
      </c>
      <c r="J29" s="790">
        <v>42426</v>
      </c>
      <c r="K29" s="790">
        <v>42426</v>
      </c>
      <c r="L29" s="639" t="s">
        <v>892</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19.399999999999999</v>
      </c>
      <c r="N30" s="597">
        <f>SUM(N28:N29)</f>
        <v>87.299999999999983</v>
      </c>
      <c r="O30" s="597">
        <f>SUM(O28:O29)</f>
        <v>124.71428571428569</v>
      </c>
      <c r="P30" s="597">
        <f>SUM(P28:P29)</f>
        <v>0</v>
      </c>
      <c r="Q30" s="597">
        <f>SUM(Q28:Q29)</f>
        <v>249.42857142857139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19.399999999999999</v>
      </c>
      <c r="N33" s="602">
        <f>SUMIF($Z$28:$Z$29,"landbouw",N28:N29)</f>
        <v>87.299999999999983</v>
      </c>
      <c r="O33" s="602">
        <f>SUMIF($Z$28:$Z$29,"landbouw",O28:O29)</f>
        <v>124.71428571428569</v>
      </c>
      <c r="P33" s="602">
        <f>SUMIF($Z$28:$Z$29,"landbouw",P28:P29)</f>
        <v>0</v>
      </c>
      <c r="Q33" s="602">
        <f>SUMIF($Z$28:$Z$29,"landbouw",Q28:Q29)</f>
        <v>249.42857142857139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102.70588235294116</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146.72268907563023</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33280.774999007466</v>
      </c>
      <c r="C4" s="452">
        <f>huishoudens!C8</f>
        <v>0</v>
      </c>
      <c r="D4" s="452">
        <f>huishoudens!D8</f>
        <v>74937.373789740013</v>
      </c>
      <c r="E4" s="452">
        <f>huishoudens!E8</f>
        <v>22554.695180320014</v>
      </c>
      <c r="F4" s="452">
        <f>huishoudens!F8</f>
        <v>11460.291363234755</v>
      </c>
      <c r="G4" s="452">
        <f>huishoudens!G8</f>
        <v>0</v>
      </c>
      <c r="H4" s="452">
        <f>huishoudens!H8</f>
        <v>0</v>
      </c>
      <c r="I4" s="452">
        <f>huishoudens!I8</f>
        <v>0</v>
      </c>
      <c r="J4" s="452">
        <f>huishoudens!J8</f>
        <v>366.10108226597282</v>
      </c>
      <c r="K4" s="452">
        <f>huishoudens!K8</f>
        <v>0</v>
      </c>
      <c r="L4" s="452">
        <f>huishoudens!L8</f>
        <v>0</v>
      </c>
      <c r="M4" s="452">
        <f>huishoudens!M8</f>
        <v>0</v>
      </c>
      <c r="N4" s="452">
        <f>huishoudens!N8</f>
        <v>22578.770809664333</v>
      </c>
      <c r="O4" s="452">
        <f>huishoudens!O8</f>
        <v>648.75433773955933</v>
      </c>
      <c r="P4" s="453">
        <f>huishoudens!P8</f>
        <v>811.11486669174678</v>
      </c>
      <c r="Q4" s="454">
        <f>SUM(B4:P4)</f>
        <v>166637.87642866385</v>
      </c>
    </row>
    <row r="5" spans="1:17">
      <c r="A5" s="451" t="s">
        <v>155</v>
      </c>
      <c r="B5" s="452">
        <f ca="1">tertiair!B16</f>
        <v>34941.317341000002</v>
      </c>
      <c r="C5" s="452">
        <f ca="1">tertiair!C16</f>
        <v>0</v>
      </c>
      <c r="D5" s="452">
        <f ca="1">tertiair!D16</f>
        <v>43782.308859454002</v>
      </c>
      <c r="E5" s="452">
        <f>tertiair!E16</f>
        <v>487.73978120349676</v>
      </c>
      <c r="F5" s="452">
        <f ca="1">tertiair!F16</f>
        <v>3710.0659172116966</v>
      </c>
      <c r="G5" s="452">
        <f>tertiair!G16</f>
        <v>0</v>
      </c>
      <c r="H5" s="452">
        <f>tertiair!H16</f>
        <v>0</v>
      </c>
      <c r="I5" s="452">
        <f>tertiair!I16</f>
        <v>0</v>
      </c>
      <c r="J5" s="452">
        <f>tertiair!J16</f>
        <v>4.9304307838432433E-2</v>
      </c>
      <c r="K5" s="452">
        <f>tertiair!K16</f>
        <v>0</v>
      </c>
      <c r="L5" s="452">
        <f ca="1">tertiair!L16</f>
        <v>0</v>
      </c>
      <c r="M5" s="452">
        <f>tertiair!M16</f>
        <v>0</v>
      </c>
      <c r="N5" s="452">
        <f ca="1">tertiair!N16</f>
        <v>1988.6101925575572</v>
      </c>
      <c r="O5" s="452">
        <f>tertiair!O16</f>
        <v>39.178086126729234</v>
      </c>
      <c r="P5" s="453">
        <f>tertiair!P16</f>
        <v>105.07827661299004</v>
      </c>
      <c r="Q5" s="451">
        <f t="shared" ref="Q5:Q14" ca="1" si="0">SUM(B5:P5)</f>
        <v>85054.347758474309</v>
      </c>
    </row>
    <row r="6" spans="1:17">
      <c r="A6" s="451" t="s">
        <v>193</v>
      </c>
      <c r="B6" s="452">
        <f>'openbare verlichting'!B8</f>
        <v>1465.614</v>
      </c>
      <c r="C6" s="452"/>
      <c r="D6" s="452"/>
      <c r="E6" s="452"/>
      <c r="F6" s="452"/>
      <c r="G6" s="452"/>
      <c r="H6" s="452"/>
      <c r="I6" s="452"/>
      <c r="J6" s="452"/>
      <c r="K6" s="452"/>
      <c r="L6" s="452"/>
      <c r="M6" s="452"/>
      <c r="N6" s="452"/>
      <c r="O6" s="452"/>
      <c r="P6" s="453"/>
      <c r="Q6" s="451">
        <f t="shared" si="0"/>
        <v>1465.614</v>
      </c>
    </row>
    <row r="7" spans="1:17">
      <c r="A7" s="451" t="s">
        <v>111</v>
      </c>
      <c r="B7" s="452">
        <f>landbouw!B8</f>
        <v>13776.912255000001</v>
      </c>
      <c r="C7" s="452">
        <f>landbouw!C8</f>
        <v>124.71428571428569</v>
      </c>
      <c r="D7" s="452">
        <f>landbouw!D8</f>
        <v>629.65630321000003</v>
      </c>
      <c r="E7" s="452">
        <f>landbouw!E8</f>
        <v>429.97288841335666</v>
      </c>
      <c r="F7" s="452">
        <f>landbouw!F8</f>
        <v>48689.134074339774</v>
      </c>
      <c r="G7" s="452">
        <f>landbouw!G8</f>
        <v>0</v>
      </c>
      <c r="H7" s="452">
        <f>landbouw!H8</f>
        <v>0</v>
      </c>
      <c r="I7" s="452">
        <f>landbouw!I8</f>
        <v>0</v>
      </c>
      <c r="J7" s="452">
        <f>landbouw!J8</f>
        <v>3795.6348683016636</v>
      </c>
      <c r="K7" s="452">
        <f>landbouw!K8</f>
        <v>0</v>
      </c>
      <c r="L7" s="452">
        <f>landbouw!L8</f>
        <v>0</v>
      </c>
      <c r="M7" s="452">
        <f>landbouw!M8</f>
        <v>0</v>
      </c>
      <c r="N7" s="452">
        <f>landbouw!N8</f>
        <v>0</v>
      </c>
      <c r="O7" s="452">
        <f>landbouw!O8</f>
        <v>0</v>
      </c>
      <c r="P7" s="453">
        <f>landbouw!P8</f>
        <v>0</v>
      </c>
      <c r="Q7" s="451">
        <f t="shared" si="0"/>
        <v>67446.024674979082</v>
      </c>
    </row>
    <row r="8" spans="1:17">
      <c r="A8" s="451" t="s">
        <v>625</v>
      </c>
      <c r="B8" s="452">
        <f>industrie!B18</f>
        <v>147904.49136700001</v>
      </c>
      <c r="C8" s="452">
        <f>industrie!C18</f>
        <v>0</v>
      </c>
      <c r="D8" s="452">
        <f>industrie!D18</f>
        <v>189634.15725799603</v>
      </c>
      <c r="E8" s="452">
        <f>industrie!E18</f>
        <v>20320.156038558678</v>
      </c>
      <c r="F8" s="452">
        <f>industrie!F18</f>
        <v>64096.327976817753</v>
      </c>
      <c r="G8" s="452">
        <f>industrie!G18</f>
        <v>0</v>
      </c>
      <c r="H8" s="452">
        <f>industrie!H18</f>
        <v>0</v>
      </c>
      <c r="I8" s="452">
        <f>industrie!I18</f>
        <v>0</v>
      </c>
      <c r="J8" s="452">
        <f>industrie!J18</f>
        <v>630.28365730967039</v>
      </c>
      <c r="K8" s="452">
        <f>industrie!K18</f>
        <v>0</v>
      </c>
      <c r="L8" s="452">
        <f>industrie!L18</f>
        <v>0</v>
      </c>
      <c r="M8" s="452">
        <f>industrie!M18</f>
        <v>0</v>
      </c>
      <c r="N8" s="452">
        <f>industrie!N18</f>
        <v>8220.1626785952212</v>
      </c>
      <c r="O8" s="452">
        <f>industrie!O18</f>
        <v>0</v>
      </c>
      <c r="P8" s="453">
        <f>industrie!P18</f>
        <v>0</v>
      </c>
      <c r="Q8" s="451">
        <f t="shared" si="0"/>
        <v>430805.57897627738</v>
      </c>
    </row>
    <row r="9" spans="1:17" s="457" customFormat="1">
      <c r="A9" s="455" t="s">
        <v>551</v>
      </c>
      <c r="B9" s="456">
        <f>transport!B14</f>
        <v>70.884282457109634</v>
      </c>
      <c r="C9" s="456">
        <f>transport!C14</f>
        <v>0</v>
      </c>
      <c r="D9" s="456">
        <f>transport!D14</f>
        <v>261.95365928547523</v>
      </c>
      <c r="E9" s="456">
        <f>transport!E14</f>
        <v>220.52147502423503</v>
      </c>
      <c r="F9" s="456">
        <f>transport!F14</f>
        <v>0</v>
      </c>
      <c r="G9" s="456">
        <f>transport!G14</f>
        <v>123765.74851019516</v>
      </c>
      <c r="H9" s="456">
        <f>transport!H14</f>
        <v>24412.103148725881</v>
      </c>
      <c r="I9" s="456">
        <f>transport!I14</f>
        <v>0</v>
      </c>
      <c r="J9" s="456">
        <f>transport!J14</f>
        <v>0</v>
      </c>
      <c r="K9" s="456">
        <f>transport!K14</f>
        <v>0</v>
      </c>
      <c r="L9" s="456">
        <f>transport!L14</f>
        <v>0</v>
      </c>
      <c r="M9" s="456">
        <f>transport!M14</f>
        <v>8750.406448031963</v>
      </c>
      <c r="N9" s="456">
        <f>transport!N14</f>
        <v>0</v>
      </c>
      <c r="O9" s="456">
        <f>transport!O14</f>
        <v>0</v>
      </c>
      <c r="P9" s="456">
        <f>transport!P14</f>
        <v>0</v>
      </c>
      <c r="Q9" s="455">
        <f>SUM(B9:P9)</f>
        <v>157481.61752371982</v>
      </c>
    </row>
    <row r="10" spans="1:17">
      <c r="A10" s="451" t="s">
        <v>541</v>
      </c>
      <c r="B10" s="452">
        <f>transport!B54</f>
        <v>0</v>
      </c>
      <c r="C10" s="452">
        <f>transport!C54</f>
        <v>0</v>
      </c>
      <c r="D10" s="452">
        <f>transport!D54</f>
        <v>0</v>
      </c>
      <c r="E10" s="452">
        <f>transport!E54</f>
        <v>0</v>
      </c>
      <c r="F10" s="452">
        <f>transport!F54</f>
        <v>0</v>
      </c>
      <c r="G10" s="452">
        <f>transport!G54</f>
        <v>1149.7369621817625</v>
      </c>
      <c r="H10" s="452">
        <f>transport!H54</f>
        <v>0</v>
      </c>
      <c r="I10" s="452">
        <f>transport!I54</f>
        <v>0</v>
      </c>
      <c r="J10" s="452">
        <f>transport!J54</f>
        <v>0</v>
      </c>
      <c r="K10" s="452">
        <f>transport!K54</f>
        <v>0</v>
      </c>
      <c r="L10" s="452">
        <f>transport!L54</f>
        <v>0</v>
      </c>
      <c r="M10" s="452">
        <f>transport!M54</f>
        <v>63.892453811216335</v>
      </c>
      <c r="N10" s="452">
        <f>transport!N54</f>
        <v>0</v>
      </c>
      <c r="O10" s="452">
        <f>transport!O54</f>
        <v>0</v>
      </c>
      <c r="P10" s="453">
        <f>transport!P54</f>
        <v>0</v>
      </c>
      <c r="Q10" s="451">
        <f t="shared" si="0"/>
        <v>1213.6294159929787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856.26824899999997</v>
      </c>
      <c r="C14" s="459"/>
      <c r="D14" s="459">
        <f>'SEAP template'!E25</f>
        <v>1904.3030369999999</v>
      </c>
      <c r="E14" s="459"/>
      <c r="F14" s="459"/>
      <c r="G14" s="459"/>
      <c r="H14" s="459"/>
      <c r="I14" s="459"/>
      <c r="J14" s="459"/>
      <c r="K14" s="459"/>
      <c r="L14" s="459"/>
      <c r="M14" s="459"/>
      <c r="N14" s="459"/>
      <c r="O14" s="459"/>
      <c r="P14" s="460"/>
      <c r="Q14" s="451">
        <f t="shared" si="0"/>
        <v>2760.5712859999999</v>
      </c>
    </row>
    <row r="15" spans="1:17" s="463" customFormat="1">
      <c r="A15" s="461" t="s">
        <v>545</v>
      </c>
      <c r="B15" s="462">
        <f ca="1">SUM(B4:B14)</f>
        <v>232296.2624934646</v>
      </c>
      <c r="C15" s="462">
        <f t="shared" ref="C15:Q15" ca="1" si="1">SUM(C4:C14)</f>
        <v>124.71428571428569</v>
      </c>
      <c r="D15" s="462">
        <f t="shared" ca="1" si="1"/>
        <v>311149.75290668552</v>
      </c>
      <c r="E15" s="462">
        <f t="shared" si="1"/>
        <v>44013.085363519785</v>
      </c>
      <c r="F15" s="462">
        <f t="shared" ca="1" si="1"/>
        <v>127955.81933160397</v>
      </c>
      <c r="G15" s="462">
        <f t="shared" si="1"/>
        <v>124915.48547237692</v>
      </c>
      <c r="H15" s="462">
        <f t="shared" si="1"/>
        <v>24412.103148725881</v>
      </c>
      <c r="I15" s="462">
        <f t="shared" si="1"/>
        <v>0</v>
      </c>
      <c r="J15" s="462">
        <f t="shared" si="1"/>
        <v>4792.0689121851447</v>
      </c>
      <c r="K15" s="462">
        <f t="shared" si="1"/>
        <v>0</v>
      </c>
      <c r="L15" s="462">
        <f t="shared" ca="1" si="1"/>
        <v>0</v>
      </c>
      <c r="M15" s="462">
        <f t="shared" si="1"/>
        <v>8814.2989018431799</v>
      </c>
      <c r="N15" s="462">
        <f t="shared" ca="1" si="1"/>
        <v>32787.543680817107</v>
      </c>
      <c r="O15" s="462">
        <f t="shared" si="1"/>
        <v>687.93242386628856</v>
      </c>
      <c r="P15" s="462">
        <f t="shared" si="1"/>
        <v>916.19314330473685</v>
      </c>
      <c r="Q15" s="462">
        <f t="shared" ca="1" si="1"/>
        <v>912865.26006410737</v>
      </c>
    </row>
    <row r="17" spans="1:17">
      <c r="A17" s="464" t="s">
        <v>546</v>
      </c>
      <c r="B17" s="781">
        <f ca="1">huishoudens!B10</f>
        <v>0.20742447850113546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6903.2473982827505</v>
      </c>
      <c r="C22" s="452">
        <f t="shared" ref="C22:C32" ca="1" si="3">C4*$C$17</f>
        <v>0</v>
      </c>
      <c r="D22" s="452">
        <f t="shared" ref="D22:D32" si="4">D4*$D$17</f>
        <v>15137.349505527483</v>
      </c>
      <c r="E22" s="452">
        <f t="shared" ref="E22:E32" si="5">E4*$E$17</f>
        <v>5119.9158059326437</v>
      </c>
      <c r="F22" s="452">
        <f t="shared" ref="F22:F32" si="6">F4*$F$17</f>
        <v>3059.89779398368</v>
      </c>
      <c r="G22" s="452">
        <f t="shared" ref="G22:G32" si="7">G4*$G$17</f>
        <v>0</v>
      </c>
      <c r="H22" s="452">
        <f t="shared" ref="H22:H32" si="8">H4*$H$17</f>
        <v>0</v>
      </c>
      <c r="I22" s="452">
        <f t="shared" ref="I22:I32" si="9">I4*$I$17</f>
        <v>0</v>
      </c>
      <c r="J22" s="452">
        <f t="shared" ref="J22:J32" si="10">J4*$J$17</f>
        <v>129.59978312215438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30350.010286848712</v>
      </c>
    </row>
    <row r="23" spans="1:17">
      <c r="A23" s="451" t="s">
        <v>155</v>
      </c>
      <c r="B23" s="452">
        <f t="shared" ca="1" si="2"/>
        <v>7247.6845275996066</v>
      </c>
      <c r="C23" s="452">
        <f t="shared" ca="1" si="3"/>
        <v>0</v>
      </c>
      <c r="D23" s="452">
        <f t="shared" ca="1" si="4"/>
        <v>8844.0263896097094</v>
      </c>
      <c r="E23" s="452">
        <f t="shared" si="5"/>
        <v>110.71693033319377</v>
      </c>
      <c r="F23" s="452">
        <f t="shared" ca="1" si="6"/>
        <v>990.587599895523</v>
      </c>
      <c r="G23" s="452">
        <f t="shared" si="7"/>
        <v>0</v>
      </c>
      <c r="H23" s="452">
        <f t="shared" si="8"/>
        <v>0</v>
      </c>
      <c r="I23" s="452">
        <f t="shared" si="9"/>
        <v>0</v>
      </c>
      <c r="J23" s="452">
        <f t="shared" si="10"/>
        <v>1.7453724974805081E-2</v>
      </c>
      <c r="K23" s="452">
        <f t="shared" si="11"/>
        <v>0</v>
      </c>
      <c r="L23" s="452">
        <f t="shared" ca="1" si="12"/>
        <v>0</v>
      </c>
      <c r="M23" s="452">
        <f t="shared" si="13"/>
        <v>0</v>
      </c>
      <c r="N23" s="452">
        <f t="shared" ca="1" si="14"/>
        <v>0</v>
      </c>
      <c r="O23" s="452">
        <f t="shared" si="15"/>
        <v>0</v>
      </c>
      <c r="P23" s="453">
        <f t="shared" si="16"/>
        <v>0</v>
      </c>
      <c r="Q23" s="451">
        <f t="shared" ref="Q23:Q31" ca="1" si="17">SUM(B23:P23)</f>
        <v>17193.032901163006</v>
      </c>
    </row>
    <row r="24" spans="1:17">
      <c r="A24" s="451" t="s">
        <v>193</v>
      </c>
      <c r="B24" s="452">
        <f t="shared" ca="1" si="2"/>
        <v>304.00421963396315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304.00421963396315</v>
      </c>
    </row>
    <row r="25" spans="1:17">
      <c r="A25" s="451" t="s">
        <v>111</v>
      </c>
      <c r="B25" s="452">
        <f t="shared" ca="1" si="2"/>
        <v>2857.6688398492774</v>
      </c>
      <c r="C25" s="452">
        <f t="shared" ca="1" si="3"/>
        <v>0</v>
      </c>
      <c r="D25" s="452">
        <f t="shared" si="4"/>
        <v>127.19057324842001</v>
      </c>
      <c r="E25" s="452">
        <f t="shared" si="5"/>
        <v>97.603845669831969</v>
      </c>
      <c r="F25" s="452">
        <f t="shared" si="6"/>
        <v>12999.998797848721</v>
      </c>
      <c r="G25" s="452">
        <f t="shared" si="7"/>
        <v>0</v>
      </c>
      <c r="H25" s="452">
        <f t="shared" si="8"/>
        <v>0</v>
      </c>
      <c r="I25" s="452">
        <f t="shared" si="9"/>
        <v>0</v>
      </c>
      <c r="J25" s="452">
        <f t="shared" si="10"/>
        <v>1343.6547433787889</v>
      </c>
      <c r="K25" s="452">
        <f t="shared" si="11"/>
        <v>0</v>
      </c>
      <c r="L25" s="452">
        <f t="shared" si="12"/>
        <v>0</v>
      </c>
      <c r="M25" s="452">
        <f t="shared" si="13"/>
        <v>0</v>
      </c>
      <c r="N25" s="452">
        <f t="shared" si="14"/>
        <v>0</v>
      </c>
      <c r="O25" s="452">
        <f t="shared" si="15"/>
        <v>0</v>
      </c>
      <c r="P25" s="453">
        <f t="shared" si="16"/>
        <v>0</v>
      </c>
      <c r="Q25" s="451">
        <f t="shared" ca="1" si="17"/>
        <v>17426.116799995038</v>
      </c>
    </row>
    <row r="26" spans="1:17">
      <c r="A26" s="451" t="s">
        <v>625</v>
      </c>
      <c r="B26" s="452">
        <f t="shared" ca="1" si="2"/>
        <v>30679.01198977567</v>
      </c>
      <c r="C26" s="452">
        <f t="shared" ca="1" si="3"/>
        <v>0</v>
      </c>
      <c r="D26" s="452">
        <f t="shared" si="4"/>
        <v>38306.0997661152</v>
      </c>
      <c r="E26" s="452">
        <f t="shared" si="5"/>
        <v>4612.6754207528202</v>
      </c>
      <c r="F26" s="452">
        <f t="shared" si="6"/>
        <v>17113.719569810342</v>
      </c>
      <c r="G26" s="452">
        <f t="shared" si="7"/>
        <v>0</v>
      </c>
      <c r="H26" s="452">
        <f t="shared" si="8"/>
        <v>0</v>
      </c>
      <c r="I26" s="452">
        <f t="shared" si="9"/>
        <v>0</v>
      </c>
      <c r="J26" s="452">
        <f t="shared" si="10"/>
        <v>223.12041468762331</v>
      </c>
      <c r="K26" s="452">
        <f t="shared" si="11"/>
        <v>0</v>
      </c>
      <c r="L26" s="452">
        <f t="shared" si="12"/>
        <v>0</v>
      </c>
      <c r="M26" s="452">
        <f t="shared" si="13"/>
        <v>0</v>
      </c>
      <c r="N26" s="452">
        <f t="shared" si="14"/>
        <v>0</v>
      </c>
      <c r="O26" s="452">
        <f t="shared" si="15"/>
        <v>0</v>
      </c>
      <c r="P26" s="453">
        <f t="shared" si="16"/>
        <v>0</v>
      </c>
      <c r="Q26" s="451">
        <f t="shared" ca="1" si="17"/>
        <v>90934.62716114166</v>
      </c>
    </row>
    <row r="27" spans="1:17" s="457" customFormat="1">
      <c r="A27" s="455" t="s">
        <v>551</v>
      </c>
      <c r="B27" s="775">
        <f t="shared" ca="1" si="2"/>
        <v>14.703135322593152</v>
      </c>
      <c r="C27" s="456">
        <f t="shared" ca="1" si="3"/>
        <v>0</v>
      </c>
      <c r="D27" s="456">
        <f t="shared" si="4"/>
        <v>52.914639175665997</v>
      </c>
      <c r="E27" s="456">
        <f t="shared" si="5"/>
        <v>50.05837483050135</v>
      </c>
      <c r="F27" s="456">
        <f t="shared" si="6"/>
        <v>0</v>
      </c>
      <c r="G27" s="456">
        <f t="shared" si="7"/>
        <v>33045.454852222108</v>
      </c>
      <c r="H27" s="456">
        <f t="shared" si="8"/>
        <v>6078.6136840327445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39241.744685583617</v>
      </c>
    </row>
    <row r="28" spans="1:17" ht="16.5" customHeight="1">
      <c r="A28" s="451" t="s">
        <v>541</v>
      </c>
      <c r="B28" s="452">
        <f t="shared" ca="1" si="2"/>
        <v>0</v>
      </c>
      <c r="C28" s="452">
        <f t="shared" ca="1" si="3"/>
        <v>0</v>
      </c>
      <c r="D28" s="452">
        <f t="shared" si="4"/>
        <v>0</v>
      </c>
      <c r="E28" s="452">
        <f t="shared" si="5"/>
        <v>0</v>
      </c>
      <c r="F28" s="452">
        <f t="shared" si="6"/>
        <v>0</v>
      </c>
      <c r="G28" s="452">
        <f t="shared" si="7"/>
        <v>306.97976890253062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306.97976890253062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177.61099500590541</v>
      </c>
      <c r="C32" s="452">
        <f t="shared" ca="1" si="3"/>
        <v>0</v>
      </c>
      <c r="D32" s="452">
        <f t="shared" si="4"/>
        <v>384.669213474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562.28020847990547</v>
      </c>
    </row>
    <row r="33" spans="1:17" s="463" customFormat="1">
      <c r="A33" s="461" t="s">
        <v>545</v>
      </c>
      <c r="B33" s="462">
        <f ca="1">SUM(B22:B32)</f>
        <v>48183.931105469761</v>
      </c>
      <c r="C33" s="462">
        <f t="shared" ref="C33:Q33" ca="1" si="19">SUM(C22:C32)</f>
        <v>0</v>
      </c>
      <c r="D33" s="462">
        <f t="shared" ca="1" si="19"/>
        <v>62852.250087150474</v>
      </c>
      <c r="E33" s="462">
        <f t="shared" si="19"/>
        <v>9990.9703775189901</v>
      </c>
      <c r="F33" s="462">
        <f t="shared" ca="1" si="19"/>
        <v>34164.203761538265</v>
      </c>
      <c r="G33" s="462">
        <f t="shared" si="19"/>
        <v>33352.434621124637</v>
      </c>
      <c r="H33" s="462">
        <f t="shared" si="19"/>
        <v>6078.6136840327445</v>
      </c>
      <c r="I33" s="462">
        <f t="shared" si="19"/>
        <v>0</v>
      </c>
      <c r="J33" s="462">
        <f t="shared" si="19"/>
        <v>1696.3923949135412</v>
      </c>
      <c r="K33" s="462">
        <f t="shared" si="19"/>
        <v>0</v>
      </c>
      <c r="L33" s="462">
        <f t="shared" ca="1" si="19"/>
        <v>0</v>
      </c>
      <c r="M33" s="462">
        <f t="shared" si="19"/>
        <v>0</v>
      </c>
      <c r="N33" s="462">
        <f t="shared" ca="1" si="19"/>
        <v>0</v>
      </c>
      <c r="O33" s="462">
        <f t="shared" si="19"/>
        <v>0</v>
      </c>
      <c r="P33" s="462">
        <f t="shared" si="19"/>
        <v>0</v>
      </c>
      <c r="Q33" s="462">
        <f t="shared" ca="1" si="19"/>
        <v>196318.79603174841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14182.12491215344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87.299999999999983</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102.70588235294116</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14269.424912153439</v>
      </c>
      <c r="C10" s="1031">
        <f>SUM(C4:C9)</f>
        <v>0</v>
      </c>
      <c r="D10" s="1031">
        <f t="shared" ref="D10:H10" si="0">SUM(D8:D9)</f>
        <v>0</v>
      </c>
      <c r="E10" s="1031">
        <f t="shared" si="0"/>
        <v>0</v>
      </c>
      <c r="F10" s="1031">
        <f t="shared" si="0"/>
        <v>0</v>
      </c>
      <c r="G10" s="1031">
        <f t="shared" si="0"/>
        <v>0</v>
      </c>
      <c r="H10" s="1031">
        <f t="shared" si="0"/>
        <v>0</v>
      </c>
      <c r="I10" s="1031">
        <f>SUM(I8:I9)</f>
        <v>0</v>
      </c>
      <c r="J10" s="1031">
        <f>SUM(J8:J9)</f>
        <v>102.70588235294116</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0.20742447850113546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124.71428571428569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146.72268907563023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124.71428571428569</v>
      </c>
      <c r="C20" s="1031">
        <f>SUM(C17:C19)</f>
        <v>0</v>
      </c>
      <c r="D20" s="1031">
        <f t="shared" ref="D20:H20" si="2">SUM(D17:D19)</f>
        <v>0</v>
      </c>
      <c r="E20" s="1031">
        <f t="shared" si="2"/>
        <v>0</v>
      </c>
      <c r="F20" s="1031">
        <f t="shared" si="2"/>
        <v>0</v>
      </c>
      <c r="G20" s="1031">
        <f t="shared" si="2"/>
        <v>0</v>
      </c>
      <c r="H20" s="1031">
        <f t="shared" si="2"/>
        <v>0</v>
      </c>
      <c r="I20" s="1031">
        <f>SUM(I17:I19)</f>
        <v>0</v>
      </c>
      <c r="J20" s="1031">
        <f>SUM(J17:J19)</f>
        <v>146.72268907563023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0.20742447850113546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2020-06-20T15:34:19Z</dcterms:modified>
</cp:coreProperties>
</file>