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7" i="19"/>
  <c r="C19" i="19" s="1"/>
  <c r="D39" i="14" s="1"/>
  <c r="C29" i="20"/>
  <c r="C18" i="15"/>
  <c r="C20" i="15" s="1"/>
  <c r="D40" i="14" s="1"/>
  <c r="C22" i="59"/>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<sst xmlns="http://schemas.openxmlformats.org/spreadsheetml/2006/main" count="2419" uniqueCount="901">
  <si>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</si>
  <si>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</si>
  <si>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</si>
  <si>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</si>
  <si>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</si>
  <si>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</si>
  <si>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</si>
  <si>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</si>
  <si>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</si>
  <si>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</si>
  <si>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</si>
  <si>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</si>
  <si>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</si>
  <si>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</si>
  <si>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</si>
  <si>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</si>
  <si>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</si>
  <si>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</si>
  <si>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</si>
  <si>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</si>
  <si>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</si>
  <si>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</si>
  <si>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</si>
  <si>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</si>
  <si>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</si>
  <si>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</si>
  <si>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</si>
  <si>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</si>
  <si>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</si>
  <si>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</si>
  <si>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</si>
  <si>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</si>
  <si>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</si>
  <si>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</si>
  <si>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</si>
  <si>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</si>
  <si>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</si>
  <si>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</si>
  <si>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</si>
  <si>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</si>
  <si>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</si>
  <si>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</si>
  <si>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</si>
  <si>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</si>
  <si>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</si>
  <si>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</si>
  <si>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</si>
  <si>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</si>
  <si>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</si>
  <si>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</si>
  <si>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</si>
  <si>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</si>
  <si>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</si>
  <si>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</si>
  <si>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</si>
  <si>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</si>
  <si>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</si>
  <si>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</si>
  <si>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</si>
  <si>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</si>
  <si>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</si>
  <si>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</si>
  <si>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</si>
  <si>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</si>
  <si>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</si>
  <si>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</si>
  <si>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</si>
  <si>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</si>
  <si>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</si>
  <si>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</si>
  <si>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</si>
  <si>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</si>
  <si>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</si>
  <si>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</si>
  <si>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</si>
  <si>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</si>
  <si>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</si>
  <si>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</si>
  <si>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</si>
  <si>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</si>
  <si>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</si>
  <si>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</si>
  <si>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</si>
  <si>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</si>
  <si>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</si>
  <si>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</si>
  <si>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</si>
  <si>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</si>
  <si>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</si>
  <si>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</si>
  <si>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</si>
  <si>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</si>
  <si>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</si>
  <si>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</si>
  <si>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</si>
  <si>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</si>
  <si>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</si>
  <si>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</si>
  <si>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</si>
  <si>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</si>
  <si>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</si>
  <si>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</si>
  <si>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</si>
  <si>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</si>
  <si>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</si>
  <si>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</si>
  <si>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</si>
  <si>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</si>
  <si>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</si>
  <si>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</si>
  <si>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</si>
  <si>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</si>
  <si>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</si>
  <si>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</si>
  <si>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</si>
  <si>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</si>
  <si>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</si>
  <si>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</si>
  <si>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</si>
  <si>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</si>
  <si>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</si>
  <si>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</si>
  <si>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</si>
  <si>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</si>
  <si>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</si>
  <si>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</si>
  <si>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</si>
  <si>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</si>
  <si>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</si>
  <si>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</si>
  <si>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</si>
  <si>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</si>
  <si>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</si>
  <si>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</si>
  <si>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</si>
  <si>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</si>
  <si>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</si>
  <si>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</si>
  <si>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</si>
  <si>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</si>
  <si>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</si>
  <si>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</si>
  <si>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</si>
  <si>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</si>
  <si>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</si>
  <si>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</si>
  <si>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</si>
  <si>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</si>
  <si>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</si>
  <si>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</si>
  <si>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</si>
  <si>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</si>
  <si>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</si>
  <si>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</si>
  <si>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</si>
  <si>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</si>
  <si>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</si>
  <si>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</si>
  <si>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</si>
  <si>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</si>
  <si>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</si>
  <si>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</si>
  <si>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</si>
  <si>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</si>
  <si>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</si>
  <si>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</si>
  <si>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</si>
  <si>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</si>
  <si>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</si>
  <si>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</si>
  <si>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</si>
  <si>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</si>
  <si>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</si>
  <si>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</si>
  <si>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</si>
  <si>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</si>
  <si>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</si>
  <si>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</si>
  <si>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</si>
  <si>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</si>
  <si>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</si>
  <si>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</si>
  <si>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</si>
  <si>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</si>
  <si>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</si>
  <si>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</si>
  <si>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</si>
  <si>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</si>
  <si>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</si>
  <si>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</si>
  <si>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</si>
  <si>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</si>
  <si>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</si>
  <si>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</si>
  <si>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</si>
  <si>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</si>
  <si>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</si>
  <si>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</si>
  <si>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</si>
  <si>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</si>
  <si>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</si>
  <si>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</si>
  <si>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</si>
  <si>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</si>
  <si>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</si>
  <si>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</si>
  <si>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</si>
  <si>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</si>
  <si>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</si>
  <si>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</si>
  <si>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</si>
  <si>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</si>
  <si>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</si>
  <si>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</si>
  <si>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</si>
  <si>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</si>
  <si>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</si>
  <si>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</si>
  <si>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</si>
  <si>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</si>
  <si>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</si>
  <si>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</si>
  <si>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</si>
  <si>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</si>
  <si>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</si>
  <si>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</si>
  <si>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</si>
  <si>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</si>
  <si>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</si>
  <si>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</si>
  <si>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</si>
  <si>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</si>
  <si>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</si>
  <si>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</si>
  <si>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</si>
  <si>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</si>
  <si>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</si>
  <si>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</si>
  <si>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</si>
  <si>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</si>
  <si>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</si>
  <si>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</si>
  <si>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</si>
  <si>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</si>
  <si>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</si>
  <si>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</si>
  <si>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</si>
  <si>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</si>
  <si>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</si>
  <si>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</si>
  <si>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</si>
  <si>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</si>
  <si>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</si>
  <si>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</si>
  <si>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</si>
  <si>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</si>
  <si>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</si>
  <si>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</si>
  <si>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</si>
  <si>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</si>
  <si>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</si>
  <si>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</si>
  <si>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</si>
  <si>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</si>
  <si>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</si>
  <si>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</si>
  <si>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</si>
  <si>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</si>
  <si>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</si>
  <si>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</si>
  <si>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</si>
  <si>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</si>
  <si>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</si>
  <si>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</si>
  <si>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</si>
  <si>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</si>
  <si>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</si>
  <si>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</si>
  <si>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</si>
  <si>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</si>
  <si>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</si>
  <si>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</si>
  <si>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</si>
  <si>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</si>
  <si>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</si>
  <si>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</si>
  <si>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</si>
  <si>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</si>
  <si>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</si>
  <si>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</si>
  <si>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</si>
  <si>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</si>
  <si>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</si>
  <si>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</si>
  <si>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</si>
  <si>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</si>
  <si>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</si>
  <si>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</si>
  <si>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</si>
  <si>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</si>
  <si>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</si>
  <si>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</si>
  <si>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</si>
  <si>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</si>
  <si>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</si>
  <si>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</si>
  <si>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</si>
  <si>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</si>
  <si>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</si>
  <si>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</si>
  <si>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</si>
  <si>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</si>
  <si>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</si>
  <si>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</si>
  <si>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</si>
  <si>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</si>
  <si>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</si>
  <si>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</si>
  <si>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</si>
  <si>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</si>
  <si>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</si>
  <si>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</si>
  <si>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</si>
  <si>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</si>
  <si>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</si>
  <si>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</si>
  <si>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</si>
  <si>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</si>
  <si>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</si>
  <si>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</si>
  <si>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</si>
  <si>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</si>
  <si>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</si>
  <si>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</si>
  <si>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</si>
  <si>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</si>
  <si>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</si>
  <si>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</si>
  <si>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</si>
  <si>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</si>
  <si>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</si>
  <si>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</si>
  <si>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</si>
  <si>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</si>
  <si>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</si>
  <si>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</si>
  <si>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</si>
  <si>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</si>
  <si>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</si>
  <si>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</si>
  <si>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</si>
  <si>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</si>
  <si>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</si>
  <si>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</si>
  <si>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</si>
  <si>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</si>
  <si>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</si>
  <si>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</si>
  <si>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</si>
  <si>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</si>
  <si>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</si>
  <si>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</si>
  <si>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</si>
  <si>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</si>
  <si>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</si>
  <si>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</si>
  <si>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</si>
  <si>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</si>
  <si>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</si>
  <si>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</si>
  <si>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</si>
  <si>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</si>
  <si>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</si>
  <si>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</si>
  <si>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</si>
  <si>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</si>
  <si>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</si>
  <si>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</si>
  <si>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</si>
  <si>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</si>
  <si>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</si>
  <si>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</si>
  <si>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</si>
  <si>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</si>
  <si>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</si>
  <si>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</si>
  <si>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</si>
  <si>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</si>
  <si>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</si>
  <si>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</si>
  <si>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</si>
  <si>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</si>
  <si>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</si>
  <si>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</si>
  <si>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</si>
  <si>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</si>
  <si>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</si>
  <si>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</si>
  <si>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</si>
  <si>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</si>
  <si>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</si>
  <si>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</si>
  <si>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</si>
  <si>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</si>
  <si>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</si>
  <si>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</si>
  <si>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</si>
  <si>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</si>
  <si>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</si>
  <si>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</si>
  <si>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</si>
  <si>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</si>
  <si>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</si>
  <si>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</si>
  <si>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</si>
  <si>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</si>
  <si>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</si>
  <si>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</si>
  <si>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</si>
  <si>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</si>
  <si>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</si>
  <si>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</si>
  <si>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</si>
  <si>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</si>
  <si>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</si>
  <si>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</si>
  <si>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</si>
  <si>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</si>
  <si>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</si>
  <si>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</si>
  <si>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</si>
  <si>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</si>
  <si>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</si>
  <si>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</si>
  <si>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</si>
  <si>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</si>
  <si>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</si>
  <si>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</si>
  <si>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</si>
  <si>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</si>
  <si>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</si>
  <si>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</si>
  <si>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</si>
  <si>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</si>
  <si>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</si>
  <si>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</si>
  <si>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</si>
  <si>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</si>
  <si>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</si>
  <si>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</si>
  <si>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</si>
  <si>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</si>
  <si>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</si>
  <si>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</si>
  <si>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</si>
  <si>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</si>
  <si>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</si>
  <si>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</si>
  <si>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</si>
  <si>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</si>
  <si>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</si>
  <si>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</si>
  <si>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</si>
  <si>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</si>
  <si>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</si>
  <si>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</si>
  <si>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</si>
  <si>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</si>
  <si>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</si>
  <si>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</si>
  <si>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</si>
  <si>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</si>
  <si>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</si>
  <si>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</si>
  <si>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</si>
  <si>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</si>
  <si>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</si>
  <si>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</si>
  <si>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</si>
  <si>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</si>
  <si>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</si>
  <si>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</si>
  <si>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</si>
  <si>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</si>
  <si>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</si>
  <si>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</si>
  <si>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</si>
  <si>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</si>
  <si>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</si>
  <si>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</si>
  <si>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</si>
  <si>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</si>
  <si>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</si>
  <si>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</si>
  <si>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</si>
  <si>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</si>
  <si>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</si>
  <si>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</si>
  <si>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</si>
  <si>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</si>
  <si>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</si>
  <si>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</si>
  <si>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</si>
  <si>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</si>
  <si>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</si>
  <si>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</si>
  <si>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</si>
  <si>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</si>
  <si>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</si>
  <si>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</si>
  <si>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</si>
  <si>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</si>
  <si>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</si>
  <si>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</si>
  <si>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</si>
  <si>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</si>
  <si>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</si>
  <si>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</si>
  <si>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</si>
  <si>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</si>
  <si>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</si>
  <si>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</si>
  <si>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</si>
  <si>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</si>
  <si>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</si>
  <si>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</si>
  <si>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</si>
  <si>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</si>
  <si>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</si>
  <si>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</si>
  <si>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</si>
  <si>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</si>
  <si>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</si>
  <si>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</si>
  <si>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</si>
  <si>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</si>
  <si>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</si>
  <si>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</si>
  <si>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</si>
  <si>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</si>
  <si>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</si>
  <si>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</si>
  <si>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</si>
  <si>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</si>
  <si>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</si>
  <si>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</si>
  <si>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</si>
  <si>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</si>
  <si>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</si>
  <si>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</si>
  <si>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</si>
  <si>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</si>
  <si>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</si>
  <si>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</si>
  <si>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</si>
  <si>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</si>
  <si>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</si>
  <si>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</si>
  <si>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</si>
  <si>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</si>
  <si>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</si>
  <si>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</si>
  <si>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</si>
  <si>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</si>
  <si>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</si>
  <si>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</si>
  <si>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</si>
  <si>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</si>
  <si>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</si>
  <si>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</si>
  <si>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</si>
  <si>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</si>
  <si>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</si>
  <si>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</si>
  <si>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</si>
  <si>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</si>
  <si>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</si>
  <si>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</si>
  <si>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</si>
  <si>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</si>
  <si>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</si>
  <si>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</si>
  <si>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</si>
  <si>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</si>
  <si>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</si>
  <si>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</si>
  <si>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</si>
  <si>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</si>
  <si>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</si>
  <si>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</si>
  <si>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</si>
  <si>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</si>
  <si>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</si>
  <si>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</si>
  <si>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</si>
  <si>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</si>
  <si>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</si>
  <si>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</si>
  <si>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</si>
  <si>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</si>
  <si>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</si>
  <si>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</si>
  <si>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</si>
  <si>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</si>
  <si>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</si>
  <si>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</si>
  <si>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</si>
  <si>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</si>
  <si>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</si>
  <si>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</si>
  <si>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</si>
  <si>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</si>
  <si>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</si>
  <si>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</si>
  <si>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</si>
  <si>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</si>
  <si>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</si>
  <si>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</si>
  <si>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</si>
  <si>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</si>
  <si>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</si>
  <si>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</si>
  <si>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</si>
  <si>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</si>
  <si>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</si>
  <si>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</si>
  <si>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</si>
  <si>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</si>
  <si>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</si>
  <si>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</si>
  <si>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</si>
  <si>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</si>
  <si>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</si>
  <si>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</si>
  <si>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</si>
  <si>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</si>
  <si>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</si>
  <si>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</si>
  <si>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</si>
  <si>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</si>
  <si>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</si>
  <si>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</si>
  <si>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</si>
  <si>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</si>
  <si>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</si>
  <si>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</si>
  <si>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</si>
  <si>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</si>
  <si>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</si>
  <si>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</si>
  <si>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</si>
  <si>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</si>
  <si>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</si>
  <si>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</si>
  <si>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</si>
  <si>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</si>
  <si>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</si>
  <si>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</si>
  <si>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</si>
  <si>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</si>
  <si>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</si>
  <si>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</si>
  <si>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</si>
  <si>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</si>
  <si>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</si>
  <si>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</si>
  <si>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</si>
  <si>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</si>
  <si>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</si>
  <si>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</si>
  <si>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</si>
  <si>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</si>
  <si>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</si>
  <si>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</si>
  <si>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</si>
  <si>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</si>
  <si>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</si>
  <si>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</si>
  <si>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</si>
  <si>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</si>
  <si>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</si>
  <si>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</si>
  <si>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</si>
  <si>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</si>
  <si>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</si>
  <si>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</si>
  <si>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</si>
  <si>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</si>
  <si>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</si>
  <si>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</si>
  <si>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</si>
  <si>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</si>
  <si>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</si>
  <si>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</si>
  <si>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</si>
  <si>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</si>
  <si>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</si>
  <si>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</si>
  <si>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</si>
  <si>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</si>
  <si>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</si>
  <si>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</si>
  <si>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</si>
  <si>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</si>
  <si>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</si>
  <si>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</si>
  <si>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</si>
  <si>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</si>
  <si>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</si>
  <si>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</si>
  <si>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</si>
  <si>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</si>
  <si>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</si>
  <si>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</si>
  <si>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</si>
  <si>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</si>
  <si>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</si>
  <si>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</si>
  <si>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</si>
  <si>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</si>
  <si>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</si>
  <si>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</si>
  <si>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</si>
  <si>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</si>
  <si>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</si>
  <si>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</si>
  <si>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</si>
  <si>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</si>
  <si>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</si>
  <si>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</si>
  <si>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</si>
  <si>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</si>
  <si>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</si>
  <si>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</si>
  <si>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</si>
  <si>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</si>
  <si>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</si>
  <si>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</si>
  <si>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</si>
  <si>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</si>
  <si>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</si>
  <si>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</si>
  <si>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</si>
  <si>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</si>
  <si>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</si>
  <si>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</si>
  <si>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</si>
  <si>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</si>
  <si>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</si>
  <si>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</si>
  <si>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</si>
  <si>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</si>
  <si>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</si>
  <si>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</si>
  <si>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</si>
  <si>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</si>
  <si>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</si>
  <si>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</si>
  <si>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</si>
  <si>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</si>
  <si>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</si>
  <si>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</si>
  <si>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</si>
  <si>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</si>
  <si>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</si>
  <si>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</si>
  <si>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</si>
  <si>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</si>
  <si>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</si>
  <si>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</si>
  <si>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</si>
  <si>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</si>
  <si>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</si>
  <si>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</si>
  <si>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</si>
  <si>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</si>
  <si>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</si>
  <si>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</si>
  <si>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</si>
  <si>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</si>
  <si>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</si>
  <si>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</si>
  <si>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</si>
  <si>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</si>
  <si>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</si>
  <si>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</si>
  <si>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</si>
  <si>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</si>
  <si>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</si>
  <si>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</si>
  <si>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</si>
  <si>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</si>
  <si>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</si>
  <si>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</si>
  <si>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</si>
  <si>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</si>
  <si>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</si>
  <si>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</si>
  <si>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</si>
  <si>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</si>
  <si>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</si>
  <si>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</si>
  <si>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</si>
  <si>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</si>
  <si>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</si>
  <si>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</si>
  <si>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</si>
  <si>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</si>
  <si>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</si>
  <si>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</si>
  <si>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</si>
  <si>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</si>
  <si>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</si>
  <si>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</si>
  <si>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</si>
  <si>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</si>
  <si>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</si>
  <si>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</si>
  <si>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</si>
  <si>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</si>
  <si>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</si>
  <si>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</si>
  <si>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</si>
  <si>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</si>
  <si>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</si>
  <si>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</si>
  <si>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</si>
  <si>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</si>
  <si>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</si>
  <si>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</si>
  <si>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</si>
  <si>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</si>
  <si>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</si>
  <si>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</si>
  <si>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</si>
  <si>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</si>
  <si>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</si>
  <si>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</si>
  <si>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</si>
  <si>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</si>
  <si>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</si>
  <si>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</si>
  <si>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</si>
  <si>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</si>
  <si>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</si>
  <si>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</si>
  <si>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</si>
  <si>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</si>
  <si>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</si>
  <si>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</si>
  <si>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</si>
  <si>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</si>
  <si>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</si>
  <si>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</si>
  <si>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</si>
  <si>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</si>
  <si>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</si>
  <si>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</si>
  <si>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</si>
  <si>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</si>
  <si>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</si>
  <si>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</si>
  <si>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</si>
  <si>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</si>
  <si>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</si>
  <si>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</si>
  <si>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</si>
  <si>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</si>
  <si>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</si>
  <si>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</si>
  <si>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</si>
  <si>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</si>
  <si>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</si>
  <si>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</si>
  <si>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</si>
  <si>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</si>
  <si>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</si>
  <si>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</si>
  <si>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</si>
  <si>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</si>
  <si>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</si>
  <si>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</si>
  <si>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</si>
  <si>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</si>
  <si>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</si>
  <si>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36012</t>
  </si>
  <si>
    <t>MOORSLEDE</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</si>
  <si>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</si>
  <si>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</si>
  <si>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</si>
  <si>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</si>
  <si>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</si>
  <si>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</si>
  <si>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</si>
  <si>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</si>
  <si>
    <t>Bistro Chapoo</t>
  </si>
  <si>
    <t>WKK-0836</t>
  </si>
  <si>
    <t>Brandstofcel</t>
  </si>
  <si>
    <t>brandstofcel</t>
  </si>
  <si>
    <t>Meensesteenweg 238</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</si>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</sst>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98854.863877783835</c:v>
                </c:pt>
                <c:pt idx="1">
                  <c:v>47040.858480922216</c:v>
                </c:pt>
                <c:pt idx="2">
                  <c:v>857.91</c:v>
                </c:pt>
                <c:pt idx="3">
                  <c:v>11133.361953659269</c:v>
                </c:pt>
                <c:pt idx="4">
                  <c:v>47666.778776240833</c:v>
                </c:pt>
                <c:pt idx="5">
                  <c:v>38663.334098635343</c:v>
                </c:pt>
                <c:pt idx="6">
                  <c:v>1210.6568251754509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98854.863877783835</c:v>
                </c:pt>
                <c:pt idx="1">
                  <c:v>47040.858480922216</c:v>
                </c:pt>
                <c:pt idx="2">
                  <c:v>857.91</c:v>
                </c:pt>
                <c:pt idx="3">
                  <c:v>11133.361953659269</c:v>
                </c:pt>
                <c:pt idx="4">
                  <c:v>47666.778776240833</c:v>
                </c:pt>
                <c:pt idx="5">
                  <c:v>38663.334098635343</c:v>
                </c:pt>
                <c:pt idx="6">
                  <c:v>1210.6568251754509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16828.303626791821</c:v>
                </c:pt>
                <c:pt idx="1">
                  <c:v>7210.2026932004983</c:v>
                </c:pt>
                <c:pt idx="2">
                  <c:v>155.72563962939208</c:v>
                </c:pt>
                <c:pt idx="3">
                  <c:v>2817.7495657006602</c:v>
                </c:pt>
                <c:pt idx="4">
                  <c:v>9396.4611492332879</c:v>
                </c:pt>
                <c:pt idx="5">
                  <c:v>9590.5676936965374</c:v>
                </c:pt>
                <c:pt idx="6">
                  <c:v>306.22787114018121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16828.303626791821</c:v>
                </c:pt>
                <c:pt idx="1">
                  <c:v>7210.2026932004983</c:v>
                </c:pt>
                <c:pt idx="2">
                  <c:v>155.72563962939208</c:v>
                </c:pt>
                <c:pt idx="3">
                  <c:v>2817.7495657006602</c:v>
                </c:pt>
                <c:pt idx="4">
                  <c:v>9396.4611492332879</c:v>
                </c:pt>
                <c:pt idx="5">
                  <c:v>9590.5676936965374</c:v>
                </c:pt>
                <c:pt idx="6">
                  <c:v>306.22787114018121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36012</v>
      </c>
      <c r="B6" s="390"/>
      <c r="C6" s="391"/>
    </row>
    <row r="7" spans="1:7" s="388" customFormat="1" ht="15.75" customHeight="1">
      <c r="A7" s="392" t="str">
        <f>txtMunicipality</f>
        <v>MOORSLEDE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0.18151745477893028</v>
      </c>
      <c r="C17" s="501">
        <f ca="1">'EF ele_warmte'!B22</f>
        <v>2.8538674546085715E-4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0.18151745477893028</v>
      </c>
      <c r="C29" s="502">
        <f ca="1">'EF ele_warmte'!B22</f>
        <v>2.8538674546085715E-4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4553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2518.58</v>
      </c>
      <c r="C14" s="330"/>
      <c r="D14" s="330"/>
      <c r="E14" s="330"/>
      <c r="F14" s="330"/>
    </row>
    <row r="15" spans="1:6">
      <c r="A15" s="1298" t="s">
        <v>183</v>
      </c>
      <c r="B15" s="1299">
        <v>23</v>
      </c>
      <c r="C15" s="330"/>
      <c r="D15" s="330"/>
      <c r="E15" s="330"/>
      <c r="F15" s="330"/>
    </row>
    <row r="16" spans="1:6">
      <c r="A16" s="1298" t="s">
        <v>6</v>
      </c>
      <c r="B16" s="1299">
        <v>713</v>
      </c>
      <c r="C16" s="330"/>
      <c r="D16" s="330"/>
      <c r="E16" s="330"/>
      <c r="F16" s="330"/>
    </row>
    <row r="17" spans="1:6">
      <c r="A17" s="1298" t="s">
        <v>7</v>
      </c>
      <c r="B17" s="1299">
        <v>524</v>
      </c>
      <c r="C17" s="330"/>
      <c r="D17" s="330"/>
      <c r="E17" s="330"/>
      <c r="F17" s="330"/>
    </row>
    <row r="18" spans="1:6">
      <c r="A18" s="1298" t="s">
        <v>8</v>
      </c>
      <c r="B18" s="1299">
        <v>768</v>
      </c>
      <c r="C18" s="330"/>
      <c r="D18" s="330"/>
      <c r="E18" s="330"/>
      <c r="F18" s="330"/>
    </row>
    <row r="19" spans="1:6">
      <c r="A19" s="1298" t="s">
        <v>9</v>
      </c>
      <c r="B19" s="1299">
        <v>977</v>
      </c>
      <c r="C19" s="330"/>
      <c r="D19" s="330"/>
      <c r="E19" s="330"/>
      <c r="F19" s="330"/>
    </row>
    <row r="20" spans="1:6">
      <c r="A20" s="1298" t="s">
        <v>10</v>
      </c>
      <c r="B20" s="1299">
        <v>634</v>
      </c>
      <c r="C20" s="330"/>
      <c r="D20" s="330"/>
      <c r="E20" s="330"/>
      <c r="F20" s="330"/>
    </row>
    <row r="21" spans="1:6">
      <c r="A21" s="1298" t="s">
        <v>11</v>
      </c>
      <c r="B21" s="1299">
        <v>8418</v>
      </c>
      <c r="C21" s="330"/>
      <c r="D21" s="330"/>
      <c r="E21" s="330"/>
      <c r="F21" s="330"/>
    </row>
    <row r="22" spans="1:6">
      <c r="A22" s="1298" t="s">
        <v>12</v>
      </c>
      <c r="B22" s="1299">
        <v>30399</v>
      </c>
      <c r="C22" s="330"/>
      <c r="D22" s="330"/>
      <c r="E22" s="330"/>
      <c r="F22" s="330"/>
    </row>
    <row r="23" spans="1:6">
      <c r="A23" s="1298" t="s">
        <v>13</v>
      </c>
      <c r="B23" s="1299">
        <v>525</v>
      </c>
      <c r="C23" s="330"/>
      <c r="D23" s="330"/>
      <c r="E23" s="330"/>
      <c r="F23" s="330"/>
    </row>
    <row r="24" spans="1:6">
      <c r="A24" s="1298" t="s">
        <v>14</v>
      </c>
      <c r="B24" s="1299">
        <v>16</v>
      </c>
      <c r="C24" s="330"/>
      <c r="D24" s="330"/>
      <c r="E24" s="330"/>
      <c r="F24" s="330"/>
    </row>
    <row r="25" spans="1:6">
      <c r="A25" s="1298" t="s">
        <v>15</v>
      </c>
      <c r="B25" s="1299">
        <v>2258</v>
      </c>
      <c r="C25" s="330"/>
      <c r="D25" s="330"/>
      <c r="E25" s="330"/>
      <c r="F25" s="330"/>
    </row>
    <row r="26" spans="1:6">
      <c r="A26" s="1298" t="s">
        <v>16</v>
      </c>
      <c r="B26" s="1299">
        <v>165</v>
      </c>
      <c r="C26" s="330"/>
      <c r="D26" s="330"/>
      <c r="E26" s="330"/>
      <c r="F26" s="330"/>
    </row>
    <row r="27" spans="1:6">
      <c r="A27" s="1298" t="s">
        <v>17</v>
      </c>
      <c r="B27" s="1299">
        <v>6</v>
      </c>
      <c r="C27" s="330"/>
      <c r="D27" s="330"/>
      <c r="E27" s="330"/>
      <c r="F27" s="330"/>
    </row>
    <row r="28" spans="1:6" s="43" customFormat="1">
      <c r="A28" s="1300" t="s">
        <v>18</v>
      </c>
      <c r="B28" s="1301">
        <v>128581</v>
      </c>
      <c r="C28" s="336"/>
      <c r="D28" s="336"/>
      <c r="E28" s="336"/>
      <c r="F28" s="336"/>
    </row>
    <row r="29" spans="1:6">
      <c r="A29" s="1300" t="s">
        <v>705</v>
      </c>
      <c r="B29" s="1301">
        <v>233</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58349.798000000003</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220302.04</v>
      </c>
    </row>
    <row r="39" spans="1:6">
      <c r="A39" s="1298" t="s">
        <v>29</v>
      </c>
      <c r="B39" s="1298" t="s">
        <v>30</v>
      </c>
      <c r="C39" s="1299">
        <v>3075</v>
      </c>
      <c r="D39" s="1299">
        <v>44786511.329999998</v>
      </c>
      <c r="E39" s="1299">
        <v>4270</v>
      </c>
      <c r="F39" s="1299">
        <v>14383657.42</v>
      </c>
    </row>
    <row r="40" spans="1:6">
      <c r="A40" s="1298" t="s">
        <v>29</v>
      </c>
      <c r="B40" s="1298" t="s">
        <v>28</v>
      </c>
      <c r="C40" s="1299">
        <v>0</v>
      </c>
      <c r="D40" s="1299">
        <v>0</v>
      </c>
      <c r="E40" s="1299">
        <v>0</v>
      </c>
      <c r="F40" s="1299">
        <v>0</v>
      </c>
    </row>
    <row r="41" spans="1:6">
      <c r="A41" s="1298" t="s">
        <v>31</v>
      </c>
      <c r="B41" s="1298" t="s">
        <v>32</v>
      </c>
      <c r="C41" s="1299">
        <v>62</v>
      </c>
      <c r="D41" s="1299">
        <v>1024646.943</v>
      </c>
      <c r="E41" s="1299">
        <v>136</v>
      </c>
      <c r="F41" s="1299">
        <v>2157925.0690000001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442183.38799999998</v>
      </c>
      <c r="E44" s="1299">
        <v>20</v>
      </c>
      <c r="F44" s="1299">
        <v>1406144.0220000001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23</v>
      </c>
      <c r="D48" s="1299">
        <v>18954665.579999998</v>
      </c>
      <c r="E48" s="1299">
        <v>43</v>
      </c>
      <c r="F48" s="1299">
        <v>17621304.920000002</v>
      </c>
    </row>
    <row r="49" spans="1:6">
      <c r="A49" s="1298" t="s">
        <v>31</v>
      </c>
      <c r="B49" s="1298" t="s">
        <v>39</v>
      </c>
      <c r="C49" s="1299">
        <v>0</v>
      </c>
      <c r="D49" s="1299">
        <v>0</v>
      </c>
      <c r="E49" s="1299">
        <v>4</v>
      </c>
      <c r="F49" s="1299">
        <v>267983.83100000001</v>
      </c>
    </row>
    <row r="50" spans="1:6">
      <c r="A50" s="1298" t="s">
        <v>31</v>
      </c>
      <c r="B50" s="1298" t="s">
        <v>40</v>
      </c>
      <c r="C50" s="1299">
        <v>4</v>
      </c>
      <c r="D50" s="1299">
        <v>173784.943</v>
      </c>
      <c r="E50" s="1299">
        <v>7</v>
      </c>
      <c r="F50" s="1299">
        <v>95771.770999999993</v>
      </c>
    </row>
    <row r="51" spans="1:6">
      <c r="A51" s="1298" t="s">
        <v>41</v>
      </c>
      <c r="B51" s="1298" t="s">
        <v>42</v>
      </c>
      <c r="C51" s="1299">
        <v>10</v>
      </c>
      <c r="D51" s="1299">
        <v>182305.48499999999</v>
      </c>
      <c r="E51" s="1299">
        <v>127</v>
      </c>
      <c r="F51" s="1299">
        <v>2074669.3370000001</v>
      </c>
    </row>
    <row r="52" spans="1:6">
      <c r="A52" s="1298" t="s">
        <v>41</v>
      </c>
      <c r="B52" s="1298" t="s">
        <v>28</v>
      </c>
      <c r="C52" s="1299">
        <v>3</v>
      </c>
      <c r="D52" s="1299">
        <v>41680.402999999998</v>
      </c>
      <c r="E52" s="1299">
        <v>7</v>
      </c>
      <c r="F52" s="1299">
        <v>183483.21</v>
      </c>
    </row>
    <row r="53" spans="1:6">
      <c r="A53" s="1298" t="s">
        <v>43</v>
      </c>
      <c r="B53" s="1298" t="s">
        <v>44</v>
      </c>
      <c r="C53" s="1299">
        <v>77</v>
      </c>
      <c r="D53" s="1299">
        <v>1601171.946</v>
      </c>
      <c r="E53" s="1299">
        <v>124</v>
      </c>
      <c r="F53" s="1299">
        <v>638959.27099999995</v>
      </c>
    </row>
    <row r="54" spans="1:6">
      <c r="A54" s="1298" t="s">
        <v>45</v>
      </c>
      <c r="B54" s="1298" t="s">
        <v>46</v>
      </c>
      <c r="C54" s="1299">
        <v>0</v>
      </c>
      <c r="D54" s="1299">
        <v>0</v>
      </c>
      <c r="E54" s="1299">
        <v>1</v>
      </c>
      <c r="F54" s="1299">
        <v>857910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422505.67800000001</v>
      </c>
      <c r="E57" s="1299">
        <v>34</v>
      </c>
      <c r="F57" s="1299">
        <v>727577.24199999997</v>
      </c>
    </row>
    <row r="58" spans="1:6">
      <c r="A58" s="1298" t="s">
        <v>48</v>
      </c>
      <c r="B58" s="1298" t="s">
        <v>50</v>
      </c>
      <c r="C58" s="1299">
        <v>26</v>
      </c>
      <c r="D58" s="1299">
        <v>2127633.2949999999</v>
      </c>
      <c r="E58" s="1299">
        <v>31</v>
      </c>
      <c r="F58" s="1299">
        <v>815964.63300000003</v>
      </c>
    </row>
    <row r="59" spans="1:6">
      <c r="A59" s="1298" t="s">
        <v>48</v>
      </c>
      <c r="B59" s="1298" t="s">
        <v>51</v>
      </c>
      <c r="C59" s="1299">
        <v>55</v>
      </c>
      <c r="D59" s="1299">
        <v>1528827.22</v>
      </c>
      <c r="E59" s="1299">
        <v>148</v>
      </c>
      <c r="F59" s="1299">
        <v>3050284.6669999999</v>
      </c>
    </row>
    <row r="60" spans="1:6">
      <c r="A60" s="1298" t="s">
        <v>48</v>
      </c>
      <c r="B60" s="1298" t="s">
        <v>52</v>
      </c>
      <c r="C60" s="1299">
        <v>51</v>
      </c>
      <c r="D60" s="1299">
        <v>2624499.9169999999</v>
      </c>
      <c r="E60" s="1299">
        <v>68</v>
      </c>
      <c r="F60" s="1299">
        <v>1293596.702</v>
      </c>
    </row>
    <row r="61" spans="1:6">
      <c r="A61" s="1298" t="s">
        <v>48</v>
      </c>
      <c r="B61" s="1298" t="s">
        <v>53</v>
      </c>
      <c r="C61" s="1299">
        <v>91</v>
      </c>
      <c r="D61" s="1299">
        <v>3241290.0320000001</v>
      </c>
      <c r="E61" s="1299">
        <v>186</v>
      </c>
      <c r="F61" s="1299">
        <v>1616956.493</v>
      </c>
    </row>
    <row r="62" spans="1:6">
      <c r="A62" s="1298" t="s">
        <v>48</v>
      </c>
      <c r="B62" s="1298" t="s">
        <v>54</v>
      </c>
      <c r="C62" s="1299">
        <v>5</v>
      </c>
      <c r="D62" s="1299">
        <v>317456.71000000002</v>
      </c>
      <c r="E62" s="1299">
        <v>5</v>
      </c>
      <c r="F62" s="1299">
        <v>96757.456000000006</v>
      </c>
    </row>
    <row r="63" spans="1:6">
      <c r="A63" s="1298" t="s">
        <v>48</v>
      </c>
      <c r="B63" s="1298" t="s">
        <v>28</v>
      </c>
      <c r="C63" s="1299">
        <v>85</v>
      </c>
      <c r="D63" s="1299">
        <v>5225949.4129999997</v>
      </c>
      <c r="E63" s="1299">
        <v>87</v>
      </c>
      <c r="F63" s="1299">
        <v>7186311.8830000004</v>
      </c>
    </row>
    <row r="64" spans="1:6">
      <c r="A64" s="1298" t="s">
        <v>55</v>
      </c>
      <c r="B64" s="1298" t="s">
        <v>56</v>
      </c>
      <c r="C64" s="1299">
        <v>0</v>
      </c>
      <c r="D64" s="1299">
        <v>0</v>
      </c>
      <c r="E64" s="1299">
        <v>0</v>
      </c>
      <c r="F64" s="1299">
        <v>0</v>
      </c>
    </row>
    <row r="65" spans="1:6">
      <c r="A65" s="1298" t="s">
        <v>55</v>
      </c>
      <c r="B65" s="1298" t="s">
        <v>28</v>
      </c>
      <c r="C65" s="1299">
        <v>2</v>
      </c>
      <c r="D65" s="1299">
        <v>71892.842000000004</v>
      </c>
      <c r="E65" s="1299">
        <v>2</v>
      </c>
      <c r="F65" s="1299">
        <v>15879.623</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8</v>
      </c>
      <c r="D68" s="1302">
        <v>287179.64199999999</v>
      </c>
      <c r="E68" s="1302">
        <v>21</v>
      </c>
      <c r="F68" s="1302">
        <v>299458.96399999998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8343599</v>
      </c>
      <c r="E73" s="450"/>
      <c r="F73" s="330"/>
    </row>
    <row r="74" spans="1:6">
      <c r="A74" s="1298" t="s">
        <v>63</v>
      </c>
      <c r="B74" s="1298" t="s">
        <v>647</v>
      </c>
      <c r="C74" s="1312" t="s">
        <v>649</v>
      </c>
      <c r="D74" s="1313">
        <v>552291.5</v>
      </c>
      <c r="E74" s="450"/>
      <c r="F74" s="330"/>
    </row>
    <row r="75" spans="1:6">
      <c r="A75" s="1298" t="s">
        <v>64</v>
      </c>
      <c r="B75" s="1298" t="s">
        <v>646</v>
      </c>
      <c r="C75" s="1312" t="s">
        <v>650</v>
      </c>
      <c r="D75" s="1313">
        <v>28500708</v>
      </c>
      <c r="E75" s="450"/>
      <c r="F75" s="330"/>
    </row>
    <row r="76" spans="1:6">
      <c r="A76" s="1298" t="s">
        <v>64</v>
      </c>
      <c r="B76" s="1298" t="s">
        <v>647</v>
      </c>
      <c r="C76" s="1312" t="s">
        <v>651</v>
      </c>
      <c r="D76" s="1313">
        <v>1476043.5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332335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3635.3263799590613</v>
      </c>
      <c r="C91" s="330"/>
      <c r="D91" s="330"/>
      <c r="E91" s="330"/>
      <c r="F91" s="330"/>
    </row>
    <row r="92" spans="1:6">
      <c r="A92" s="1293" t="s">
        <v>68</v>
      </c>
      <c r="B92" s="1294">
        <v>1258.8373810384905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1963</v>
      </c>
      <c r="C97" s="330"/>
      <c r="D97" s="330"/>
      <c r="E97" s="330"/>
      <c r="F97" s="330"/>
    </row>
    <row r="98" spans="1:6">
      <c r="A98" s="1298" t="s">
        <v>71</v>
      </c>
      <c r="B98" s="1299">
        <v>1</v>
      </c>
      <c r="C98" s="330"/>
      <c r="D98" s="330"/>
      <c r="E98" s="330"/>
      <c r="F98" s="330"/>
    </row>
    <row r="99" spans="1:6">
      <c r="A99" s="1298" t="s">
        <v>72</v>
      </c>
      <c r="B99" s="1299">
        <v>148</v>
      </c>
      <c r="C99" s="330"/>
      <c r="D99" s="330"/>
      <c r="E99" s="330"/>
      <c r="F99" s="330"/>
    </row>
    <row r="100" spans="1:6">
      <c r="A100" s="1298" t="s">
        <v>73</v>
      </c>
      <c r="B100" s="1299">
        <v>286</v>
      </c>
      <c r="C100" s="330"/>
      <c r="D100" s="330"/>
      <c r="E100" s="330"/>
      <c r="F100" s="330"/>
    </row>
    <row r="101" spans="1:6">
      <c r="A101" s="1298" t="s">
        <v>74</v>
      </c>
      <c r="B101" s="1299">
        <v>126</v>
      </c>
      <c r="C101" s="330"/>
      <c r="D101" s="330"/>
      <c r="E101" s="330"/>
      <c r="F101" s="330"/>
    </row>
    <row r="102" spans="1:6">
      <c r="A102" s="1298" t="s">
        <v>75</v>
      </c>
      <c r="B102" s="1299">
        <v>69</v>
      </c>
      <c r="C102" s="330"/>
      <c r="D102" s="330"/>
      <c r="E102" s="330"/>
      <c r="F102" s="330"/>
    </row>
    <row r="103" spans="1:6">
      <c r="A103" s="1298" t="s">
        <v>76</v>
      </c>
      <c r="B103" s="1299">
        <v>139</v>
      </c>
      <c r="C103" s="330"/>
      <c r="D103" s="330"/>
      <c r="E103" s="330"/>
      <c r="F103" s="330"/>
    </row>
    <row r="104" spans="1:6">
      <c r="A104" s="1298" t="s">
        <v>77</v>
      </c>
      <c r="B104" s="1299">
        <v>1292</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19</v>
      </c>
      <c r="C123" s="1299">
        <v>19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198</v>
      </c>
      <c r="C129" s="330"/>
      <c r="D129" s="330"/>
      <c r="E129" s="330"/>
      <c r="F129" s="330"/>
    </row>
    <row r="130" spans="1:6">
      <c r="A130" s="1298" t="s">
        <v>294</v>
      </c>
      <c r="B130" s="1299">
        <v>4</v>
      </c>
      <c r="C130" s="330"/>
      <c r="D130" s="330"/>
      <c r="E130" s="330"/>
      <c r="F130" s="330"/>
    </row>
    <row r="131" spans="1:6">
      <c r="A131" s="1298" t="s">
        <v>295</v>
      </c>
      <c r="B131" s="1299">
        <v>2</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64823.705510768537</v>
      </c>
      <c r="C3" s="43" t="s">
        <v>169</v>
      </c>
      <c r="D3" s="43"/>
      <c r="E3" s="154"/>
      <c r="F3" s="43"/>
      <c r="G3" s="43"/>
      <c r="H3" s="43"/>
      <c r="I3" s="43"/>
      <c r="J3" s="43"/>
      <c r="K3" s="96"/>
    </row>
    <row r="4" spans="1:11">
      <c r="A4" s="358" t="s">
        <v>170</v>
      </c>
      <c r="B4" s="49">
        <f>IF(ISERROR('SEAP template'!B78+'SEAP template'!C78),0,'SEAP template'!B78+'SEAP template'!C78)</f>
        <v>11589.66376099755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1.9108069542331696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0.18151745477893028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2.7297335863073706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9565.0328185328181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2.8538674546085715E-4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857.91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857.91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0.18151745477893028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155.72563962939208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14383.65742</v>
      </c>
      <c r="C5" s="17">
        <f>IF(ISERROR('Eigen informatie GS &amp; warmtenet'!B59),0,'Eigen informatie GS &amp; warmtenet'!B59)</f>
        <v>0</v>
      </c>
      <c r="D5" s="30">
        <f>(SUM(HH_hh_gas_kWh,HH_rest_gas_kWh)/1000)*0.902</f>
        <v>40397.433219660001</v>
      </c>
      <c r="E5" s="17">
        <f>B46*B57</f>
        <v>16097.092289875358</v>
      </c>
      <c r="F5" s="17">
        <f>B51*B62</f>
        <v>6043.5292375479166</v>
      </c>
      <c r="G5" s="18"/>
      <c r="H5" s="17"/>
      <c r="I5" s="17"/>
      <c r="J5" s="17">
        <f>B50*B61+C50*C61</f>
        <v>366.10108226597299</v>
      </c>
      <c r="K5" s="17"/>
      <c r="L5" s="17"/>
      <c r="M5" s="17"/>
      <c r="N5" s="17">
        <f>B48*B59+C48*C59</f>
        <v>17098.930902957127</v>
      </c>
      <c r="O5" s="17">
        <f>B69*B70*B71</f>
        <v>432.50289182637295</v>
      </c>
      <c r="P5" s="17">
        <f>B77*B78*B79/1000-B77*B78*B79/1000/B80</f>
        <v>400.29045369203089</v>
      </c>
    </row>
    <row r="6" spans="1:16">
      <c r="A6" s="16" t="s">
        <v>611</v>
      </c>
      <c r="B6" s="783">
        <f>kWh_PV_kleiner_dan_10kW</f>
        <v>3635.3263799590613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18018.98379995906</v>
      </c>
      <c r="C8" s="21">
        <f>C5</f>
        <v>0</v>
      </c>
      <c r="D8" s="21">
        <f>D5</f>
        <v>40397.433219660001</v>
      </c>
      <c r="E8" s="21">
        <f>E5</f>
        <v>16097.092289875358</v>
      </c>
      <c r="F8" s="21">
        <f>F5</f>
        <v>6043.5292375479166</v>
      </c>
      <c r="G8" s="21"/>
      <c r="H8" s="21"/>
      <c r="I8" s="21"/>
      <c r="J8" s="21">
        <f>J5</f>
        <v>366.10108226597299</v>
      </c>
      <c r="K8" s="21"/>
      <c r="L8" s="21">
        <f>L5</f>
        <v>0</v>
      </c>
      <c r="M8" s="21">
        <f>M5</f>
        <v>0</v>
      </c>
      <c r="N8" s="21">
        <f>N5</f>
        <v>17098.930902957127</v>
      </c>
      <c r="O8" s="21">
        <f>O5</f>
        <v>432.50289182637295</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0.18151745477893028</v>
      </c>
      <c r="C10" s="25">
        <f ca="1">'EF ele_warmte'!B22</f>
        <v>2.8538674546085715E-4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3270.7600770713457</v>
      </c>
      <c r="C12" s="23">
        <f ca="1">C10*C8</f>
        <v>0</v>
      </c>
      <c r="D12" s="23">
        <f>D8*D10</f>
        <v>8160.281510371321</v>
      </c>
      <c r="E12" s="23">
        <f>E10*E8</f>
        <v>3654.0399498017064</v>
      </c>
      <c r="F12" s="23">
        <f>F10*F8</f>
        <v>1613.6223064252938</v>
      </c>
      <c r="G12" s="23"/>
      <c r="H12" s="23"/>
      <c r="I12" s="23"/>
      <c r="J12" s="23">
        <f>J10*J8</f>
        <v>129.59978312215443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4553</v>
      </c>
      <c r="C28" s="36"/>
      <c r="D28" s="228"/>
    </row>
    <row r="29" spans="1:7" s="15" customFormat="1">
      <c r="A29" s="230" t="s">
        <v>819</v>
      </c>
      <c r="B29" s="37">
        <f>SUM(HH_hh_gas_aantal,HH_rest_gas_aantal)</f>
        <v>3075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3075</v>
      </c>
      <c r="C32" s="167">
        <f>IF(ISERROR(B32/SUM($B$32,$B$34,$B$35,$B$36,$B$38,$B$39)*100),0,B32/SUM($B$32,$B$34,$B$35,$B$36,$B$38,$B$39)*100)</f>
        <v>68.106312292358794</v>
      </c>
      <c r="D32" s="233"/>
      <c r="G32" s="15"/>
    </row>
    <row r="33" spans="1:7">
      <c r="A33" s="171" t="s">
        <v>71</v>
      </c>
      <c r="B33" s="34" t="s">
        <v>110</v>
      </c>
      <c r="C33" s="167"/>
      <c r="D33" s="233"/>
      <c r="G33" s="15"/>
    </row>
    <row r="34" spans="1:7">
      <c r="A34" s="171" t="s">
        <v>72</v>
      </c>
      <c r="B34" s="33">
        <f>IF((($B$28-$B$32-$B$39-$B$77-$B$38)*C20/100)&lt;0,0,($B$28-$B$32-$B$39-$B$77-$B$38)*C20/100)</f>
        <v>296.26428571428579</v>
      </c>
      <c r="C34" s="167">
        <f>IF(ISERROR(B34/SUM($B$32,$B$34,$B$35,$B$36,$B$38,$B$39)*100),0,B34/SUM($B$32,$B$34,$B$35,$B$36,$B$38,$B$39)*100)</f>
        <v>6.5617781996519549</v>
      </c>
      <c r="D34" s="233"/>
      <c r="G34" s="15"/>
    </row>
    <row r="35" spans="1:7">
      <c r="A35" s="171" t="s">
        <v>73</v>
      </c>
      <c r="B35" s="33">
        <f>IF((($B$28-$B$32-$B$39-$B$77-$B$38)*C21/100)&lt;0,0,($B$28-$B$32-$B$39-$B$77-$B$38)*C21/100)</f>
        <v>572.51071428571436</v>
      </c>
      <c r="C35" s="167">
        <f>IF(ISERROR(B35/SUM($B$32,$B$34,$B$35,$B$36,$B$38,$B$39)*100),0,B35/SUM($B$32,$B$34,$B$35,$B$36,$B$38,$B$39)*100)</f>
        <v>12.68019300743553</v>
      </c>
      <c r="D35" s="233"/>
      <c r="G35" s="15"/>
    </row>
    <row r="36" spans="1:7">
      <c r="A36" s="171" t="s">
        <v>74</v>
      </c>
      <c r="B36" s="33">
        <f>IF((($B$28-$B$32-$B$39-$B$77-$B$38)*C22/100)&lt;0,0,($B$28-$B$32-$B$39-$B$77-$B$38)*C22/100)</f>
        <v>252.22500000000002</v>
      </c>
      <c r="C36" s="167">
        <f>IF(ISERROR(B36/SUM($B$32,$B$34,$B$35,$B$36,$B$38,$B$39)*100),0,B36/SUM($B$32,$B$34,$B$35,$B$36,$B$38,$B$39)*100)</f>
        <v>5.5863787375415273</v>
      </c>
      <c r="D36" s="233"/>
      <c r="G36" s="15"/>
    </row>
    <row r="37" spans="1:7">
      <c r="A37" s="171" t="s">
        <v>75</v>
      </c>
      <c r="B37" s="34" t="s">
        <v>110</v>
      </c>
      <c r="C37" s="167"/>
      <c r="D37" s="173"/>
      <c r="G37" s="15"/>
    </row>
    <row r="38" spans="1:7">
      <c r="A38" s="171" t="s">
        <v>76</v>
      </c>
      <c r="B38" s="33">
        <f>IF((B24-(B29-B18)*0.1)&lt;0,0,B24-(B29-B18)*0.1)</f>
        <v>27.799999999999997</v>
      </c>
      <c r="C38" s="167">
        <f>IF(ISERROR(B38/SUM($B$32,$B$34,$B$35,$B$36,$B$38,$B$39)*100),0,B38/SUM($B$32,$B$34,$B$35,$B$36,$B$38,$B$39)*100)</f>
        <v>0.61572535991140631</v>
      </c>
      <c r="D38" s="234"/>
      <c r="G38" s="15"/>
    </row>
    <row r="39" spans="1:7">
      <c r="A39" s="171" t="s">
        <v>77</v>
      </c>
      <c r="B39" s="33">
        <f>IF((B25-(B29-B18))&lt;0,0,B25-(B29-B18)*0.9)</f>
        <v>291.19999999999993</v>
      </c>
      <c r="C39" s="167">
        <f>IF(ISERROR(B39/SUM($B$32,$B$34,$B$35,$B$36,$B$38,$B$39)*100),0,B39/SUM($B$32,$B$34,$B$35,$B$36,$B$38,$B$39)*100)</f>
        <v>6.4496124031007724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3075</v>
      </c>
      <c r="C44" s="34" t="s">
        <v>110</v>
      </c>
      <c r="D44" s="174"/>
    </row>
    <row r="45" spans="1:7">
      <c r="A45" s="171" t="s">
        <v>71</v>
      </c>
      <c r="B45" s="33" t="str">
        <f t="shared" si="0"/>
        <v>-</v>
      </c>
      <c r="C45" s="34" t="s">
        <v>110</v>
      </c>
      <c r="D45" s="174"/>
    </row>
    <row r="46" spans="1:7">
      <c r="A46" s="171" t="s">
        <v>72</v>
      </c>
      <c r="B46" s="33">
        <f t="shared" si="0"/>
        <v>296.26428571428579</v>
      </c>
      <c r="C46" s="34" t="s">
        <v>110</v>
      </c>
      <c r="D46" s="174"/>
    </row>
    <row r="47" spans="1:7">
      <c r="A47" s="171" t="s">
        <v>73</v>
      </c>
      <c r="B47" s="33">
        <f t="shared" si="0"/>
        <v>572.51071428571436</v>
      </c>
      <c r="C47" s="34" t="s">
        <v>110</v>
      </c>
      <c r="D47" s="174"/>
    </row>
    <row r="48" spans="1:7">
      <c r="A48" s="171" t="s">
        <v>74</v>
      </c>
      <c r="B48" s="33">
        <f t="shared" si="0"/>
        <v>252.22500000000002</v>
      </c>
      <c r="C48" s="33">
        <f>B48*10</f>
        <v>2522.25</v>
      </c>
      <c r="D48" s="234"/>
    </row>
    <row r="49" spans="1:6">
      <c r="A49" s="171" t="s">
        <v>75</v>
      </c>
      <c r="B49" s="33" t="str">
        <f t="shared" si="0"/>
        <v>-</v>
      </c>
      <c r="C49" s="34" t="s">
        <v>110</v>
      </c>
      <c r="D49" s="234"/>
    </row>
    <row r="50" spans="1:6">
      <c r="A50" s="171" t="s">
        <v>76</v>
      </c>
      <c r="B50" s="33">
        <f t="shared" si="0"/>
        <v>27.799999999999997</v>
      </c>
      <c r="C50" s="33">
        <f>B50*2</f>
        <v>55.599999999999994</v>
      </c>
      <c r="D50" s="234"/>
    </row>
    <row r="51" spans="1:6">
      <c r="A51" s="171" t="s">
        <v>77</v>
      </c>
      <c r="B51" s="33">
        <f t="shared" si="0"/>
        <v>291.19999999999993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14787.449076000001</v>
      </c>
      <c r="C5" s="17">
        <f>IF(ISERROR('Eigen informatie GS &amp; warmtenet'!B60),0,'Eigen informatie GS &amp; warmtenet'!B60)</f>
        <v>0</v>
      </c>
      <c r="D5" s="30">
        <f>SUM(D6:D12)</f>
        <v>13970.322363030002</v>
      </c>
      <c r="E5" s="17">
        <f>SUM(E6:E12)</f>
        <v>206.64411221965813</v>
      </c>
      <c r="F5" s="17">
        <f>SUM(F6:F12)</f>
        <v>1661.6505025523506</v>
      </c>
      <c r="G5" s="18"/>
      <c r="H5" s="17"/>
      <c r="I5" s="17"/>
      <c r="J5" s="17">
        <f>SUM(J6:J12)</f>
        <v>2.6123577511277883E-2</v>
      </c>
      <c r="K5" s="17"/>
      <c r="L5" s="17"/>
      <c r="M5" s="17"/>
      <c r="N5" s="17">
        <f>SUM(N6:N12)</f>
        <v>1034.302699183836</v>
      </c>
      <c r="O5" s="17">
        <f>B38*B39*B40</f>
        <v>19.589043063364617</v>
      </c>
      <c r="P5" s="17">
        <f>B46*B47*B48/1000-B46*B47*B48/1000/B49</f>
        <v>157.61741491948504</v>
      </c>
      <c r="R5" s="32"/>
    </row>
    <row r="6" spans="1:18">
      <c r="A6" s="32" t="s">
        <v>53</v>
      </c>
      <c r="B6" s="37">
        <f>B26</f>
        <v>1616.9564929999999</v>
      </c>
      <c r="C6" s="33"/>
      <c r="D6" s="37">
        <f>IF(ISERROR(TER_kantoor_gas_kWh/1000),0,TER_kantoor_gas_kWh/1000)*0.902</f>
        <v>2923.6436088640003</v>
      </c>
      <c r="E6" s="33">
        <f>$C$26*'E Balans VL '!I12/100/3.6*1000000</f>
        <v>13.011130462075627</v>
      </c>
      <c r="F6" s="33">
        <f>$C$26*('E Balans VL '!L12+'E Balans VL '!N12)/100/3.6*1000000</f>
        <v>197.68994110697523</v>
      </c>
      <c r="G6" s="34"/>
      <c r="H6" s="33"/>
      <c r="I6" s="33"/>
      <c r="J6" s="33">
        <f>$C$26*('E Balans VL '!D12+'E Balans VL '!E12)/100/3.6*1000000</f>
        <v>0</v>
      </c>
      <c r="K6" s="33"/>
      <c r="L6" s="33"/>
      <c r="M6" s="33"/>
      <c r="N6" s="33">
        <f>$C$26*'E Balans VL '!Y12/100/3.6*1000000</f>
        <v>0.86903448849855269</v>
      </c>
      <c r="O6" s="33"/>
      <c r="P6" s="33"/>
      <c r="R6" s="32"/>
    </row>
    <row r="7" spans="1:18">
      <c r="A7" s="32" t="s">
        <v>52</v>
      </c>
      <c r="B7" s="37">
        <f t="shared" ref="B7:B12" si="0">B27</f>
        <v>1293.5967020000001</v>
      </c>
      <c r="C7" s="33"/>
      <c r="D7" s="37">
        <f>IF(ISERROR(TER_horeca_gas_kWh/1000),0,TER_horeca_gas_kWh/1000)*0.902</f>
        <v>2367.298925134</v>
      </c>
      <c r="E7" s="33">
        <f>$C$27*'E Balans VL '!I9/100/3.6*1000000</f>
        <v>13.890052061325056</v>
      </c>
      <c r="F7" s="33">
        <f>$C$27*('E Balans VL '!L9+'E Balans VL '!N9)/100/3.6*1000000</f>
        <v>155.58831522168848</v>
      </c>
      <c r="G7" s="34"/>
      <c r="H7" s="33"/>
      <c r="I7" s="33"/>
      <c r="J7" s="33">
        <f>$C$27*('E Balans VL '!D9+'E Balans VL '!E9)/100/3.6*1000000</f>
        <v>0</v>
      </c>
      <c r="K7" s="33"/>
      <c r="L7" s="33"/>
      <c r="M7" s="33"/>
      <c r="N7" s="33">
        <f>$C$27*'E Balans VL '!Y9/100/3.6*1000000</f>
        <v>0.1939363637910595</v>
      </c>
      <c r="O7" s="33"/>
      <c r="P7" s="33"/>
      <c r="R7" s="32"/>
    </row>
    <row r="8" spans="1:18">
      <c r="A8" s="6" t="s">
        <v>51</v>
      </c>
      <c r="B8" s="37">
        <f t="shared" si="0"/>
        <v>3050.2846669999999</v>
      </c>
      <c r="C8" s="33"/>
      <c r="D8" s="37">
        <f>IF(ISERROR(TER_handel_gas_kWh/1000),0,TER_handel_gas_kWh/1000)*0.902</f>
        <v>1379.0021524399999</v>
      </c>
      <c r="E8" s="33">
        <f>$C$28*'E Balans VL '!I13/100/3.6*1000000</f>
        <v>81.860302106361431</v>
      </c>
      <c r="F8" s="33">
        <f>$C$28*('E Balans VL '!L13+'E Balans VL '!N13)/100/3.6*1000000</f>
        <v>291.09116942931826</v>
      </c>
      <c r="G8" s="34"/>
      <c r="H8" s="33"/>
      <c r="I8" s="33"/>
      <c r="J8" s="33">
        <f>$C$28*('E Balans VL '!D13+'E Balans VL '!E13)/100/3.6*1000000</f>
        <v>0</v>
      </c>
      <c r="K8" s="33"/>
      <c r="L8" s="33"/>
      <c r="M8" s="33"/>
      <c r="N8" s="33">
        <f>$C$28*'E Balans VL '!Y13/100/3.6*1000000</f>
        <v>1.2091675249112896</v>
      </c>
      <c r="O8" s="33"/>
      <c r="P8" s="33"/>
      <c r="R8" s="32"/>
    </row>
    <row r="9" spans="1:18">
      <c r="A9" s="32" t="s">
        <v>50</v>
      </c>
      <c r="B9" s="37">
        <f t="shared" si="0"/>
        <v>815.96463300000005</v>
      </c>
      <c r="C9" s="33"/>
      <c r="D9" s="37">
        <f>IF(ISERROR(TER_gezond_gas_kWh/1000),0,TER_gezond_gas_kWh/1000)*0.902</f>
        <v>1919.1252320900001</v>
      </c>
      <c r="E9" s="33">
        <f>$C$29*'E Balans VL '!I10/100/3.6*1000000</f>
        <v>1.5293834118637573</v>
      </c>
      <c r="F9" s="33">
        <f>$C$29*('E Balans VL '!L10+'E Balans VL '!N10)/100/3.6*1000000</f>
        <v>67.079737936206214</v>
      </c>
      <c r="G9" s="34"/>
      <c r="H9" s="33"/>
      <c r="I9" s="33"/>
      <c r="J9" s="33">
        <f>$C$29*('E Balans VL '!D10+'E Balans VL '!E10)/100/3.6*1000000</f>
        <v>0</v>
      </c>
      <c r="K9" s="33"/>
      <c r="L9" s="33"/>
      <c r="M9" s="33"/>
      <c r="N9" s="33">
        <f>$C$29*'E Balans VL '!Y10/100/3.6*1000000</f>
        <v>6.3488136418324164</v>
      </c>
      <c r="O9" s="33"/>
      <c r="P9" s="33"/>
      <c r="R9" s="32"/>
    </row>
    <row r="10" spans="1:18">
      <c r="A10" s="32" t="s">
        <v>49</v>
      </c>
      <c r="B10" s="37">
        <f t="shared" si="0"/>
        <v>727.57724199999996</v>
      </c>
      <c r="C10" s="33"/>
      <c r="D10" s="37">
        <f>IF(ISERROR(TER_ander_gas_kWh/1000),0,TER_ander_gas_kWh/1000)*0.902</f>
        <v>381.10012155599998</v>
      </c>
      <c r="E10" s="33">
        <f>$C$30*'E Balans VL '!I14/100/3.6*1000000</f>
        <v>1.1215676909692798</v>
      </c>
      <c r="F10" s="33">
        <f>$C$30*('E Balans VL '!L14+'E Balans VL '!N14)/100/3.6*1000000</f>
        <v>112.95656767924062</v>
      </c>
      <c r="G10" s="34"/>
      <c r="H10" s="33"/>
      <c r="I10" s="33"/>
      <c r="J10" s="33">
        <f>$C$30*('E Balans VL '!D14+'E Balans VL '!E14)/100/3.6*1000000</f>
        <v>1.2351391003953206E-2</v>
      </c>
      <c r="K10" s="33"/>
      <c r="L10" s="33"/>
      <c r="M10" s="33"/>
      <c r="N10" s="33">
        <f>$C$30*'E Balans VL '!Y14/100/3.6*1000000</f>
        <v>481.34178463163249</v>
      </c>
      <c r="O10" s="33"/>
      <c r="P10" s="33"/>
      <c r="R10" s="32"/>
    </row>
    <row r="11" spans="1:18">
      <c r="A11" s="32" t="s">
        <v>54</v>
      </c>
      <c r="B11" s="37">
        <f t="shared" si="0"/>
        <v>96.757456000000005</v>
      </c>
      <c r="C11" s="33"/>
      <c r="D11" s="37">
        <f>IF(ISERROR(TER_onderwijs_gas_kWh/1000),0,TER_onderwijs_gas_kWh/1000)*0.902</f>
        <v>286.34595242000006</v>
      </c>
      <c r="E11" s="33">
        <f>$C$31*'E Balans VL '!I11/100/3.6*1000000</f>
        <v>2.4679759868848272</v>
      </c>
      <c r="F11" s="33">
        <f>$C$31*('E Balans VL '!L11+'E Balans VL '!N11)/100/3.6*1000000</f>
        <v>11.635994799857146</v>
      </c>
      <c r="G11" s="34"/>
      <c r="H11" s="33"/>
      <c r="I11" s="33"/>
      <c r="J11" s="33">
        <f>$C$31*('E Balans VL '!D11+'E Balans VL '!E11)/100/3.6*1000000</f>
        <v>0</v>
      </c>
      <c r="K11" s="33"/>
      <c r="L11" s="33"/>
      <c r="M11" s="33"/>
      <c r="N11" s="33">
        <f>$C$31*'E Balans VL '!Y11/100/3.6*1000000</f>
        <v>0.21518622124173045</v>
      </c>
      <c r="O11" s="33"/>
      <c r="P11" s="33"/>
      <c r="R11" s="32"/>
    </row>
    <row r="12" spans="1:18">
      <c r="A12" s="32" t="s">
        <v>259</v>
      </c>
      <c r="B12" s="37">
        <f t="shared" si="0"/>
        <v>7186.3118830000003</v>
      </c>
      <c r="C12" s="33"/>
      <c r="D12" s="37">
        <f>IF(ISERROR(TER_rest_gas_kWh/1000),0,TER_rest_gas_kWh/1000)*0.902</f>
        <v>4713.8063705259992</v>
      </c>
      <c r="E12" s="33">
        <f>$C$32*'E Balans VL '!I8/100/3.6*1000000</f>
        <v>92.763700500178132</v>
      </c>
      <c r="F12" s="33">
        <f>$C$32*('E Balans VL '!L8+'E Balans VL '!N8)/100/3.6*1000000</f>
        <v>825.60877637906458</v>
      </c>
      <c r="G12" s="34"/>
      <c r="H12" s="33"/>
      <c r="I12" s="33"/>
      <c r="J12" s="33">
        <f>$C$32*('E Balans VL '!D8+'E Balans VL '!E8)/100/3.6*1000000</f>
        <v>1.3772186507324679E-2</v>
      </c>
      <c r="K12" s="33"/>
      <c r="L12" s="33"/>
      <c r="M12" s="33"/>
      <c r="N12" s="33">
        <f>$C$32*'E Balans VL '!Y8/100/3.6*1000000</f>
        <v>544.1247763119286</v>
      </c>
      <c r="O12" s="33"/>
      <c r="P12" s="33"/>
      <c r="R12" s="32"/>
    </row>
    <row r="13" spans="1:18">
      <c r="A13" s="16" t="s">
        <v>478</v>
      </c>
      <c r="B13" s="247">
        <f ca="1">'lokale energieproductie'!N39+'lokale energieproductie'!N32</f>
        <v>6695.5</v>
      </c>
      <c r="C13" s="247">
        <f ca="1">'lokale energieproductie'!O39+'lokale energieproductie'!O32</f>
        <v>9565.0328185328181</v>
      </c>
      <c r="D13" s="308">
        <f ca="1">('lokale energieproductie'!P32+'lokale energieproductie'!P39)*(-1)</f>
        <v>-22.972972972972972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-19105.714285714286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21482.949076000001</v>
      </c>
      <c r="C16" s="21">
        <f t="shared" ca="1" si="1"/>
        <v>9565.0328185328181</v>
      </c>
      <c r="D16" s="21">
        <f t="shared" ca="1" si="1"/>
        <v>13947.349390057028</v>
      </c>
      <c r="E16" s="21">
        <f t="shared" si="1"/>
        <v>206.64411221965813</v>
      </c>
      <c r="F16" s="21">
        <f t="shared" ca="1" si="1"/>
        <v>1661.6505025523506</v>
      </c>
      <c r="G16" s="21">
        <f t="shared" si="1"/>
        <v>0</v>
      </c>
      <c r="H16" s="21">
        <f t="shared" si="1"/>
        <v>0</v>
      </c>
      <c r="I16" s="21">
        <f t="shared" si="1"/>
        <v>0</v>
      </c>
      <c r="J16" s="21">
        <f t="shared" si="1"/>
        <v>2.6123577511277883E-2</v>
      </c>
      <c r="K16" s="21">
        <f t="shared" si="1"/>
        <v>0</v>
      </c>
      <c r="L16" s="21">
        <f t="shared" ca="1" si="1"/>
        <v>0</v>
      </c>
      <c r="M16" s="21">
        <f t="shared" si="1"/>
        <v>0</v>
      </c>
      <c r="N16" s="21">
        <f t="shared" ca="1" si="1"/>
        <v>0</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0.18151745477893028</v>
      </c>
      <c r="C18" s="25">
        <f ca="1">'EF ele_warmte'!B22</f>
        <v>2.8538674546085715E-4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3899.5302374208923</v>
      </c>
      <c r="C20" s="23">
        <f t="shared" ref="C20:P20" ca="1" si="2">C16*C18</f>
        <v>2.7297335863073706</v>
      </c>
      <c r="D20" s="23">
        <f t="shared" ca="1" si="2"/>
        <v>2817.36457679152</v>
      </c>
      <c r="E20" s="23">
        <f t="shared" si="2"/>
        <v>46.908213473862396</v>
      </c>
      <c r="F20" s="23">
        <f t="shared" ca="1" si="2"/>
        <v>443.66068418147762</v>
      </c>
      <c r="G20" s="23">
        <f t="shared" si="2"/>
        <v>0</v>
      </c>
      <c r="H20" s="23">
        <f t="shared" si="2"/>
        <v>0</v>
      </c>
      <c r="I20" s="23">
        <f t="shared" si="2"/>
        <v>0</v>
      </c>
      <c r="J20" s="23">
        <f t="shared" si="2"/>
        <v>9.2477464389923696E-3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1616.9564929999999</v>
      </c>
      <c r="C26" s="39">
        <f>IF(ISERROR(B26*3.6/1000000/'E Balans VL '!Z12*100),0,B26*3.6/1000000/'E Balans VL '!Z12*100)</f>
        <v>3.4302252653682551E-2</v>
      </c>
      <c r="D26" s="237" t="s">
        <v>708</v>
      </c>
      <c r="F26" s="6"/>
    </row>
    <row r="27" spans="1:18">
      <c r="A27" s="231" t="s">
        <v>52</v>
      </c>
      <c r="B27" s="33">
        <f>IF(ISERROR(TER_horeca_ele_kWh/1000),0,TER_horeca_ele_kWh/1000)</f>
        <v>1293.5967020000001</v>
      </c>
      <c r="C27" s="39">
        <f>IF(ISERROR(B27*3.6/1000000/'E Balans VL '!Z9*100),0,B27*3.6/1000000/'E Balans VL '!Z9*100)</f>
        <v>9.7419290995467561E-2</v>
      </c>
      <c r="D27" s="237" t="s">
        <v>708</v>
      </c>
      <c r="F27" s="6"/>
    </row>
    <row r="28" spans="1:18">
      <c r="A28" s="171" t="s">
        <v>51</v>
      </c>
      <c r="B28" s="33">
        <f>IF(ISERROR(TER_handel_ele_kWh/1000),0,TER_handel_ele_kWh/1000)</f>
        <v>3050.2846669999999</v>
      </c>
      <c r="C28" s="39">
        <f>IF(ISERROR(B28*3.6/1000000/'E Balans VL '!Z13*100),0,B28*3.6/1000000/'E Balans VL '!Z13*100)</f>
        <v>8.8538955881175024E-2</v>
      </c>
      <c r="D28" s="237" t="s">
        <v>708</v>
      </c>
      <c r="F28" s="6"/>
    </row>
    <row r="29" spans="1:18">
      <c r="A29" s="231" t="s">
        <v>50</v>
      </c>
      <c r="B29" s="33">
        <f>IF(ISERROR(TER_gezond_ele_kWh/1000),0,TER_gezond_ele_kWh/1000)</f>
        <v>815.96463300000005</v>
      </c>
      <c r="C29" s="39">
        <f>IF(ISERROR(B29*3.6/1000000/'E Balans VL '!Z10*100),0,B29*3.6/1000000/'E Balans VL '!Z10*100)</f>
        <v>8.2291006315507426E-2</v>
      </c>
      <c r="D29" s="237" t="s">
        <v>708</v>
      </c>
      <c r="F29" s="6"/>
    </row>
    <row r="30" spans="1:18">
      <c r="A30" s="231" t="s">
        <v>49</v>
      </c>
      <c r="B30" s="33">
        <f>IF(ISERROR(TER_ander_ele_kWh/1000),0,TER_ander_ele_kWh/1000)</f>
        <v>727.57724199999996</v>
      </c>
      <c r="C30" s="39">
        <f>IF(ISERROR(B30*3.6/1000000/'E Balans VL '!Z14*100),0,B30*3.6/1000000/'E Balans VL '!Z14*100)</f>
        <v>5.2795654880658592E-2</v>
      </c>
      <c r="D30" s="237" t="s">
        <v>708</v>
      </c>
      <c r="F30" s="6"/>
    </row>
    <row r="31" spans="1:18">
      <c r="A31" s="231" t="s">
        <v>54</v>
      </c>
      <c r="B31" s="33">
        <f>IF(ISERROR(TER_onderwijs_ele_kWh/1000),0,TER_onderwijs_ele_kWh/1000)</f>
        <v>96.757456000000005</v>
      </c>
      <c r="C31" s="39">
        <f>IF(ISERROR(B31*3.6/1000000/'E Balans VL '!Z11*100),0,B31*3.6/1000000/'E Balans VL '!Z11*100)</f>
        <v>2.7579815107075856E-2</v>
      </c>
      <c r="D31" s="237" t="s">
        <v>708</v>
      </c>
    </row>
    <row r="32" spans="1:18">
      <c r="A32" s="231" t="s">
        <v>259</v>
      </c>
      <c r="B32" s="33">
        <f>IF(ISERROR(TER_rest_ele_kWh/1000),0,TER_rest_ele_kWh/1000)</f>
        <v>7186.3118830000003</v>
      </c>
      <c r="C32" s="39">
        <f>IF(ISERROR(B32*3.6/1000000/'E Balans VL '!Z8*100),0,B32*3.6/1000000/'E Balans VL '!Z8*100)</f>
        <v>5.8868803162336621E-2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21549.129613000005</v>
      </c>
      <c r="C5" s="17">
        <f>IF(ISERROR('Eigen informatie GS &amp; warmtenet'!B61),0,'Eigen informatie GS &amp; warmtenet'!B61)</f>
        <v>0</v>
      </c>
      <c r="D5" s="30">
        <f>SUM(D6:D15)</f>
        <v>18576.943330307997</v>
      </c>
      <c r="E5" s="17">
        <f>SUM(E6:E15)</f>
        <v>1442.0415511867691</v>
      </c>
      <c r="F5" s="17">
        <f>SUM(F6:F15)</f>
        <v>5067.4096223273518</v>
      </c>
      <c r="G5" s="18"/>
      <c r="H5" s="17"/>
      <c r="I5" s="17"/>
      <c r="J5" s="17">
        <f>SUM(J6:J15)</f>
        <v>146.98766999219308</v>
      </c>
      <c r="K5" s="17"/>
      <c r="L5" s="17"/>
      <c r="M5" s="17"/>
      <c r="N5" s="17">
        <f>SUM(N6:N15)</f>
        <v>884.26698942652206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1406.1440220000002</v>
      </c>
      <c r="C8" s="33"/>
      <c r="D8" s="37">
        <f>IF( ISERROR(IND_metaal_Gas_kWH/1000),0,IND_metaal_Gas_kWH/1000)*0.902</f>
        <v>398.84941597599999</v>
      </c>
      <c r="E8" s="33">
        <f>C30*'E Balans VL '!I18/100/3.6*1000000</f>
        <v>10.144342194617865</v>
      </c>
      <c r="F8" s="33">
        <f>C30*'E Balans VL '!L18/100/3.6*1000000+C30*'E Balans VL '!N18/100/3.6*1000000</f>
        <v>132.99529700165976</v>
      </c>
      <c r="G8" s="34"/>
      <c r="H8" s="33"/>
      <c r="I8" s="33"/>
      <c r="J8" s="40">
        <f>C30*'E Balans VL '!D18/100/3.6*1000000+C30*'E Balans VL '!E18/100/3.6*1000000</f>
        <v>1.4143078287090927</v>
      </c>
      <c r="K8" s="33"/>
      <c r="L8" s="33"/>
      <c r="M8" s="33"/>
      <c r="N8" s="33">
        <f>C30*'E Balans VL '!Y18/100/3.6*1000000</f>
        <v>17.777380727871204</v>
      </c>
      <c r="O8" s="33"/>
      <c r="P8" s="33"/>
      <c r="R8" s="32"/>
    </row>
    <row r="9" spans="1:18">
      <c r="A9" s="6" t="s">
        <v>32</v>
      </c>
      <c r="B9" s="37">
        <f t="shared" si="0"/>
        <v>2157.9250690000003</v>
      </c>
      <c r="C9" s="33"/>
      <c r="D9" s="37">
        <f>IF( ISERROR(IND_andere_gas_kWh/1000),0,IND_andere_gas_kWh/1000)*0.902</f>
        <v>924.23154258600005</v>
      </c>
      <c r="E9" s="33">
        <f>C31*'E Balans VL '!I19/100/3.6*1000000</f>
        <v>597.98989169310062</v>
      </c>
      <c r="F9" s="33">
        <f>C31*'E Balans VL '!L19/100/3.6*1000000+C31*'E Balans VL '!N19/100/3.6*1000000</f>
        <v>1788.4929604992144</v>
      </c>
      <c r="G9" s="34"/>
      <c r="H9" s="33"/>
      <c r="I9" s="33"/>
      <c r="J9" s="40">
        <f>C31*'E Balans VL '!D19/100/3.6*1000000+C31*'E Balans VL '!E19/100/3.6*1000000</f>
        <v>0</v>
      </c>
      <c r="K9" s="33"/>
      <c r="L9" s="33"/>
      <c r="M9" s="33"/>
      <c r="N9" s="33">
        <f>C31*'E Balans VL '!Y19/100/3.6*1000000</f>
        <v>156.6389657284071</v>
      </c>
      <c r="O9" s="33"/>
      <c r="P9" s="33"/>
      <c r="R9" s="32"/>
    </row>
    <row r="10" spans="1:18">
      <c r="A10" s="6" t="s">
        <v>40</v>
      </c>
      <c r="B10" s="37">
        <f t="shared" si="0"/>
        <v>95.771770999999987</v>
      </c>
      <c r="C10" s="33"/>
      <c r="D10" s="37">
        <f>IF( ISERROR(IND_voed_gas_kWh/1000),0,IND_voed_gas_kWh/1000)*0.902</f>
        <v>156.754018586</v>
      </c>
      <c r="E10" s="33">
        <f>C32*'E Balans VL '!I20/100/3.6*1000000</f>
        <v>0.1695484746486576</v>
      </c>
      <c r="F10" s="33">
        <f>C32*'E Balans VL '!L20/100/3.6*1000000+C32*'E Balans VL '!N20/100/3.6*1000000</f>
        <v>5.172524451592353</v>
      </c>
      <c r="G10" s="34"/>
      <c r="H10" s="33"/>
      <c r="I10" s="33"/>
      <c r="J10" s="40">
        <f>C32*'E Balans VL '!D20/100/3.6*1000000+C32*'E Balans VL '!E20/100/3.6*1000000</f>
        <v>0</v>
      </c>
      <c r="K10" s="33"/>
      <c r="L10" s="33"/>
      <c r="M10" s="33"/>
      <c r="N10" s="33">
        <f>C32*'E Balans VL '!Y20/100/3.6*1000000</f>
        <v>5.5650713132292458</v>
      </c>
      <c r="O10" s="33"/>
      <c r="P10" s="33"/>
      <c r="R10" s="32"/>
    </row>
    <row r="11" spans="1:18">
      <c r="A11" s="6" t="s">
        <v>39</v>
      </c>
      <c r="B11" s="37">
        <f t="shared" si="0"/>
        <v>267.98383100000001</v>
      </c>
      <c r="C11" s="33"/>
      <c r="D11" s="37">
        <f>IF( ISERROR(IND_textiel_gas_kWh/1000),0,IND_textiel_gas_kWh/1000)*0.902</f>
        <v>0</v>
      </c>
      <c r="E11" s="33">
        <f>C33*'E Balans VL '!I21/100/3.6*1000000</f>
        <v>0.94467081964872512</v>
      </c>
      <c r="F11" s="33">
        <f>C33*'E Balans VL '!L21/100/3.6*1000000+C33*'E Balans VL '!N21/100/3.6*1000000</f>
        <v>7.8657261725108256</v>
      </c>
      <c r="G11" s="34"/>
      <c r="H11" s="33"/>
      <c r="I11" s="33"/>
      <c r="J11" s="40">
        <f>C33*'E Balans VL '!D21/100/3.6*1000000+C33*'E Balans VL '!E21/100/3.6*1000000</f>
        <v>0</v>
      </c>
      <c r="K11" s="33"/>
      <c r="L11" s="33"/>
      <c r="M11" s="33"/>
      <c r="N11" s="33">
        <f>C33*'E Balans VL '!Y21/100/3.6*1000000</f>
        <v>11.807329232972423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17621.304920000002</v>
      </c>
      <c r="C15" s="33"/>
      <c r="D15" s="37">
        <f>IF( ISERROR(IND_rest_gas_kWh/1000),0,IND_rest_gas_kWh/1000)*0.902</f>
        <v>17097.108353159998</v>
      </c>
      <c r="E15" s="33">
        <f>C37*'E Balans VL '!I15/100/3.6*1000000</f>
        <v>832.79309800475323</v>
      </c>
      <c r="F15" s="33">
        <f>C37*'E Balans VL '!L15/100/3.6*1000000+C37*'E Balans VL '!N15/100/3.6*1000000</f>
        <v>3132.8831142023746</v>
      </c>
      <c r="G15" s="34"/>
      <c r="H15" s="33"/>
      <c r="I15" s="33"/>
      <c r="J15" s="40">
        <f>C37*'E Balans VL '!D15/100/3.6*1000000+C37*'E Balans VL '!E15/100/3.6*1000000</f>
        <v>145.57336216348398</v>
      </c>
      <c r="K15" s="33"/>
      <c r="L15" s="33"/>
      <c r="M15" s="33"/>
      <c r="N15" s="33">
        <f>C37*'E Balans VL '!Y15/100/3.6*1000000</f>
        <v>692.47824242404215</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21549.129613000005</v>
      </c>
      <c r="C18" s="21">
        <f>C5+C16</f>
        <v>0</v>
      </c>
      <c r="D18" s="21">
        <f>MAX((D5+D16),0)</f>
        <v>18576.943330307997</v>
      </c>
      <c r="E18" s="21">
        <f>MAX((E5+E16),0)</f>
        <v>1442.0415511867691</v>
      </c>
      <c r="F18" s="21">
        <f>MAX((F5+F16),0)</f>
        <v>5067.4096223273518</v>
      </c>
      <c r="G18" s="21"/>
      <c r="H18" s="21"/>
      <c r="I18" s="21"/>
      <c r="J18" s="21">
        <f>MAX((J5+J16),0)</f>
        <v>146.98766999219308</v>
      </c>
      <c r="K18" s="21"/>
      <c r="L18" s="21">
        <f>MAX((L5+L16),0)</f>
        <v>0</v>
      </c>
      <c r="M18" s="21"/>
      <c r="N18" s="21">
        <f>MAX((N5+N16),0)</f>
        <v>884.26698942652206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0.18151745477893028</v>
      </c>
      <c r="C20" s="25">
        <f ca="1">'EF ele_warmte'!B22</f>
        <v>2.8538674546085715E-4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3911.5431600530355</v>
      </c>
      <c r="C22" s="23">
        <f ca="1">C18*C20</f>
        <v>0</v>
      </c>
      <c r="D22" s="23">
        <f>D18*D20</f>
        <v>3752.5425527222155</v>
      </c>
      <c r="E22" s="23">
        <f>E18*E20</f>
        <v>327.3434321193966</v>
      </c>
      <c r="F22" s="23">
        <f>F18*F20</f>
        <v>1352.9983691614029</v>
      </c>
      <c r="G22" s="23"/>
      <c r="H22" s="23"/>
      <c r="I22" s="23"/>
      <c r="J22" s="23">
        <f>J18*J20</f>
        <v>52.033635177236349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1406.1440220000002</v>
      </c>
      <c r="C30" s="39">
        <f>IF(ISERROR(B30*3.6/1000000/'E Balans VL '!Z18*100),0,B30*3.6/1000000/'E Balans VL '!Z18*100)</f>
        <v>8.1174500316514686E-2</v>
      </c>
      <c r="D30" s="237" t="s">
        <v>708</v>
      </c>
    </row>
    <row r="31" spans="1:18">
      <c r="A31" s="6" t="s">
        <v>32</v>
      </c>
      <c r="B31" s="37">
        <f>IF( ISERROR(IND_ander_ele_kWh/1000),0,IND_ander_ele_kWh/1000)</f>
        <v>2157.9250690000003</v>
      </c>
      <c r="C31" s="39">
        <f>IF(ISERROR(B31*3.6/1000000/'E Balans VL '!Z19*100),0,B31*3.6/1000000/'E Balans VL '!Z19*100)</f>
        <v>0.10853663632742826</v>
      </c>
      <c r="D31" s="237" t="s">
        <v>708</v>
      </c>
    </row>
    <row r="32" spans="1:18">
      <c r="A32" s="171" t="s">
        <v>40</v>
      </c>
      <c r="B32" s="37">
        <f>IF( ISERROR(IND_voed_ele_kWh/1000),0,IND_voed_ele_kWh/1000)</f>
        <v>95.771770999999987</v>
      </c>
      <c r="C32" s="39">
        <f>IF(ISERROR(B32*3.6/1000000/'E Balans VL '!Z20*100),0,B32*3.6/1000000/'E Balans VL '!Z20*100)</f>
        <v>3.1897686908357726E-3</v>
      </c>
      <c r="D32" s="237" t="s">
        <v>708</v>
      </c>
    </row>
    <row r="33" spans="1:5">
      <c r="A33" s="171" t="s">
        <v>39</v>
      </c>
      <c r="B33" s="37">
        <f>IF( ISERROR(IND_textiel_ele_kWh/1000),0,IND_textiel_ele_kWh/1000)</f>
        <v>267.98383100000001</v>
      </c>
      <c r="C33" s="39">
        <f>IF(ISERROR(B33*3.6/1000000/'E Balans VL '!Z21*100),0,B33*3.6/1000000/'E Balans VL '!Z21*100)</f>
        <v>4.1782089998758855E-2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17621.304920000002</v>
      </c>
      <c r="C37" s="39">
        <f>IF(ISERROR(B37*3.6/1000000/'E Balans VL '!Z15*100),0,B37*3.6/1000000/'E Balans VL '!Z15*100)</f>
        <v>0.13749436614609756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2258.1525470000001</v>
      </c>
      <c r="C5" s="17">
        <f>'Eigen informatie GS &amp; warmtenet'!B62</f>
        <v>0</v>
      </c>
      <c r="D5" s="30">
        <f>IF(ISERROR(SUM(LB_lb_gas_kWh,LB_rest_gas_kWh)/1000),0,SUM(LB_lb_gas_kWh,LB_rest_gas_kWh)/1000)*0.902</f>
        <v>202.03527097599999</v>
      </c>
      <c r="E5" s="17">
        <f>B17*'E Balans VL '!I25/3.6*1000000/100</f>
        <v>70.476196345025514</v>
      </c>
      <c r="F5" s="17">
        <f>B17*('E Balans VL '!L25/3.6*1000000+'E Balans VL '!N25/3.6*1000000)/100</f>
        <v>7980.5612524890739</v>
      </c>
      <c r="G5" s="18"/>
      <c r="H5" s="17"/>
      <c r="I5" s="17"/>
      <c r="J5" s="17">
        <f>('E Balans VL '!D25+'E Balans VL '!E25)/3.6*1000000*landbouw!B17/100</f>
        <v>622.13668684916888</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2258.1525470000001</v>
      </c>
      <c r="C8" s="21">
        <f>C5+C6</f>
        <v>0</v>
      </c>
      <c r="D8" s="21">
        <f>MAX((D5+D6),0)</f>
        <v>202.03527097599999</v>
      </c>
      <c r="E8" s="21">
        <f>MAX((E5+E6),0)</f>
        <v>70.476196345025514</v>
      </c>
      <c r="F8" s="21">
        <f>MAX((F5+F6),0)</f>
        <v>7980.5612524890739</v>
      </c>
      <c r="G8" s="21"/>
      <c r="H8" s="21"/>
      <c r="I8" s="21"/>
      <c r="J8" s="21">
        <f>MAX((J5+J6),0)</f>
        <v>622.13668684916888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0.18151745477893028</v>
      </c>
      <c r="C10" s="31">
        <f ca="1">'EF ele_warmte'!B22</f>
        <v>2.8538674546085715E-4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409.89410283399877</v>
      </c>
      <c r="C12" s="23">
        <f ca="1">C8*C10</f>
        <v>0</v>
      </c>
      <c r="D12" s="23">
        <f>D8*D10</f>
        <v>40.811124737151999</v>
      </c>
      <c r="E12" s="23">
        <f>E8*E10</f>
        <v>15.998096570320792</v>
      </c>
      <c r="F12" s="23">
        <f>F8*F10</f>
        <v>2130.8098544145828</v>
      </c>
      <c r="G12" s="23"/>
      <c r="H12" s="23"/>
      <c r="I12" s="23"/>
      <c r="J12" s="23">
        <f>J8*J10</f>
        <v>220.23638714460577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0.33569056408236675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329.66645481412462</v>
      </c>
      <c r="C26" s="247">
        <f>B26*'GWP N2O_CH4'!B5</f>
        <v>6922.9955510966174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232.09254096652245</v>
      </c>
      <c r="C27" s="247">
        <f>B27*'GWP N2O_CH4'!B5</f>
        <v>4873.9433602969712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4.7159378730371619</v>
      </c>
      <c r="C28" s="247">
        <f>B28*'GWP N2O_CH4'!B4</f>
        <v>1461.9407406415203</v>
      </c>
      <c r="D28" s="50"/>
    </row>
    <row r="29" spans="1:4">
      <c r="A29" s="41" t="s">
        <v>276</v>
      </c>
      <c r="B29" s="247">
        <f>B34*'ha_N2O bodem landbouw'!B4</f>
        <v>17.005096109036092</v>
      </c>
      <c r="C29" s="247">
        <f>B29*'GWP N2O_CH4'!B4</f>
        <v>5271.5797938011883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3.728911406840345E-3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6.3436333714118155E-5</v>
      </c>
      <c r="C5" s="437" t="s">
        <v>210</v>
      </c>
      <c r="D5" s="422">
        <f>SUM(D6:D11)</f>
        <v>3.1410396447447195E-4</v>
      </c>
      <c r="E5" s="422">
        <f>SUM(E6:E11)</f>
        <v>2.5720018882215904E-4</v>
      </c>
      <c r="F5" s="435" t="s">
        <v>210</v>
      </c>
      <c r="G5" s="422">
        <f>SUM(G6:G11)</f>
        <v>0.10176088545073889</v>
      </c>
      <c r="H5" s="422">
        <f>SUM(H6:H11)</f>
        <v>2.9006180869226829E-2</v>
      </c>
      <c r="I5" s="437" t="s">
        <v>210</v>
      </c>
      <c r="J5" s="437" t="s">
        <v>210</v>
      </c>
      <c r="K5" s="437" t="s">
        <v>210</v>
      </c>
      <c r="L5" s="437" t="s">
        <v>210</v>
      </c>
      <c r="M5" s="422">
        <f>SUM(M6:M11)</f>
        <v>7.7861959481107818E-3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1.436551189687955E-5</v>
      </c>
      <c r="C6" s="423"/>
      <c r="D6" s="890">
        <f>vkm_GW_PW*SUMIFS(TableVerdeelsleutelVkm[CNG],TableVerdeelsleutelVkm[Voertuigtype],"Lichte voertuigen")*SUMIFS(TableECFTransport[EnergieConsumptieFactor (PJ per km)],TableECFTransport[Index],CONCATENATE($A6,"_CNG_CNG"))</f>
        <v>4.6277094566857333E-5</v>
      </c>
      <c r="E6" s="890">
        <f>vkm_GW_PW*SUMIFS(TableVerdeelsleutelVkm[LPG],TableVerdeelsleutelVkm[Voertuigtype],"Lichte voertuigen")*SUMIFS(TableECFTransport[EnergieConsumptieFactor (PJ per km)],TableECFTransport[Index],CONCATENATE($A6,"_LPG_LPG"))</f>
        <v>3.9575088731629377E-5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1.2784710226742338E-2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4.3352168291058745E-3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1.0239716487143711E-3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5.2431053972335955E-3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7.497169946409651E-8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3.0222521165333037E-4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4.9070821817238599E-5</v>
      </c>
      <c r="C8" s="423"/>
      <c r="D8" s="425">
        <f>vkm_NGW_PW*SUMIFS(TableVerdeelsleutelVkm[CNG],TableVerdeelsleutelVkm[Voertuigtype],"Lichte voertuigen")*SUMIFS(TableECFTransport[EnergieConsumptieFactor (PJ per km)],TableECFTransport[Index],CONCATENATE($A8,"_CNG_CNG"))</f>
        <v>2.6782686990761462E-4</v>
      </c>
      <c r="E8" s="425">
        <f>vkm_NGW_PW*SUMIFS(TableVerdeelsleutelVkm[LPG],TableVerdeelsleutelVkm[Voertuigtype],"Lichte voertuigen")*SUMIFS(TableECFTransport[EnergieConsumptieFactor (PJ per km)],TableECFTransport[Index],CONCATENATE($A8,"_LPG_LPG"))</f>
        <v>2.1762510009052966E-4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6.5694513338723753E-2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2.4670562031972411E-2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5.4202087100282135E-3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1.8038556488039207E-2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3.2703644908253889E-7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1.0397903777148668E-3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17.621203809477265</v>
      </c>
      <c r="C14" s="21"/>
      <c r="D14" s="21">
        <f t="shared" ref="D14:M14" si="0">((D5)*10^9/3600)+D12</f>
        <v>87.251101242908874</v>
      </c>
      <c r="E14" s="21">
        <f t="shared" si="0"/>
        <v>71.444496895044182</v>
      </c>
      <c r="F14" s="21"/>
      <c r="G14" s="21">
        <f t="shared" si="0"/>
        <v>28266.912625205248</v>
      </c>
      <c r="H14" s="21">
        <f t="shared" si="0"/>
        <v>8057.2724636741186</v>
      </c>
      <c r="I14" s="21"/>
      <c r="J14" s="21"/>
      <c r="K14" s="21"/>
      <c r="L14" s="21"/>
      <c r="M14" s="21">
        <f t="shared" si="0"/>
        <v>2162.8322078085503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0.18151745477893028</v>
      </c>
      <c r="C16" s="56">
        <f ca="1">'EF ele_warmte'!B22</f>
        <v>2.8538674546085715E-4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3.1985560656371033</v>
      </c>
      <c r="C18" s="23"/>
      <c r="D18" s="23">
        <f t="shared" ref="D18:M18" si="1">D14*D16</f>
        <v>17.624722451067594</v>
      </c>
      <c r="E18" s="23">
        <f t="shared" si="1"/>
        <v>16.21790079517503</v>
      </c>
      <c r="F18" s="23"/>
      <c r="G18" s="23">
        <f t="shared" si="1"/>
        <v>7547.2656709298017</v>
      </c>
      <c r="H18" s="23">
        <f t="shared" si="1"/>
        <v>2006.2608434548556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4.1289151164968247E-3</v>
      </c>
      <c r="H50" s="319">
        <f t="shared" si="2"/>
        <v>0</v>
      </c>
      <c r="I50" s="319">
        <f t="shared" si="2"/>
        <v>0</v>
      </c>
      <c r="J50" s="319">
        <f t="shared" si="2"/>
        <v>0</v>
      </c>
      <c r="K50" s="319">
        <f t="shared" si="2"/>
        <v>0</v>
      </c>
      <c r="L50" s="319">
        <f t="shared" si="2"/>
        <v>0</v>
      </c>
      <c r="M50" s="319">
        <f t="shared" si="2"/>
        <v>2.2944945413479797E-4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4.1289151164968247E-3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2.2944945413479797E-4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1146.9208656935625</v>
      </c>
      <c r="H54" s="21">
        <f t="shared" si="3"/>
        <v>0</v>
      </c>
      <c r="I54" s="21">
        <f t="shared" si="3"/>
        <v>0</v>
      </c>
      <c r="J54" s="21">
        <f t="shared" si="3"/>
        <v>0</v>
      </c>
      <c r="K54" s="21">
        <f t="shared" si="3"/>
        <v>0</v>
      </c>
      <c r="L54" s="21">
        <f t="shared" si="3"/>
        <v>0</v>
      </c>
      <c r="M54" s="21">
        <f t="shared" si="3"/>
        <v>63.735959481888322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0.18151745477893028</v>
      </c>
      <c r="C56" s="56">
        <f ca="1">'EF ele_warmte'!B22</f>
        <v>2.8538674546085715E-4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306.22787114018121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22340.859076000001</v>
      </c>
      <c r="D10" s="686">
        <f ca="1">tertiair!C16</f>
        <v>9565.0328185328181</v>
      </c>
      <c r="E10" s="686">
        <f ca="1">tertiair!D16</f>
        <v>13947.349390057028</v>
      </c>
      <c r="F10" s="686">
        <f>tertiair!E16</f>
        <v>206.64411221965813</v>
      </c>
      <c r="G10" s="686">
        <f ca="1">tertiair!F16</f>
        <v>1661.6505025523506</v>
      </c>
      <c r="H10" s="686">
        <f>tertiair!G16</f>
        <v>0</v>
      </c>
      <c r="I10" s="686">
        <f>tertiair!H16</f>
        <v>0</v>
      </c>
      <c r="J10" s="686">
        <f>tertiair!I16</f>
        <v>0</v>
      </c>
      <c r="K10" s="686">
        <f>tertiair!J16</f>
        <v>2.6123577511277883E-2</v>
      </c>
      <c r="L10" s="686">
        <f>tertiair!K16</f>
        <v>0</v>
      </c>
      <c r="M10" s="686">
        <f ca="1">tertiair!L16</f>
        <v>0</v>
      </c>
      <c r="N10" s="686">
        <f>tertiair!M16</f>
        <v>0</v>
      </c>
      <c r="O10" s="686">
        <f ca="1">tertiair!N16</f>
        <v>0</v>
      </c>
      <c r="P10" s="686">
        <f>tertiair!O16</f>
        <v>19.589043063364617</v>
      </c>
      <c r="Q10" s="687">
        <f>tertiair!P16</f>
        <v>157.61741491948504</v>
      </c>
      <c r="R10" s="689">
        <f ca="1">SUM(C10:Q10)</f>
        <v>47898.768480922219</v>
      </c>
      <c r="S10" s="67"/>
    </row>
    <row r="11" spans="1:19" s="448" customFormat="1">
      <c r="A11" s="808" t="s">
        <v>224</v>
      </c>
      <c r="B11" s="813"/>
      <c r="C11" s="686">
        <f>huishoudens!B8</f>
        <v>18018.98379995906</v>
      </c>
      <c r="D11" s="686">
        <f>huishoudens!C8</f>
        <v>0</v>
      </c>
      <c r="E11" s="686">
        <f>huishoudens!D8</f>
        <v>40397.433219660001</v>
      </c>
      <c r="F11" s="686">
        <f>huishoudens!E8</f>
        <v>16097.092289875358</v>
      </c>
      <c r="G11" s="686">
        <f>huishoudens!F8</f>
        <v>6043.5292375479166</v>
      </c>
      <c r="H11" s="686">
        <f>huishoudens!G8</f>
        <v>0</v>
      </c>
      <c r="I11" s="686">
        <f>huishoudens!H8</f>
        <v>0</v>
      </c>
      <c r="J11" s="686">
        <f>huishoudens!I8</f>
        <v>0</v>
      </c>
      <c r="K11" s="686">
        <f>huishoudens!J8</f>
        <v>366.10108226597299</v>
      </c>
      <c r="L11" s="686">
        <f>huishoudens!K8</f>
        <v>0</v>
      </c>
      <c r="M11" s="686">
        <f>huishoudens!L8</f>
        <v>0</v>
      </c>
      <c r="N11" s="686">
        <f>huishoudens!M8</f>
        <v>0</v>
      </c>
      <c r="O11" s="686">
        <f>huishoudens!N8</f>
        <v>17098.930902957127</v>
      </c>
      <c r="P11" s="686">
        <f>huishoudens!O8</f>
        <v>432.50289182637295</v>
      </c>
      <c r="Q11" s="687">
        <f>huishoudens!P8</f>
        <v>400.29045369203089</v>
      </c>
      <c r="R11" s="689">
        <f>SUM(C11:Q11)</f>
        <v>98854.863877783835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21549.129613000005</v>
      </c>
      <c r="D13" s="686">
        <f>industrie!C18</f>
        <v>0</v>
      </c>
      <c r="E13" s="686">
        <f>industrie!D18</f>
        <v>18576.943330307997</v>
      </c>
      <c r="F13" s="686">
        <f>industrie!E18</f>
        <v>1442.0415511867691</v>
      </c>
      <c r="G13" s="686">
        <f>industrie!F18</f>
        <v>5067.4096223273518</v>
      </c>
      <c r="H13" s="686">
        <f>industrie!G18</f>
        <v>0</v>
      </c>
      <c r="I13" s="686">
        <f>industrie!H18</f>
        <v>0</v>
      </c>
      <c r="J13" s="686">
        <f>industrie!I18</f>
        <v>0</v>
      </c>
      <c r="K13" s="686">
        <f>industrie!J18</f>
        <v>146.98766999219308</v>
      </c>
      <c r="L13" s="686">
        <f>industrie!K18</f>
        <v>0</v>
      </c>
      <c r="M13" s="686">
        <f>industrie!L18</f>
        <v>0</v>
      </c>
      <c r="N13" s="686">
        <f>industrie!M18</f>
        <v>0</v>
      </c>
      <c r="O13" s="686">
        <f>industrie!N18</f>
        <v>884.26698942652206</v>
      </c>
      <c r="P13" s="686">
        <f>industrie!O18</f>
        <v>0</v>
      </c>
      <c r="Q13" s="687">
        <f>industrie!P18</f>
        <v>0</v>
      </c>
      <c r="R13" s="689">
        <f>SUM(C13:Q13)</f>
        <v>47666.778776240833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61908.972488959065</v>
      </c>
      <c r="D16" s="722">
        <f t="shared" ref="D16:R16" ca="1" si="0">SUM(D9:D15)</f>
        <v>9565.0328185328181</v>
      </c>
      <c r="E16" s="722">
        <f t="shared" ca="1" si="0"/>
        <v>72921.725940025033</v>
      </c>
      <c r="F16" s="722">
        <f t="shared" si="0"/>
        <v>17745.777953281784</v>
      </c>
      <c r="G16" s="722">
        <f t="shared" ca="1" si="0"/>
        <v>12772.58936242762</v>
      </c>
      <c r="H16" s="722">
        <f t="shared" si="0"/>
        <v>0</v>
      </c>
      <c r="I16" s="722">
        <f t="shared" si="0"/>
        <v>0</v>
      </c>
      <c r="J16" s="722">
        <f t="shared" si="0"/>
        <v>0</v>
      </c>
      <c r="K16" s="722">
        <f t="shared" si="0"/>
        <v>513.11487583567737</v>
      </c>
      <c r="L16" s="722">
        <f t="shared" si="0"/>
        <v>0</v>
      </c>
      <c r="M16" s="722">
        <f t="shared" ca="1" si="0"/>
        <v>0</v>
      </c>
      <c r="N16" s="722">
        <f t="shared" si="0"/>
        <v>0</v>
      </c>
      <c r="O16" s="722">
        <f t="shared" ca="1" si="0"/>
        <v>17983.19789238365</v>
      </c>
      <c r="P16" s="722">
        <f t="shared" si="0"/>
        <v>452.09193488973756</v>
      </c>
      <c r="Q16" s="722">
        <f t="shared" si="0"/>
        <v>557.90786861151594</v>
      </c>
      <c r="R16" s="722">
        <f t="shared" ca="1" si="0"/>
        <v>194420.41113494689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1146.9208656935625</v>
      </c>
      <c r="I19" s="686">
        <f>transport!H54</f>
        <v>0</v>
      </c>
      <c r="J19" s="686">
        <f>transport!I54</f>
        <v>0</v>
      </c>
      <c r="K19" s="686">
        <f>transport!J54</f>
        <v>0</v>
      </c>
      <c r="L19" s="686">
        <f>transport!K54</f>
        <v>0</v>
      </c>
      <c r="M19" s="686">
        <f>transport!L54</f>
        <v>0</v>
      </c>
      <c r="N19" s="686">
        <f>transport!M54</f>
        <v>63.735959481888322</v>
      </c>
      <c r="O19" s="686">
        <f>transport!N54</f>
        <v>0</v>
      </c>
      <c r="P19" s="686">
        <f>transport!O54</f>
        <v>0</v>
      </c>
      <c r="Q19" s="687">
        <f>transport!P54</f>
        <v>0</v>
      </c>
      <c r="R19" s="689">
        <f>SUM(C19:Q19)</f>
        <v>1210.6568251754509</v>
      </c>
      <c r="S19" s="67"/>
    </row>
    <row r="20" spans="1:19" s="448" customFormat="1">
      <c r="A20" s="808" t="s">
        <v>306</v>
      </c>
      <c r="B20" s="813"/>
      <c r="C20" s="686">
        <f>transport!B14</f>
        <v>17.621203809477265</v>
      </c>
      <c r="D20" s="686">
        <f>transport!C14</f>
        <v>0</v>
      </c>
      <c r="E20" s="686">
        <f>transport!D14</f>
        <v>87.251101242908874</v>
      </c>
      <c r="F20" s="686">
        <f>transport!E14</f>
        <v>71.444496895044182</v>
      </c>
      <c r="G20" s="686">
        <f>transport!F14</f>
        <v>0</v>
      </c>
      <c r="H20" s="686">
        <f>transport!G14</f>
        <v>28266.912625205248</v>
      </c>
      <c r="I20" s="686">
        <f>transport!H14</f>
        <v>8057.2724636741186</v>
      </c>
      <c r="J20" s="686">
        <f>transport!I14</f>
        <v>0</v>
      </c>
      <c r="K20" s="686">
        <f>transport!J14</f>
        <v>0</v>
      </c>
      <c r="L20" s="686">
        <f>transport!K14</f>
        <v>0</v>
      </c>
      <c r="M20" s="686">
        <f>transport!L14</f>
        <v>0</v>
      </c>
      <c r="N20" s="686">
        <f>transport!M14</f>
        <v>2162.8322078085503</v>
      </c>
      <c r="O20" s="686">
        <f>transport!N14</f>
        <v>0</v>
      </c>
      <c r="P20" s="686">
        <f>transport!O14</f>
        <v>0</v>
      </c>
      <c r="Q20" s="687">
        <f>transport!P14</f>
        <v>0</v>
      </c>
      <c r="R20" s="689">
        <f>SUM(C20:Q20)</f>
        <v>38663.334098635343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17.621203809477265</v>
      </c>
      <c r="D22" s="811">
        <f t="shared" ref="D22:R22" si="1">SUM(D18:D21)</f>
        <v>0</v>
      </c>
      <c r="E22" s="811">
        <f t="shared" si="1"/>
        <v>87.251101242908874</v>
      </c>
      <c r="F22" s="811">
        <f t="shared" si="1"/>
        <v>71.444496895044182</v>
      </c>
      <c r="G22" s="811">
        <f t="shared" si="1"/>
        <v>0</v>
      </c>
      <c r="H22" s="811">
        <f t="shared" si="1"/>
        <v>29413.833490898811</v>
      </c>
      <c r="I22" s="811">
        <f t="shared" si="1"/>
        <v>8057.2724636741186</v>
      </c>
      <c r="J22" s="811">
        <f t="shared" si="1"/>
        <v>0</v>
      </c>
      <c r="K22" s="811">
        <f t="shared" si="1"/>
        <v>0</v>
      </c>
      <c r="L22" s="811">
        <f t="shared" si="1"/>
        <v>0</v>
      </c>
      <c r="M22" s="811">
        <f t="shared" si="1"/>
        <v>0</v>
      </c>
      <c r="N22" s="811">
        <f t="shared" si="1"/>
        <v>2226.5681672904384</v>
      </c>
      <c r="O22" s="811">
        <f t="shared" si="1"/>
        <v>0</v>
      </c>
      <c r="P22" s="811">
        <f t="shared" si="1"/>
        <v>0</v>
      </c>
      <c r="Q22" s="811">
        <f t="shared" si="1"/>
        <v>0</v>
      </c>
      <c r="R22" s="811">
        <f t="shared" si="1"/>
        <v>39873.990923810794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2258.1525470000001</v>
      </c>
      <c r="D24" s="686">
        <f>+landbouw!C8</f>
        <v>0</v>
      </c>
      <c r="E24" s="686">
        <f>+landbouw!D8</f>
        <v>202.03527097599999</v>
      </c>
      <c r="F24" s="686">
        <f>+landbouw!E8</f>
        <v>70.476196345025514</v>
      </c>
      <c r="G24" s="686">
        <f>+landbouw!F8</f>
        <v>7980.5612524890739</v>
      </c>
      <c r="H24" s="686">
        <f>+landbouw!G8</f>
        <v>0</v>
      </c>
      <c r="I24" s="686">
        <f>+landbouw!H8</f>
        <v>0</v>
      </c>
      <c r="J24" s="686">
        <f>+landbouw!I8</f>
        <v>0</v>
      </c>
      <c r="K24" s="686">
        <f>+landbouw!J8</f>
        <v>622.13668684916888</v>
      </c>
      <c r="L24" s="686">
        <f>+landbouw!K8</f>
        <v>0</v>
      </c>
      <c r="M24" s="686">
        <f>+landbouw!L8</f>
        <v>0</v>
      </c>
      <c r="N24" s="686">
        <f>+landbouw!M8</f>
        <v>0</v>
      </c>
      <c r="O24" s="686">
        <f>+landbouw!N8</f>
        <v>0</v>
      </c>
      <c r="P24" s="686">
        <f>+landbouw!O8</f>
        <v>0</v>
      </c>
      <c r="Q24" s="687">
        <f>+landbouw!P8</f>
        <v>0</v>
      </c>
      <c r="R24" s="689">
        <f>SUM(C24:Q24)</f>
        <v>11133.361953659269</v>
      </c>
      <c r="S24" s="67"/>
    </row>
    <row r="25" spans="1:19" s="448" customFormat="1" ht="15" thickBot="1">
      <c r="A25" s="830" t="s">
        <v>724</v>
      </c>
      <c r="B25" s="949"/>
      <c r="C25" s="950">
        <f>IF(Onbekend_ele_kWh="---",0,Onbekend_ele_kWh)/1000+IF(REST_rest_ele_kWh="---",0,REST_rest_ele_kWh)/1000</f>
        <v>638.95927099999994</v>
      </c>
      <c r="D25" s="950"/>
      <c r="E25" s="950">
        <f>IF(onbekend_gas_kWh="---",0,onbekend_gas_kWh)/1000+IF(REST_rest_gas_kWh="---",0,REST_rest_gas_kWh)/1000</f>
        <v>1601.1719459999999</v>
      </c>
      <c r="F25" s="950"/>
      <c r="G25" s="950"/>
      <c r="H25" s="950"/>
      <c r="I25" s="950"/>
      <c r="J25" s="950"/>
      <c r="K25" s="950"/>
      <c r="L25" s="950"/>
      <c r="M25" s="950"/>
      <c r="N25" s="950"/>
      <c r="O25" s="950"/>
      <c r="P25" s="950"/>
      <c r="Q25" s="951"/>
      <c r="R25" s="689">
        <f>SUM(C25:Q25)</f>
        <v>2240.1312170000001</v>
      </c>
      <c r="S25" s="67"/>
    </row>
    <row r="26" spans="1:19" s="448" customFormat="1" ht="15.75" thickBot="1">
      <c r="A26" s="694" t="s">
        <v>725</v>
      </c>
      <c r="B26" s="816"/>
      <c r="C26" s="811">
        <f>SUM(C24:C25)</f>
        <v>2897.1118180000003</v>
      </c>
      <c r="D26" s="811">
        <f t="shared" ref="D26:R26" si="2">SUM(D24:D25)</f>
        <v>0</v>
      </c>
      <c r="E26" s="811">
        <f t="shared" si="2"/>
        <v>1803.2072169759999</v>
      </c>
      <c r="F26" s="811">
        <f t="shared" si="2"/>
        <v>70.476196345025514</v>
      </c>
      <c r="G26" s="811">
        <f t="shared" si="2"/>
        <v>7980.5612524890739</v>
      </c>
      <c r="H26" s="811">
        <f t="shared" si="2"/>
        <v>0</v>
      </c>
      <c r="I26" s="811">
        <f t="shared" si="2"/>
        <v>0</v>
      </c>
      <c r="J26" s="811">
        <f t="shared" si="2"/>
        <v>0</v>
      </c>
      <c r="K26" s="811">
        <f t="shared" si="2"/>
        <v>622.13668684916888</v>
      </c>
      <c r="L26" s="811">
        <f t="shared" si="2"/>
        <v>0</v>
      </c>
      <c r="M26" s="811">
        <f t="shared" si="2"/>
        <v>0</v>
      </c>
      <c r="N26" s="811">
        <f t="shared" si="2"/>
        <v>0</v>
      </c>
      <c r="O26" s="811">
        <f t="shared" si="2"/>
        <v>0</v>
      </c>
      <c r="P26" s="811">
        <f t="shared" si="2"/>
        <v>0</v>
      </c>
      <c r="Q26" s="811">
        <f t="shared" si="2"/>
        <v>0</v>
      </c>
      <c r="R26" s="811">
        <f t="shared" si="2"/>
        <v>13373.493170659269</v>
      </c>
      <c r="S26" s="67"/>
    </row>
    <row r="27" spans="1:19" s="448" customFormat="1" ht="17.25" thickTop="1" thickBot="1">
      <c r="A27" s="695" t="s">
        <v>115</v>
      </c>
      <c r="B27" s="803"/>
      <c r="C27" s="696">
        <f ca="1">C22+C16+C26</f>
        <v>64823.705510768537</v>
      </c>
      <c r="D27" s="696">
        <f t="shared" ref="D27:R27" ca="1" si="3">D22+D16+D26</f>
        <v>9565.0328185328181</v>
      </c>
      <c r="E27" s="696">
        <f t="shared" ca="1" si="3"/>
        <v>74812.184258243942</v>
      </c>
      <c r="F27" s="696">
        <f t="shared" si="3"/>
        <v>17887.698646521854</v>
      </c>
      <c r="G27" s="696">
        <f t="shared" ca="1" si="3"/>
        <v>20753.150614916693</v>
      </c>
      <c r="H27" s="696">
        <f t="shared" si="3"/>
        <v>29413.833490898811</v>
      </c>
      <c r="I27" s="696">
        <f t="shared" si="3"/>
        <v>8057.2724636741186</v>
      </c>
      <c r="J27" s="696">
        <f t="shared" si="3"/>
        <v>0</v>
      </c>
      <c r="K27" s="696">
        <f t="shared" si="3"/>
        <v>1135.2515626848462</v>
      </c>
      <c r="L27" s="696">
        <f t="shared" si="3"/>
        <v>0</v>
      </c>
      <c r="M27" s="696">
        <f t="shared" ca="1" si="3"/>
        <v>0</v>
      </c>
      <c r="N27" s="696">
        <f t="shared" si="3"/>
        <v>2226.5681672904384</v>
      </c>
      <c r="O27" s="696">
        <f t="shared" ca="1" si="3"/>
        <v>17983.19789238365</v>
      </c>
      <c r="P27" s="696">
        <f t="shared" si="3"/>
        <v>452.09193488973756</v>
      </c>
      <c r="Q27" s="696">
        <f t="shared" si="3"/>
        <v>557.90786861151594</v>
      </c>
      <c r="R27" s="696">
        <f t="shared" ca="1" si="3"/>
        <v>247667.89522941693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4055.2558770502842</v>
      </c>
      <c r="D40" s="686">
        <f ca="1">tertiair!C20</f>
        <v>2.7297335863073706</v>
      </c>
      <c r="E40" s="686">
        <f ca="1">tertiair!D20</f>
        <v>2817.36457679152</v>
      </c>
      <c r="F40" s="686">
        <f>tertiair!E20</f>
        <v>46.908213473862396</v>
      </c>
      <c r="G40" s="686">
        <f ca="1">tertiair!F20</f>
        <v>443.66068418147762</v>
      </c>
      <c r="H40" s="686">
        <f>tertiair!G20</f>
        <v>0</v>
      </c>
      <c r="I40" s="686">
        <f>tertiair!H20</f>
        <v>0</v>
      </c>
      <c r="J40" s="686">
        <f>tertiair!I20</f>
        <v>0</v>
      </c>
      <c r="K40" s="686">
        <f>tertiair!J20</f>
        <v>9.2477464389923696E-3</v>
      </c>
      <c r="L40" s="686">
        <f>tertiair!K20</f>
        <v>0</v>
      </c>
      <c r="M40" s="686">
        <f ca="1">tertiair!L20</f>
        <v>0</v>
      </c>
      <c r="N40" s="686">
        <f>tertiair!M20</f>
        <v>0</v>
      </c>
      <c r="O40" s="686">
        <f ca="1">tertiair!N20</f>
        <v>0</v>
      </c>
      <c r="P40" s="686">
        <f>tertiair!O20</f>
        <v>0</v>
      </c>
      <c r="Q40" s="769">
        <f>tertiair!P20</f>
        <v>0</v>
      </c>
      <c r="R40" s="849">
        <f t="shared" ca="1" si="4"/>
        <v>7365.9283328298907</v>
      </c>
    </row>
    <row r="41" spans="1:18">
      <c r="A41" s="821" t="s">
        <v>224</v>
      </c>
      <c r="B41" s="828"/>
      <c r="C41" s="686">
        <f ca="1">huishoudens!B12</f>
        <v>3270.7600770713457</v>
      </c>
      <c r="D41" s="686">
        <f ca="1">huishoudens!C12</f>
        <v>0</v>
      </c>
      <c r="E41" s="686">
        <f>huishoudens!D12</f>
        <v>8160.281510371321</v>
      </c>
      <c r="F41" s="686">
        <f>huishoudens!E12</f>
        <v>3654.0399498017064</v>
      </c>
      <c r="G41" s="686">
        <f>huishoudens!F12</f>
        <v>1613.6223064252938</v>
      </c>
      <c r="H41" s="686">
        <f>huishoudens!G12</f>
        <v>0</v>
      </c>
      <c r="I41" s="686">
        <f>huishoudens!H12</f>
        <v>0</v>
      </c>
      <c r="J41" s="686">
        <f>huishoudens!I12</f>
        <v>0</v>
      </c>
      <c r="K41" s="686">
        <f>huishoudens!J12</f>
        <v>129.59978312215443</v>
      </c>
      <c r="L41" s="686">
        <f>huishoudens!K12</f>
        <v>0</v>
      </c>
      <c r="M41" s="686">
        <f>huishoudens!L12</f>
        <v>0</v>
      </c>
      <c r="N41" s="686">
        <f>huishoudens!M12</f>
        <v>0</v>
      </c>
      <c r="O41" s="686">
        <f>huishoudens!N12</f>
        <v>0</v>
      </c>
      <c r="P41" s="686">
        <f>huishoudens!O12</f>
        <v>0</v>
      </c>
      <c r="Q41" s="769">
        <f>huishoudens!P12</f>
        <v>0</v>
      </c>
      <c r="R41" s="849">
        <f t="shared" ca="1" si="4"/>
        <v>16828.303626791821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3911.5431600530355</v>
      </c>
      <c r="D43" s="686">
        <f ca="1">industrie!C22</f>
        <v>0</v>
      </c>
      <c r="E43" s="686">
        <f>industrie!D22</f>
        <v>3752.5425527222155</v>
      </c>
      <c r="F43" s="686">
        <f>industrie!E22</f>
        <v>327.3434321193966</v>
      </c>
      <c r="G43" s="686">
        <f>industrie!F22</f>
        <v>1352.9983691614029</v>
      </c>
      <c r="H43" s="686">
        <f>industrie!G22</f>
        <v>0</v>
      </c>
      <c r="I43" s="686">
        <f>industrie!H22</f>
        <v>0</v>
      </c>
      <c r="J43" s="686">
        <f>industrie!I22</f>
        <v>0</v>
      </c>
      <c r="K43" s="686">
        <f>industrie!J22</f>
        <v>52.033635177236349</v>
      </c>
      <c r="L43" s="686">
        <f>industrie!K22</f>
        <v>0</v>
      </c>
      <c r="M43" s="686">
        <f>industrie!L22</f>
        <v>0</v>
      </c>
      <c r="N43" s="686">
        <f>industrie!M22</f>
        <v>0</v>
      </c>
      <c r="O43" s="686">
        <f>industrie!N22</f>
        <v>0</v>
      </c>
      <c r="P43" s="686">
        <f>industrie!O22</f>
        <v>0</v>
      </c>
      <c r="Q43" s="769">
        <f>industrie!P22</f>
        <v>0</v>
      </c>
      <c r="R43" s="848">
        <f t="shared" ca="1" si="4"/>
        <v>9396.4611492332879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11237.559114174666</v>
      </c>
      <c r="D46" s="722">
        <f t="shared" ref="D46:Q46" ca="1" si="5">SUM(D39:D45)</f>
        <v>2.7297335863073706</v>
      </c>
      <c r="E46" s="722">
        <f t="shared" ca="1" si="5"/>
        <v>14730.188639885057</v>
      </c>
      <c r="F46" s="722">
        <f t="shared" si="5"/>
        <v>4028.2915953949655</v>
      </c>
      <c r="G46" s="722">
        <f t="shared" ca="1" si="5"/>
        <v>3410.2813597681743</v>
      </c>
      <c r="H46" s="722">
        <f t="shared" si="5"/>
        <v>0</v>
      </c>
      <c r="I46" s="722">
        <f t="shared" si="5"/>
        <v>0</v>
      </c>
      <c r="J46" s="722">
        <f t="shared" si="5"/>
        <v>0</v>
      </c>
      <c r="K46" s="722">
        <f t="shared" si="5"/>
        <v>181.6426660458298</v>
      </c>
      <c r="L46" s="722">
        <f t="shared" si="5"/>
        <v>0</v>
      </c>
      <c r="M46" s="722">
        <f t="shared" ca="1" si="5"/>
        <v>0</v>
      </c>
      <c r="N46" s="722">
        <f t="shared" si="5"/>
        <v>0</v>
      </c>
      <c r="O46" s="722">
        <f t="shared" ca="1" si="5"/>
        <v>0</v>
      </c>
      <c r="P46" s="722">
        <f t="shared" si="5"/>
        <v>0</v>
      </c>
      <c r="Q46" s="722">
        <f t="shared" si="5"/>
        <v>0</v>
      </c>
      <c r="R46" s="722">
        <f ca="1">SUM(R39:R45)</f>
        <v>33590.693108855005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306.22787114018121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306.22787114018121</v>
      </c>
    </row>
    <row r="50" spans="1:18">
      <c r="A50" s="824" t="s">
        <v>306</v>
      </c>
      <c r="B50" s="834"/>
      <c r="C50" s="692">
        <f ca="1">transport!B18</f>
        <v>3.1985560656371033</v>
      </c>
      <c r="D50" s="692">
        <f>transport!C18</f>
        <v>0</v>
      </c>
      <c r="E50" s="692">
        <f>transport!D18</f>
        <v>17.624722451067594</v>
      </c>
      <c r="F50" s="692">
        <f>transport!E18</f>
        <v>16.21790079517503</v>
      </c>
      <c r="G50" s="692">
        <f>transport!F18</f>
        <v>0</v>
      </c>
      <c r="H50" s="692">
        <f>transport!G18</f>
        <v>7547.2656709298017</v>
      </c>
      <c r="I50" s="692">
        <f>transport!H18</f>
        <v>2006.2608434548556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9590.5676936965374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3.1985560656371033</v>
      </c>
      <c r="D52" s="722">
        <f t="shared" ref="D52:Q52" ca="1" si="6">SUM(D48:D51)</f>
        <v>0</v>
      </c>
      <c r="E52" s="722">
        <f t="shared" si="6"/>
        <v>17.624722451067594</v>
      </c>
      <c r="F52" s="722">
        <f t="shared" si="6"/>
        <v>16.21790079517503</v>
      </c>
      <c r="G52" s="722">
        <f t="shared" si="6"/>
        <v>0</v>
      </c>
      <c r="H52" s="722">
        <f t="shared" si="6"/>
        <v>7853.4935420699831</v>
      </c>
      <c r="I52" s="722">
        <f t="shared" si="6"/>
        <v>2006.2608434548556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9896.7955648367188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409.89410283399877</v>
      </c>
      <c r="D54" s="692">
        <f ca="1">+landbouw!C12</f>
        <v>0</v>
      </c>
      <c r="E54" s="692">
        <f>+landbouw!D12</f>
        <v>40.811124737151999</v>
      </c>
      <c r="F54" s="692">
        <f>+landbouw!E12</f>
        <v>15.998096570320792</v>
      </c>
      <c r="G54" s="692">
        <f>+landbouw!F12</f>
        <v>2130.8098544145828</v>
      </c>
      <c r="H54" s="692">
        <f>+landbouw!G12</f>
        <v>0</v>
      </c>
      <c r="I54" s="692">
        <f>+landbouw!H12</f>
        <v>0</v>
      </c>
      <c r="J54" s="692">
        <f>+landbouw!I12</f>
        <v>0</v>
      </c>
      <c r="K54" s="692">
        <f>+landbouw!J12</f>
        <v>220.23638714460577</v>
      </c>
      <c r="L54" s="692">
        <f>+landbouw!K12</f>
        <v>0</v>
      </c>
      <c r="M54" s="692">
        <f>+landbouw!L12</f>
        <v>0</v>
      </c>
      <c r="N54" s="692">
        <f>+landbouw!M12</f>
        <v>0</v>
      </c>
      <c r="O54" s="692">
        <f>+landbouw!N12</f>
        <v>0</v>
      </c>
      <c r="P54" s="692">
        <f>+landbouw!O12</f>
        <v>0</v>
      </c>
      <c r="Q54" s="693">
        <f>+landbouw!P12</f>
        <v>0</v>
      </c>
      <c r="R54" s="721">
        <f ca="1">SUM(C54:Q54)</f>
        <v>2817.7495657006602</v>
      </c>
    </row>
    <row r="55" spans="1:18" ht="15" thickBot="1">
      <c r="A55" s="824" t="s">
        <v>724</v>
      </c>
      <c r="B55" s="834"/>
      <c r="C55" s="692">
        <f ca="1">C25*'EF ele_warmte'!B12</f>
        <v>115.98226057932075</v>
      </c>
      <c r="D55" s="692"/>
      <c r="E55" s="692">
        <f>E25*EF_CO2_aardgas</f>
        <v>323.436733092</v>
      </c>
      <c r="F55" s="692"/>
      <c r="G55" s="692"/>
      <c r="H55" s="692"/>
      <c r="I55" s="692"/>
      <c r="J55" s="692"/>
      <c r="K55" s="692"/>
      <c r="L55" s="692"/>
      <c r="M55" s="692"/>
      <c r="N55" s="692"/>
      <c r="O55" s="692"/>
      <c r="P55" s="692"/>
      <c r="Q55" s="693"/>
      <c r="R55" s="721">
        <f ca="1">SUM(C55:Q55)</f>
        <v>439.41899367132078</v>
      </c>
    </row>
    <row r="56" spans="1:18" ht="15.75" thickBot="1">
      <c r="A56" s="822" t="s">
        <v>725</v>
      </c>
      <c r="B56" s="835"/>
      <c r="C56" s="722">
        <f ca="1">SUM(C54:C55)</f>
        <v>525.8763634133195</v>
      </c>
      <c r="D56" s="722">
        <f t="shared" ref="D56:Q56" ca="1" si="7">SUM(D54:D55)</f>
        <v>0</v>
      </c>
      <c r="E56" s="722">
        <f t="shared" si="7"/>
        <v>364.247857829152</v>
      </c>
      <c r="F56" s="722">
        <f t="shared" si="7"/>
        <v>15.998096570320792</v>
      </c>
      <c r="G56" s="722">
        <f t="shared" si="7"/>
        <v>2130.8098544145828</v>
      </c>
      <c r="H56" s="722">
        <f t="shared" si="7"/>
        <v>0</v>
      </c>
      <c r="I56" s="722">
        <f t="shared" si="7"/>
        <v>0</v>
      </c>
      <c r="J56" s="722">
        <f t="shared" si="7"/>
        <v>0</v>
      </c>
      <c r="K56" s="722">
        <f t="shared" si="7"/>
        <v>220.23638714460577</v>
      </c>
      <c r="L56" s="722">
        <f t="shared" si="7"/>
        <v>0</v>
      </c>
      <c r="M56" s="722">
        <f t="shared" si="7"/>
        <v>0</v>
      </c>
      <c r="N56" s="722">
        <f t="shared" si="7"/>
        <v>0</v>
      </c>
      <c r="O56" s="722">
        <f t="shared" si="7"/>
        <v>0</v>
      </c>
      <c r="P56" s="722">
        <f t="shared" si="7"/>
        <v>0</v>
      </c>
      <c r="Q56" s="723">
        <f t="shared" si="7"/>
        <v>0</v>
      </c>
      <c r="R56" s="724">
        <f ca="1">SUM(R54:R55)</f>
        <v>3257.1685593719812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11766.634033653623</v>
      </c>
      <c r="D61" s="730">
        <f t="shared" ref="D61:Q61" ca="1" si="8">D46+D52+D56</f>
        <v>2.7297335863073706</v>
      </c>
      <c r="E61" s="730">
        <f t="shared" ca="1" si="8"/>
        <v>15112.061220165277</v>
      </c>
      <c r="F61" s="730">
        <f t="shared" si="8"/>
        <v>4060.5075927604612</v>
      </c>
      <c r="G61" s="730">
        <f t="shared" ca="1" si="8"/>
        <v>5541.0912141827575</v>
      </c>
      <c r="H61" s="730">
        <f t="shared" si="8"/>
        <v>7853.4935420699831</v>
      </c>
      <c r="I61" s="730">
        <f t="shared" si="8"/>
        <v>2006.2608434548556</v>
      </c>
      <c r="J61" s="730">
        <f t="shared" si="8"/>
        <v>0</v>
      </c>
      <c r="K61" s="730">
        <f t="shared" si="8"/>
        <v>401.87905319043557</v>
      </c>
      <c r="L61" s="730">
        <f t="shared" si="8"/>
        <v>0</v>
      </c>
      <c r="M61" s="730">
        <f t="shared" ca="1" si="8"/>
        <v>0</v>
      </c>
      <c r="N61" s="730">
        <f t="shared" si="8"/>
        <v>0</v>
      </c>
      <c r="O61" s="730">
        <f t="shared" ca="1" si="8"/>
        <v>0</v>
      </c>
      <c r="P61" s="730">
        <f t="shared" si="8"/>
        <v>0</v>
      </c>
      <c r="Q61" s="730">
        <f t="shared" si="8"/>
        <v>0</v>
      </c>
      <c r="R61" s="730">
        <f ca="1">R46+R52+R56</f>
        <v>46744.657233063706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0.1815174547789303</v>
      </c>
      <c r="D63" s="776">
        <f t="shared" ca="1" si="9"/>
        <v>2.8538674546085715E-4</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4894.1637609975514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6687.4589076625898</v>
      </c>
      <c r="C76" s="743">
        <f>'lokale energieproductie'!B8*IFERROR(SUM(D76:H76)/SUM(D76:O76),0)</f>
        <v>8.0410923374099017</v>
      </c>
      <c r="D76" s="958">
        <f>'lokale energieproductie'!C8</f>
        <v>9.459440367490938</v>
      </c>
      <c r="E76" s="959">
        <f>'lokale energieproductie'!D8</f>
        <v>0</v>
      </c>
      <c r="F76" s="959">
        <f>'lokale energieproductie'!E8</f>
        <v>0</v>
      </c>
      <c r="G76" s="959">
        <f>'lokale energieproductie'!F8</f>
        <v>0</v>
      </c>
      <c r="H76" s="959">
        <f>'lokale energieproductie'!G8</f>
        <v>0</v>
      </c>
      <c r="I76" s="959">
        <f>'lokale energieproductie'!I8</f>
        <v>0</v>
      </c>
      <c r="J76" s="959">
        <f>'lokale energieproductie'!J8</f>
        <v>7867.0429454932455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1.9108069542331696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11581.62266866014</v>
      </c>
      <c r="C78" s="748">
        <f>SUM(C72:C77)</f>
        <v>8.0410923374099017</v>
      </c>
      <c r="D78" s="749">
        <f t="shared" ref="D78:H78" si="10">SUM(D76:D77)</f>
        <v>9.459440367490938</v>
      </c>
      <c r="E78" s="749">
        <f t="shared" si="10"/>
        <v>0</v>
      </c>
      <c r="F78" s="749">
        <f t="shared" si="10"/>
        <v>0</v>
      </c>
      <c r="G78" s="749">
        <f t="shared" si="10"/>
        <v>0</v>
      </c>
      <c r="H78" s="749">
        <f t="shared" si="10"/>
        <v>0</v>
      </c>
      <c r="I78" s="749">
        <f>SUM(I76:I77)</f>
        <v>0</v>
      </c>
      <c r="J78" s="749">
        <f>SUM(J76:J77)</f>
        <v>7867.0429454932455</v>
      </c>
      <c r="K78" s="749">
        <f t="shared" ref="K78:L78" si="11">SUM(K76:K77)</f>
        <v>0</v>
      </c>
      <c r="L78" s="749">
        <f t="shared" si="11"/>
        <v>0</v>
      </c>
      <c r="M78" s="749">
        <f>SUM(M76:M77)</f>
        <v>0</v>
      </c>
      <c r="N78" s="749">
        <f>SUM(N76:N77)</f>
        <v>0</v>
      </c>
      <c r="O78" s="859">
        <f>SUM(O76:O77)</f>
        <v>0</v>
      </c>
      <c r="P78" s="750">
        <v>0</v>
      </c>
      <c r="Q78" s="750">
        <f>SUM(Q76:Q77)</f>
        <v>1.9108069542331696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9553.5455043510265</v>
      </c>
      <c r="C87" s="761">
        <f>'lokale energieproductie'!B17*IFERROR(SUM(D87:H87)/SUM(D87:O87),0)</f>
        <v>11.487314181790525</v>
      </c>
      <c r="D87" s="772">
        <f>'lokale energieproductie'!C17</f>
        <v>13.513532605482032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11238.671340221041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2.7297335863073706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9553.5455043510265</v>
      </c>
      <c r="C90" s="748">
        <f>SUM(C87:C89)</f>
        <v>11.487314181790525</v>
      </c>
      <c r="D90" s="748">
        <f t="shared" ref="D90:H90" si="12">SUM(D87:D89)</f>
        <v>13.513532605482032</v>
      </c>
      <c r="E90" s="748">
        <f t="shared" si="12"/>
        <v>0</v>
      </c>
      <c r="F90" s="748">
        <f t="shared" si="12"/>
        <v>0</v>
      </c>
      <c r="G90" s="748">
        <f t="shared" si="12"/>
        <v>0</v>
      </c>
      <c r="H90" s="748">
        <f t="shared" si="12"/>
        <v>0</v>
      </c>
      <c r="I90" s="748">
        <f>SUM(I87:I89)</f>
        <v>0</v>
      </c>
      <c r="J90" s="748">
        <f>SUM(J87:J89)</f>
        <v>11238.671340221041</v>
      </c>
      <c r="K90" s="748">
        <f t="shared" ref="K90:L90" si="13">SUM(K87:K89)</f>
        <v>0</v>
      </c>
      <c r="L90" s="748">
        <f t="shared" si="13"/>
        <v>0</v>
      </c>
      <c r="M90" s="748">
        <f>SUM(M87:M89)</f>
        <v>0</v>
      </c>
      <c r="N90" s="748">
        <f>SUM(N87:N89)</f>
        <v>0</v>
      </c>
      <c r="O90" s="748">
        <f>SUM(O87:O89)</f>
        <v>0</v>
      </c>
      <c r="P90" s="748">
        <v>0</v>
      </c>
      <c r="Q90" s="748">
        <f>SUM(Q87:Q89)</f>
        <v>2.7297335863073706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4894.1637609975514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6695.5</v>
      </c>
      <c r="C8" s="548">
        <f>B49</f>
        <v>9.459440367490938</v>
      </c>
      <c r="D8" s="549"/>
      <c r="E8" s="549">
        <f>E49</f>
        <v>0</v>
      </c>
      <c r="F8" s="550"/>
      <c r="G8" s="551"/>
      <c r="H8" s="549">
        <f>I49</f>
        <v>0</v>
      </c>
      <c r="I8" s="549">
        <f>G49+F49</f>
        <v>0</v>
      </c>
      <c r="J8" s="549">
        <f>H49+D49+C49</f>
        <v>7867.0429454932455</v>
      </c>
      <c r="K8" s="549"/>
      <c r="L8" s="549"/>
      <c r="M8" s="549"/>
      <c r="N8" s="552"/>
      <c r="O8" s="553">
        <f>C8*$C$12+D8*$D$12+E8*$E$12+F8*$F$12+G8*$G$12+H8*$H$12+I8*$I$12+J8*$J$12</f>
        <v>1.9108069542331696</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11589.663760997551</v>
      </c>
      <c r="C10" s="563">
        <f t="shared" ref="C10:L10" si="0">SUM(C8:C9)</f>
        <v>9.459440367490938</v>
      </c>
      <c r="D10" s="563">
        <f t="shared" si="0"/>
        <v>0</v>
      </c>
      <c r="E10" s="563">
        <f t="shared" si="0"/>
        <v>0</v>
      </c>
      <c r="F10" s="563">
        <f t="shared" si="0"/>
        <v>0</v>
      </c>
      <c r="G10" s="563">
        <f t="shared" si="0"/>
        <v>0</v>
      </c>
      <c r="H10" s="563">
        <f t="shared" si="0"/>
        <v>0</v>
      </c>
      <c r="I10" s="563">
        <f t="shared" si="0"/>
        <v>0</v>
      </c>
      <c r="J10" s="563">
        <f t="shared" si="0"/>
        <v>7867.0429454932455</v>
      </c>
      <c r="K10" s="563">
        <f t="shared" si="0"/>
        <v>0</v>
      </c>
      <c r="L10" s="563">
        <f t="shared" si="0"/>
        <v>0</v>
      </c>
      <c r="M10" s="971"/>
      <c r="N10" s="971"/>
      <c r="O10" s="564">
        <f>SUM(O4:O9)</f>
        <v>1.9108069542331696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9565.0328185328181</v>
      </c>
      <c r="C17" s="579">
        <f>B50</f>
        <v>13.513532605482032</v>
      </c>
      <c r="D17" s="580"/>
      <c r="E17" s="580">
        <f>E50</f>
        <v>0</v>
      </c>
      <c r="F17" s="581"/>
      <c r="G17" s="582"/>
      <c r="H17" s="579">
        <f>I50</f>
        <v>0</v>
      </c>
      <c r="I17" s="580">
        <f>G50+F50</f>
        <v>0</v>
      </c>
      <c r="J17" s="580">
        <f>H50+D50+C50</f>
        <v>11238.671340221041</v>
      </c>
      <c r="K17" s="580"/>
      <c r="L17" s="580"/>
      <c r="M17" s="580"/>
      <c r="N17" s="972"/>
      <c r="O17" s="583">
        <f>C17*$C$22+E17*$E$22+H17*$H$22+I17*$I$22+J17*$J$22+D17*$D$22+F17*$F$22+G17*$G$22+K17*$K$22+L17*$L$22</f>
        <v>2.7297335863073706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9565.0328185328181</v>
      </c>
      <c r="C20" s="562">
        <f>SUM(C17:C19)</f>
        <v>13.513532605482032</v>
      </c>
      <c r="D20" s="562">
        <f t="shared" ref="D20:L20" si="1">SUM(D17:D19)</f>
        <v>0</v>
      </c>
      <c r="E20" s="562">
        <f t="shared" si="1"/>
        <v>0</v>
      </c>
      <c r="F20" s="562">
        <f t="shared" si="1"/>
        <v>0</v>
      </c>
      <c r="G20" s="562">
        <f t="shared" si="1"/>
        <v>0</v>
      </c>
      <c r="H20" s="562">
        <f t="shared" si="1"/>
        <v>0</v>
      </c>
      <c r="I20" s="562">
        <f t="shared" si="1"/>
        <v>0</v>
      </c>
      <c r="J20" s="562">
        <f t="shared" si="1"/>
        <v>11238.671340221041</v>
      </c>
      <c r="K20" s="562">
        <f t="shared" si="1"/>
        <v>0</v>
      </c>
      <c r="L20" s="562">
        <f t="shared" si="1"/>
        <v>0</v>
      </c>
      <c r="M20" s="562"/>
      <c r="N20" s="562"/>
      <c r="O20" s="588">
        <f>SUM(O17:O19)</f>
        <v>2.7297335863073706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36012</v>
      </c>
      <c r="C28" s="791">
        <v>8890</v>
      </c>
      <c r="D28" s="640" t="s">
        <v>888</v>
      </c>
      <c r="E28" s="639" t="s">
        <v>889</v>
      </c>
      <c r="F28" s="639" t="s">
        <v>890</v>
      </c>
      <c r="G28" s="639" t="s">
        <v>891</v>
      </c>
      <c r="H28" s="639" t="s">
        <v>892</v>
      </c>
      <c r="I28" s="639" t="s">
        <v>893</v>
      </c>
      <c r="J28" s="790">
        <v>40634</v>
      </c>
      <c r="K28" s="790">
        <v>40634</v>
      </c>
      <c r="L28" s="639" t="s">
        <v>894</v>
      </c>
      <c r="M28" s="639">
        <v>1486</v>
      </c>
      <c r="N28" s="639">
        <v>6687</v>
      </c>
      <c r="O28" s="639">
        <v>9552.8571428571431</v>
      </c>
      <c r="P28" s="639">
        <v>0</v>
      </c>
      <c r="Q28" s="639">
        <v>19105.714285714286</v>
      </c>
      <c r="R28" s="639">
        <v>0</v>
      </c>
      <c r="S28" s="639">
        <v>0</v>
      </c>
      <c r="T28" s="639">
        <v>0</v>
      </c>
      <c r="U28" s="639">
        <v>0</v>
      </c>
      <c r="V28" s="639">
        <v>0</v>
      </c>
      <c r="W28" s="639">
        <v>0</v>
      </c>
      <c r="X28" s="639">
        <v>1500</v>
      </c>
      <c r="Y28" s="639" t="s">
        <v>50</v>
      </c>
      <c r="Z28" s="641" t="s">
        <v>155</v>
      </c>
    </row>
    <row r="29" spans="1:26" s="593" customFormat="1" ht="12.75">
      <c r="A29" s="592"/>
      <c r="B29" s="791">
        <v>36012</v>
      </c>
      <c r="C29" s="791">
        <v>8890</v>
      </c>
      <c r="D29" s="640" t="s">
        <v>895</v>
      </c>
      <c r="E29" s="639"/>
      <c r="F29" s="639" t="s">
        <v>896</v>
      </c>
      <c r="G29" s="639" t="s">
        <v>897</v>
      </c>
      <c r="H29" s="639" t="s">
        <v>898</v>
      </c>
      <c r="I29" s="639" t="s">
        <v>899</v>
      </c>
      <c r="J29" s="790">
        <v>42569</v>
      </c>
      <c r="K29" s="790">
        <v>42716</v>
      </c>
      <c r="L29" s="639" t="s">
        <v>900</v>
      </c>
      <c r="M29" s="639">
        <v>1.7</v>
      </c>
      <c r="N29" s="639">
        <v>8.5</v>
      </c>
      <c r="O29" s="639">
        <v>12.175675675675675</v>
      </c>
      <c r="P29" s="639">
        <v>22.972972972972972</v>
      </c>
      <c r="Q29" s="639">
        <v>0</v>
      </c>
      <c r="R29" s="639">
        <v>0</v>
      </c>
      <c r="S29" s="639">
        <v>0</v>
      </c>
      <c r="T29" s="639">
        <v>0</v>
      </c>
      <c r="U29" s="639">
        <v>0</v>
      </c>
      <c r="V29" s="639">
        <v>0</v>
      </c>
      <c r="W29" s="639">
        <v>0</v>
      </c>
      <c r="X29" s="639">
        <v>1200</v>
      </c>
      <c r="Y29" s="639" t="s">
        <v>52</v>
      </c>
      <c r="Z29" s="641" t="s">
        <v>155</v>
      </c>
    </row>
    <row r="30" spans="1:26" s="573" customFormat="1">
      <c r="A30" s="595" t="s">
        <v>279</v>
      </c>
      <c r="B30" s="596"/>
      <c r="C30" s="596"/>
      <c r="D30" s="596"/>
      <c r="E30" s="596"/>
      <c r="F30" s="596"/>
      <c r="G30" s="596"/>
      <c r="H30" s="596"/>
      <c r="I30" s="596"/>
      <c r="J30" s="596"/>
      <c r="K30" s="596"/>
      <c r="L30" s="597"/>
      <c r="M30" s="597">
        <f>SUM(M28:M29)</f>
        <v>1487.7</v>
      </c>
      <c r="N30" s="597">
        <f>SUM(N28:N29)</f>
        <v>6695.5</v>
      </c>
      <c r="O30" s="597">
        <f>SUM(O28:O29)</f>
        <v>9565.0328185328181</v>
      </c>
      <c r="P30" s="597">
        <f>SUM(P28:P29)</f>
        <v>22.972972972972972</v>
      </c>
      <c r="Q30" s="597">
        <f>SUM(Q28:Q29)</f>
        <v>19105.714285714286</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1487.7</v>
      </c>
      <c r="N32" s="597">
        <f ca="1">SUMIF($Z$28:AD29,"tertiair",N28:N29)</f>
        <v>6695.5</v>
      </c>
      <c r="O32" s="597">
        <f ca="1">SUMIF($Z$28:AE29,"tertiair",O28:O29)</f>
        <v>9565.0328185328181</v>
      </c>
      <c r="P32" s="597">
        <f ca="1">SUMIF($Z$28:AF29,"tertiair",P28:P29)</f>
        <v>22.972972972972972</v>
      </c>
      <c r="Q32" s="597">
        <f ca="1">SUMIF($Z$28:AG29,"tertiair",Q28:Q29)</f>
        <v>19105.714285714286</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0.58823612517980617</v>
      </c>
      <c r="C46" s="622">
        <f>IF(ISERROR(N30/(O30+N30)),0,N30/(N30+O30))</f>
        <v>0.41176387482019378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9.459440367490938</v>
      </c>
      <c r="C49" s="631">
        <f t="shared" si="2"/>
        <v>7867.0429454932455</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13.513532605482032</v>
      </c>
      <c r="C50" s="634">
        <f t="shared" si="3"/>
        <v>11238.671340221041</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18018.98379995906</v>
      </c>
      <c r="C4" s="452">
        <f>huishoudens!C8</f>
        <v>0</v>
      </c>
      <c r="D4" s="452">
        <f>huishoudens!D8</f>
        <v>40397.433219660001</v>
      </c>
      <c r="E4" s="452">
        <f>huishoudens!E8</f>
        <v>16097.092289875358</v>
      </c>
      <c r="F4" s="452">
        <f>huishoudens!F8</f>
        <v>6043.5292375479166</v>
      </c>
      <c r="G4" s="452">
        <f>huishoudens!G8</f>
        <v>0</v>
      </c>
      <c r="H4" s="452">
        <f>huishoudens!H8</f>
        <v>0</v>
      </c>
      <c r="I4" s="452">
        <f>huishoudens!I8</f>
        <v>0</v>
      </c>
      <c r="J4" s="452">
        <f>huishoudens!J8</f>
        <v>366.10108226597299</v>
      </c>
      <c r="K4" s="452">
        <f>huishoudens!K8</f>
        <v>0</v>
      </c>
      <c r="L4" s="452">
        <f>huishoudens!L8</f>
        <v>0</v>
      </c>
      <c r="M4" s="452">
        <f>huishoudens!M8</f>
        <v>0</v>
      </c>
      <c r="N4" s="452">
        <f>huishoudens!N8</f>
        <v>17098.930902957127</v>
      </c>
      <c r="O4" s="452">
        <f>huishoudens!O8</f>
        <v>432.50289182637295</v>
      </c>
      <c r="P4" s="453">
        <f>huishoudens!P8</f>
        <v>400.29045369203089</v>
      </c>
      <c r="Q4" s="454">
        <f>SUM(B4:P4)</f>
        <v>98854.863877783835</v>
      </c>
    </row>
    <row r="5" spans="1:17">
      <c r="A5" s="451" t="s">
        <v>155</v>
      </c>
      <c r="B5" s="452">
        <f ca="1">tertiair!B16</f>
        <v>21482.949076000001</v>
      </c>
      <c r="C5" s="452">
        <f ca="1">tertiair!C16</f>
        <v>9565.0328185328181</v>
      </c>
      <c r="D5" s="452">
        <f ca="1">tertiair!D16</f>
        <v>13947.349390057028</v>
      </c>
      <c r="E5" s="452">
        <f>tertiair!E16</f>
        <v>206.64411221965813</v>
      </c>
      <c r="F5" s="452">
        <f ca="1">tertiair!F16</f>
        <v>1661.6505025523506</v>
      </c>
      <c r="G5" s="452">
        <f>tertiair!G16</f>
        <v>0</v>
      </c>
      <c r="H5" s="452">
        <f>tertiair!H16</f>
        <v>0</v>
      </c>
      <c r="I5" s="452">
        <f>tertiair!I16</f>
        <v>0</v>
      </c>
      <c r="J5" s="452">
        <f>tertiair!J16</f>
        <v>2.6123577511277883E-2</v>
      </c>
      <c r="K5" s="452">
        <f>tertiair!K16</f>
        <v>0</v>
      </c>
      <c r="L5" s="452">
        <f ca="1">tertiair!L16</f>
        <v>0</v>
      </c>
      <c r="M5" s="452">
        <f>tertiair!M16</f>
        <v>0</v>
      </c>
      <c r="N5" s="452">
        <f ca="1">tertiair!N16</f>
        <v>0</v>
      </c>
      <c r="O5" s="452">
        <f>tertiair!O16</f>
        <v>19.589043063364617</v>
      </c>
      <c r="P5" s="453">
        <f>tertiair!P16</f>
        <v>157.61741491948504</v>
      </c>
      <c r="Q5" s="451">
        <f t="shared" ref="Q5:Q14" ca="1" si="0">SUM(B5:P5)</f>
        <v>47040.858480922216</v>
      </c>
    </row>
    <row r="6" spans="1:17">
      <c r="A6" s="451" t="s">
        <v>193</v>
      </c>
      <c r="B6" s="452">
        <f>'openbare verlichting'!B8</f>
        <v>857.91</v>
      </c>
      <c r="C6" s="452"/>
      <c r="D6" s="452"/>
      <c r="E6" s="452"/>
      <c r="F6" s="452"/>
      <c r="G6" s="452"/>
      <c r="H6" s="452"/>
      <c r="I6" s="452"/>
      <c r="J6" s="452"/>
      <c r="K6" s="452"/>
      <c r="L6" s="452"/>
      <c r="M6" s="452"/>
      <c r="N6" s="452"/>
      <c r="O6" s="452"/>
      <c r="P6" s="453"/>
      <c r="Q6" s="451">
        <f t="shared" si="0"/>
        <v>857.91</v>
      </c>
    </row>
    <row r="7" spans="1:17">
      <c r="A7" s="451" t="s">
        <v>111</v>
      </c>
      <c r="B7" s="452">
        <f>landbouw!B8</f>
        <v>2258.1525470000001</v>
      </c>
      <c r="C7" s="452">
        <f>landbouw!C8</f>
        <v>0</v>
      </c>
      <c r="D7" s="452">
        <f>landbouw!D8</f>
        <v>202.03527097599999</v>
      </c>
      <c r="E7" s="452">
        <f>landbouw!E8</f>
        <v>70.476196345025514</v>
      </c>
      <c r="F7" s="452">
        <f>landbouw!F8</f>
        <v>7980.5612524890739</v>
      </c>
      <c r="G7" s="452">
        <f>landbouw!G8</f>
        <v>0</v>
      </c>
      <c r="H7" s="452">
        <f>landbouw!H8</f>
        <v>0</v>
      </c>
      <c r="I7" s="452">
        <f>landbouw!I8</f>
        <v>0</v>
      </c>
      <c r="J7" s="452">
        <f>landbouw!J8</f>
        <v>622.13668684916888</v>
      </c>
      <c r="K7" s="452">
        <f>landbouw!K8</f>
        <v>0</v>
      </c>
      <c r="L7" s="452">
        <f>landbouw!L8</f>
        <v>0</v>
      </c>
      <c r="M7" s="452">
        <f>landbouw!M8</f>
        <v>0</v>
      </c>
      <c r="N7" s="452">
        <f>landbouw!N8</f>
        <v>0</v>
      </c>
      <c r="O7" s="452">
        <f>landbouw!O8</f>
        <v>0</v>
      </c>
      <c r="P7" s="453">
        <f>landbouw!P8</f>
        <v>0</v>
      </c>
      <c r="Q7" s="451">
        <f t="shared" si="0"/>
        <v>11133.361953659269</v>
      </c>
    </row>
    <row r="8" spans="1:17">
      <c r="A8" s="451" t="s">
        <v>625</v>
      </c>
      <c r="B8" s="452">
        <f>industrie!B18</f>
        <v>21549.129613000005</v>
      </c>
      <c r="C8" s="452">
        <f>industrie!C18</f>
        <v>0</v>
      </c>
      <c r="D8" s="452">
        <f>industrie!D18</f>
        <v>18576.943330307997</v>
      </c>
      <c r="E8" s="452">
        <f>industrie!E18</f>
        <v>1442.0415511867691</v>
      </c>
      <c r="F8" s="452">
        <f>industrie!F18</f>
        <v>5067.4096223273518</v>
      </c>
      <c r="G8" s="452">
        <f>industrie!G18</f>
        <v>0</v>
      </c>
      <c r="H8" s="452">
        <f>industrie!H18</f>
        <v>0</v>
      </c>
      <c r="I8" s="452">
        <f>industrie!I18</f>
        <v>0</v>
      </c>
      <c r="J8" s="452">
        <f>industrie!J18</f>
        <v>146.98766999219308</v>
      </c>
      <c r="K8" s="452">
        <f>industrie!K18</f>
        <v>0</v>
      </c>
      <c r="L8" s="452">
        <f>industrie!L18</f>
        <v>0</v>
      </c>
      <c r="M8" s="452">
        <f>industrie!M18</f>
        <v>0</v>
      </c>
      <c r="N8" s="452">
        <f>industrie!N18</f>
        <v>884.26698942652206</v>
      </c>
      <c r="O8" s="452">
        <f>industrie!O18</f>
        <v>0</v>
      </c>
      <c r="P8" s="453">
        <f>industrie!P18</f>
        <v>0</v>
      </c>
      <c r="Q8" s="451">
        <f t="shared" si="0"/>
        <v>47666.778776240833</v>
      </c>
    </row>
    <row r="9" spans="1:17" s="457" customFormat="1">
      <c r="A9" s="455" t="s">
        <v>551</v>
      </c>
      <c r="B9" s="456">
        <f>transport!B14</f>
        <v>17.621203809477265</v>
      </c>
      <c r="C9" s="456">
        <f>transport!C14</f>
        <v>0</v>
      </c>
      <c r="D9" s="456">
        <f>transport!D14</f>
        <v>87.251101242908874</v>
      </c>
      <c r="E9" s="456">
        <f>transport!E14</f>
        <v>71.444496895044182</v>
      </c>
      <c r="F9" s="456">
        <f>transport!F14</f>
        <v>0</v>
      </c>
      <c r="G9" s="456">
        <f>transport!G14</f>
        <v>28266.912625205248</v>
      </c>
      <c r="H9" s="456">
        <f>transport!H14</f>
        <v>8057.2724636741186</v>
      </c>
      <c r="I9" s="456">
        <f>transport!I14</f>
        <v>0</v>
      </c>
      <c r="J9" s="456">
        <f>transport!J14</f>
        <v>0</v>
      </c>
      <c r="K9" s="456">
        <f>transport!K14</f>
        <v>0</v>
      </c>
      <c r="L9" s="456">
        <f>transport!L14</f>
        <v>0</v>
      </c>
      <c r="M9" s="456">
        <f>transport!M14</f>
        <v>2162.8322078085503</v>
      </c>
      <c r="N9" s="456">
        <f>transport!N14</f>
        <v>0</v>
      </c>
      <c r="O9" s="456">
        <f>transport!O14</f>
        <v>0</v>
      </c>
      <c r="P9" s="456">
        <f>transport!P14</f>
        <v>0</v>
      </c>
      <c r="Q9" s="455">
        <f>SUM(B9:P9)</f>
        <v>38663.334098635343</v>
      </c>
    </row>
    <row r="10" spans="1:17">
      <c r="A10" s="451" t="s">
        <v>541</v>
      </c>
      <c r="B10" s="452">
        <f>transport!B54</f>
        <v>0</v>
      </c>
      <c r="C10" s="452">
        <f>transport!C54</f>
        <v>0</v>
      </c>
      <c r="D10" s="452">
        <f>transport!D54</f>
        <v>0</v>
      </c>
      <c r="E10" s="452">
        <f>transport!E54</f>
        <v>0</v>
      </c>
      <c r="F10" s="452">
        <f>transport!F54</f>
        <v>0</v>
      </c>
      <c r="G10" s="452">
        <f>transport!G54</f>
        <v>1146.9208656935625</v>
      </c>
      <c r="H10" s="452">
        <f>transport!H54</f>
        <v>0</v>
      </c>
      <c r="I10" s="452">
        <f>transport!I54</f>
        <v>0</v>
      </c>
      <c r="J10" s="452">
        <f>transport!J54</f>
        <v>0</v>
      </c>
      <c r="K10" s="452">
        <f>transport!K54</f>
        <v>0</v>
      </c>
      <c r="L10" s="452">
        <f>transport!L54</f>
        <v>0</v>
      </c>
      <c r="M10" s="452">
        <f>transport!M54</f>
        <v>63.735959481888322</v>
      </c>
      <c r="N10" s="452">
        <f>transport!N54</f>
        <v>0</v>
      </c>
      <c r="O10" s="452">
        <f>transport!O54</f>
        <v>0</v>
      </c>
      <c r="P10" s="453">
        <f>transport!P54</f>
        <v>0</v>
      </c>
      <c r="Q10" s="451">
        <f t="shared" si="0"/>
        <v>1210.6568251754509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638.95927099999994</v>
      </c>
      <c r="C14" s="459"/>
      <c r="D14" s="459">
        <f>'SEAP template'!E25</f>
        <v>1601.1719459999999</v>
      </c>
      <c r="E14" s="459"/>
      <c r="F14" s="459"/>
      <c r="G14" s="459"/>
      <c r="H14" s="459"/>
      <c r="I14" s="459"/>
      <c r="J14" s="459"/>
      <c r="K14" s="459"/>
      <c r="L14" s="459"/>
      <c r="M14" s="459"/>
      <c r="N14" s="459"/>
      <c r="O14" s="459"/>
      <c r="P14" s="460"/>
      <c r="Q14" s="451">
        <f t="shared" si="0"/>
        <v>2240.1312170000001</v>
      </c>
    </row>
    <row r="15" spans="1:17" s="463" customFormat="1">
      <c r="A15" s="461" t="s">
        <v>545</v>
      </c>
      <c r="B15" s="462">
        <f ca="1">SUM(B4:B14)</f>
        <v>64823.705510768537</v>
      </c>
      <c r="C15" s="462">
        <f t="shared" ref="C15:Q15" ca="1" si="1">SUM(C4:C14)</f>
        <v>9565.0328185328181</v>
      </c>
      <c r="D15" s="462">
        <f t="shared" ca="1" si="1"/>
        <v>74812.184258243928</v>
      </c>
      <c r="E15" s="462">
        <f t="shared" si="1"/>
        <v>17887.698646521854</v>
      </c>
      <c r="F15" s="462">
        <f t="shared" ca="1" si="1"/>
        <v>20753.150614916693</v>
      </c>
      <c r="G15" s="462">
        <f t="shared" si="1"/>
        <v>29413.833490898811</v>
      </c>
      <c r="H15" s="462">
        <f t="shared" si="1"/>
        <v>8057.2724636741186</v>
      </c>
      <c r="I15" s="462">
        <f t="shared" si="1"/>
        <v>0</v>
      </c>
      <c r="J15" s="462">
        <f t="shared" si="1"/>
        <v>1135.2515626848462</v>
      </c>
      <c r="K15" s="462">
        <f t="shared" si="1"/>
        <v>0</v>
      </c>
      <c r="L15" s="462">
        <f t="shared" ca="1" si="1"/>
        <v>0</v>
      </c>
      <c r="M15" s="462">
        <f t="shared" si="1"/>
        <v>2226.5681672904384</v>
      </c>
      <c r="N15" s="462">
        <f t="shared" ca="1" si="1"/>
        <v>17983.19789238365</v>
      </c>
      <c r="O15" s="462">
        <f t="shared" si="1"/>
        <v>452.09193488973756</v>
      </c>
      <c r="P15" s="462">
        <f t="shared" si="1"/>
        <v>557.90786861151594</v>
      </c>
      <c r="Q15" s="462">
        <f t="shared" ca="1" si="1"/>
        <v>247667.89522941693</v>
      </c>
    </row>
    <row r="17" spans="1:17">
      <c r="A17" s="464" t="s">
        <v>546</v>
      </c>
      <c r="B17" s="781">
        <f ca="1">huishoudens!B10</f>
        <v>0.18151745477893028</v>
      </c>
      <c r="C17" s="781">
        <f ca="1">huishoudens!C10</f>
        <v>2.8538674546085715E-4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3270.7600770713457</v>
      </c>
      <c r="C22" s="452">
        <f t="shared" ref="C22:C32" ca="1" si="3">C4*$C$17</f>
        <v>0</v>
      </c>
      <c r="D22" s="452">
        <f t="shared" ref="D22:D32" si="4">D4*$D$17</f>
        <v>8160.281510371321</v>
      </c>
      <c r="E22" s="452">
        <f t="shared" ref="E22:E32" si="5">E4*$E$17</f>
        <v>3654.0399498017064</v>
      </c>
      <c r="F22" s="452">
        <f t="shared" ref="F22:F32" si="6">F4*$F$17</f>
        <v>1613.6223064252938</v>
      </c>
      <c r="G22" s="452">
        <f t="shared" ref="G22:G32" si="7">G4*$G$17</f>
        <v>0</v>
      </c>
      <c r="H22" s="452">
        <f t="shared" ref="H22:H32" si="8">H4*$H$17</f>
        <v>0</v>
      </c>
      <c r="I22" s="452">
        <f t="shared" ref="I22:I32" si="9">I4*$I$17</f>
        <v>0</v>
      </c>
      <c r="J22" s="452">
        <f t="shared" ref="J22:J32" si="10">J4*$J$17</f>
        <v>129.59978312215443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16828.303626791821</v>
      </c>
    </row>
    <row r="23" spans="1:17">
      <c r="A23" s="451" t="s">
        <v>155</v>
      </c>
      <c r="B23" s="452">
        <f t="shared" ca="1" si="2"/>
        <v>3899.5302374208923</v>
      </c>
      <c r="C23" s="452">
        <f t="shared" ca="1" si="3"/>
        <v>2.7297335863073706</v>
      </c>
      <c r="D23" s="452">
        <f t="shared" ca="1" si="4"/>
        <v>2817.36457679152</v>
      </c>
      <c r="E23" s="452">
        <f t="shared" si="5"/>
        <v>46.908213473862396</v>
      </c>
      <c r="F23" s="452">
        <f t="shared" ca="1" si="6"/>
        <v>443.66068418147762</v>
      </c>
      <c r="G23" s="452">
        <f t="shared" si="7"/>
        <v>0</v>
      </c>
      <c r="H23" s="452">
        <f t="shared" si="8"/>
        <v>0</v>
      </c>
      <c r="I23" s="452">
        <f t="shared" si="9"/>
        <v>0</v>
      </c>
      <c r="J23" s="452">
        <f t="shared" si="10"/>
        <v>9.2477464389923696E-3</v>
      </c>
      <c r="K23" s="452">
        <f t="shared" si="11"/>
        <v>0</v>
      </c>
      <c r="L23" s="452">
        <f t="shared" ca="1" si="12"/>
        <v>0</v>
      </c>
      <c r="M23" s="452">
        <f t="shared" si="13"/>
        <v>0</v>
      </c>
      <c r="N23" s="452">
        <f t="shared" ca="1" si="14"/>
        <v>0</v>
      </c>
      <c r="O23" s="452">
        <f t="shared" si="15"/>
        <v>0</v>
      </c>
      <c r="P23" s="453">
        <f t="shared" si="16"/>
        <v>0</v>
      </c>
      <c r="Q23" s="451">
        <f t="shared" ref="Q23:Q31" ca="1" si="17">SUM(B23:P23)</f>
        <v>7210.2026932004983</v>
      </c>
    </row>
    <row r="24" spans="1:17">
      <c r="A24" s="451" t="s">
        <v>193</v>
      </c>
      <c r="B24" s="452">
        <f t="shared" ca="1" si="2"/>
        <v>155.72563962939208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155.72563962939208</v>
      </c>
    </row>
    <row r="25" spans="1:17">
      <c r="A25" s="451" t="s">
        <v>111</v>
      </c>
      <c r="B25" s="452">
        <f t="shared" ca="1" si="2"/>
        <v>409.89410283399877</v>
      </c>
      <c r="C25" s="452">
        <f t="shared" ca="1" si="3"/>
        <v>0</v>
      </c>
      <c r="D25" s="452">
        <f t="shared" si="4"/>
        <v>40.811124737151999</v>
      </c>
      <c r="E25" s="452">
        <f t="shared" si="5"/>
        <v>15.998096570320792</v>
      </c>
      <c r="F25" s="452">
        <f t="shared" si="6"/>
        <v>2130.8098544145828</v>
      </c>
      <c r="G25" s="452">
        <f t="shared" si="7"/>
        <v>0</v>
      </c>
      <c r="H25" s="452">
        <f t="shared" si="8"/>
        <v>0</v>
      </c>
      <c r="I25" s="452">
        <f t="shared" si="9"/>
        <v>0</v>
      </c>
      <c r="J25" s="452">
        <f t="shared" si="10"/>
        <v>220.23638714460577</v>
      </c>
      <c r="K25" s="452">
        <f t="shared" si="11"/>
        <v>0</v>
      </c>
      <c r="L25" s="452">
        <f t="shared" si="12"/>
        <v>0</v>
      </c>
      <c r="M25" s="452">
        <f t="shared" si="13"/>
        <v>0</v>
      </c>
      <c r="N25" s="452">
        <f t="shared" si="14"/>
        <v>0</v>
      </c>
      <c r="O25" s="452">
        <f t="shared" si="15"/>
        <v>0</v>
      </c>
      <c r="P25" s="453">
        <f t="shared" si="16"/>
        <v>0</v>
      </c>
      <c r="Q25" s="451">
        <f t="shared" ca="1" si="17"/>
        <v>2817.7495657006602</v>
      </c>
    </row>
    <row r="26" spans="1:17">
      <c r="A26" s="451" t="s">
        <v>625</v>
      </c>
      <c r="B26" s="452">
        <f t="shared" ca="1" si="2"/>
        <v>3911.5431600530355</v>
      </c>
      <c r="C26" s="452">
        <f t="shared" ca="1" si="3"/>
        <v>0</v>
      </c>
      <c r="D26" s="452">
        <f t="shared" si="4"/>
        <v>3752.5425527222155</v>
      </c>
      <c r="E26" s="452">
        <f t="shared" si="5"/>
        <v>327.3434321193966</v>
      </c>
      <c r="F26" s="452">
        <f t="shared" si="6"/>
        <v>1352.9983691614029</v>
      </c>
      <c r="G26" s="452">
        <f t="shared" si="7"/>
        <v>0</v>
      </c>
      <c r="H26" s="452">
        <f t="shared" si="8"/>
        <v>0</v>
      </c>
      <c r="I26" s="452">
        <f t="shared" si="9"/>
        <v>0</v>
      </c>
      <c r="J26" s="452">
        <f t="shared" si="10"/>
        <v>52.033635177236349</v>
      </c>
      <c r="K26" s="452">
        <f t="shared" si="11"/>
        <v>0</v>
      </c>
      <c r="L26" s="452">
        <f t="shared" si="12"/>
        <v>0</v>
      </c>
      <c r="M26" s="452">
        <f t="shared" si="13"/>
        <v>0</v>
      </c>
      <c r="N26" s="452">
        <f t="shared" si="14"/>
        <v>0</v>
      </c>
      <c r="O26" s="452">
        <f t="shared" si="15"/>
        <v>0</v>
      </c>
      <c r="P26" s="453">
        <f t="shared" si="16"/>
        <v>0</v>
      </c>
      <c r="Q26" s="451">
        <f t="shared" ca="1" si="17"/>
        <v>9396.4611492332879</v>
      </c>
    </row>
    <row r="27" spans="1:17" s="457" customFormat="1">
      <c r="A27" s="455" t="s">
        <v>551</v>
      </c>
      <c r="B27" s="775">
        <f t="shared" ca="1" si="2"/>
        <v>3.1985560656371033</v>
      </c>
      <c r="C27" s="456">
        <f t="shared" ca="1" si="3"/>
        <v>0</v>
      </c>
      <c r="D27" s="456">
        <f t="shared" si="4"/>
        <v>17.624722451067594</v>
      </c>
      <c r="E27" s="456">
        <f t="shared" si="5"/>
        <v>16.21790079517503</v>
      </c>
      <c r="F27" s="456">
        <f t="shared" si="6"/>
        <v>0</v>
      </c>
      <c r="G27" s="456">
        <f t="shared" si="7"/>
        <v>7547.2656709298017</v>
      </c>
      <c r="H27" s="456">
        <f t="shared" si="8"/>
        <v>2006.2608434548556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9590.5676936965374</v>
      </c>
    </row>
    <row r="28" spans="1:17" ht="16.5" customHeight="1">
      <c r="A28" s="451" t="s">
        <v>541</v>
      </c>
      <c r="B28" s="452">
        <f t="shared" ca="1" si="2"/>
        <v>0</v>
      </c>
      <c r="C28" s="452">
        <f t="shared" ca="1" si="3"/>
        <v>0</v>
      </c>
      <c r="D28" s="452">
        <f t="shared" si="4"/>
        <v>0</v>
      </c>
      <c r="E28" s="452">
        <f t="shared" si="5"/>
        <v>0</v>
      </c>
      <c r="F28" s="452">
        <f t="shared" si="6"/>
        <v>0</v>
      </c>
      <c r="G28" s="452">
        <f t="shared" si="7"/>
        <v>306.22787114018121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306.22787114018121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115.98226057932075</v>
      </c>
      <c r="C32" s="452">
        <f t="shared" ca="1" si="3"/>
        <v>0</v>
      </c>
      <c r="D32" s="452">
        <f t="shared" si="4"/>
        <v>323.436733092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439.41899367132078</v>
      </c>
    </row>
    <row r="33" spans="1:17" s="463" customFormat="1">
      <c r="A33" s="461" t="s">
        <v>545</v>
      </c>
      <c r="B33" s="462">
        <f ca="1">SUM(B22:B32)</f>
        <v>11766.634033653623</v>
      </c>
      <c r="C33" s="462">
        <f t="shared" ref="C33:Q33" ca="1" si="19">SUM(C22:C32)</f>
        <v>2.7297335863073706</v>
      </c>
      <c r="D33" s="462">
        <f t="shared" ca="1" si="19"/>
        <v>15112.061220165277</v>
      </c>
      <c r="E33" s="462">
        <f t="shared" si="19"/>
        <v>4060.5075927604612</v>
      </c>
      <c r="F33" s="462">
        <f t="shared" ca="1" si="19"/>
        <v>5541.0912141827575</v>
      </c>
      <c r="G33" s="462">
        <f t="shared" si="19"/>
        <v>7853.4935420699831</v>
      </c>
      <c r="H33" s="462">
        <f t="shared" si="19"/>
        <v>2006.2608434548556</v>
      </c>
      <c r="I33" s="462">
        <f t="shared" si="19"/>
        <v>0</v>
      </c>
      <c r="J33" s="462">
        <f t="shared" si="19"/>
        <v>401.87905319043557</v>
      </c>
      <c r="K33" s="462">
        <f t="shared" si="19"/>
        <v>0</v>
      </c>
      <c r="L33" s="462">
        <f t="shared" ca="1" si="19"/>
        <v>0</v>
      </c>
      <c r="M33" s="462">
        <f t="shared" si="19"/>
        <v>0</v>
      </c>
      <c r="N33" s="462">
        <f t="shared" ca="1" si="19"/>
        <v>0</v>
      </c>
      <c r="O33" s="462">
        <f t="shared" si="19"/>
        <v>0</v>
      </c>
      <c r="P33" s="462">
        <f t="shared" si="19"/>
        <v>0</v>
      </c>
      <c r="Q33" s="462">
        <f t="shared" ca="1" si="19"/>
        <v>46744.657233063699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4894.1637609975514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6687.4589076625898</v>
      </c>
      <c r="C8" s="1029">
        <f>'SEAP template'!C76</f>
        <v>8.0410923374099017</v>
      </c>
      <c r="D8" s="1029">
        <f>'SEAP template'!D76</f>
        <v>9.459440367490938</v>
      </c>
      <c r="E8" s="1029">
        <f>'SEAP template'!E76</f>
        <v>0</v>
      </c>
      <c r="F8" s="1029">
        <f>'SEAP template'!F76</f>
        <v>0</v>
      </c>
      <c r="G8" s="1029">
        <f>'SEAP template'!G76</f>
        <v>0</v>
      </c>
      <c r="H8" s="1029">
        <f>'SEAP template'!H76</f>
        <v>0</v>
      </c>
      <c r="I8" s="1029">
        <f>'SEAP template'!I76</f>
        <v>0</v>
      </c>
      <c r="J8" s="1029">
        <f>'SEAP template'!J76</f>
        <v>7867.0429454932455</v>
      </c>
      <c r="K8" s="1029">
        <f>'SEAP template'!K76</f>
        <v>0</v>
      </c>
      <c r="L8" s="1029">
        <f>'SEAP template'!L76</f>
        <v>0</v>
      </c>
      <c r="M8" s="1029">
        <f>'SEAP template'!M76</f>
        <v>0</v>
      </c>
      <c r="N8" s="1029">
        <f>'SEAP template'!N76</f>
        <v>0</v>
      </c>
      <c r="O8" s="1029">
        <f>'SEAP template'!O76</f>
        <v>0</v>
      </c>
      <c r="P8" s="1030">
        <f>'SEAP template'!Q76</f>
        <v>1.9108069542331696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11581.62266866014</v>
      </c>
      <c r="C10" s="1031">
        <f>SUM(C4:C9)</f>
        <v>8.0410923374099017</v>
      </c>
      <c r="D10" s="1031">
        <f t="shared" ref="D10:H10" si="0">SUM(D8:D9)</f>
        <v>9.459440367490938</v>
      </c>
      <c r="E10" s="1031">
        <f t="shared" si="0"/>
        <v>0</v>
      </c>
      <c r="F10" s="1031">
        <f t="shared" si="0"/>
        <v>0</v>
      </c>
      <c r="G10" s="1031">
        <f t="shared" si="0"/>
        <v>0</v>
      </c>
      <c r="H10" s="1031">
        <f t="shared" si="0"/>
        <v>0</v>
      </c>
      <c r="I10" s="1031">
        <f>SUM(I8:I9)</f>
        <v>0</v>
      </c>
      <c r="J10" s="1031">
        <f>SUM(J8:J9)</f>
        <v>7867.0429454932455</v>
      </c>
      <c r="K10" s="1031">
        <f t="shared" ref="K10:L10" si="1">SUM(K8:K9)</f>
        <v>0</v>
      </c>
      <c r="L10" s="1031">
        <f t="shared" si="1"/>
        <v>0</v>
      </c>
      <c r="M10" s="1031">
        <f>SUM(M8:M9)</f>
        <v>0</v>
      </c>
      <c r="N10" s="1031">
        <f>SUM(N8:N9)</f>
        <v>0</v>
      </c>
      <c r="O10" s="1031">
        <f>SUM(O8:O9)</f>
        <v>0</v>
      </c>
      <c r="P10" s="1031">
        <f>SUM(P8:P9)</f>
        <v>1.9108069542331696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0.18151745477893028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9553.5455043510265</v>
      </c>
      <c r="C17" s="1032">
        <f>'SEAP template'!C87</f>
        <v>11.487314181790525</v>
      </c>
      <c r="D17" s="1030">
        <f>'SEAP template'!D87</f>
        <v>13.513532605482032</v>
      </c>
      <c r="E17" s="1030">
        <f>'SEAP template'!E87</f>
        <v>0</v>
      </c>
      <c r="F17" s="1030">
        <f>'SEAP template'!F87</f>
        <v>0</v>
      </c>
      <c r="G17" s="1030">
        <f>'SEAP template'!G87</f>
        <v>0</v>
      </c>
      <c r="H17" s="1030">
        <f>'SEAP template'!H87</f>
        <v>0</v>
      </c>
      <c r="I17" s="1030">
        <f>'SEAP template'!I87</f>
        <v>0</v>
      </c>
      <c r="J17" s="1030">
        <f>'SEAP template'!J87</f>
        <v>11238.671340221041</v>
      </c>
      <c r="K17" s="1030">
        <f>'SEAP template'!K87</f>
        <v>0</v>
      </c>
      <c r="L17" s="1030">
        <f>'SEAP template'!L87</f>
        <v>0</v>
      </c>
      <c r="M17" s="1030">
        <f>'SEAP template'!M87</f>
        <v>0</v>
      </c>
      <c r="N17" s="1030">
        <f>'SEAP template'!N87</f>
        <v>0</v>
      </c>
      <c r="O17" s="1030">
        <f>'SEAP template'!O87</f>
        <v>0</v>
      </c>
      <c r="P17" s="1030">
        <f>'SEAP template'!Q87</f>
        <v>2.7297335863073706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9553.5455043510265</v>
      </c>
      <c r="C20" s="1031">
        <f>SUM(C17:C19)</f>
        <v>11.487314181790525</v>
      </c>
      <c r="D20" s="1031">
        <f t="shared" ref="D20:H20" si="2">SUM(D17:D19)</f>
        <v>13.513532605482032</v>
      </c>
      <c r="E20" s="1031">
        <f t="shared" si="2"/>
        <v>0</v>
      </c>
      <c r="F20" s="1031">
        <f t="shared" si="2"/>
        <v>0</v>
      </c>
      <c r="G20" s="1031">
        <f t="shared" si="2"/>
        <v>0</v>
      </c>
      <c r="H20" s="1031">
        <f t="shared" si="2"/>
        <v>0</v>
      </c>
      <c r="I20" s="1031">
        <f>SUM(I17:I19)</f>
        <v>0</v>
      </c>
      <c r="J20" s="1031">
        <f>SUM(J17:J19)</f>
        <v>11238.671340221041</v>
      </c>
      <c r="K20" s="1031">
        <f t="shared" ref="K20:L20" si="3">SUM(K17:K19)</f>
        <v>0</v>
      </c>
      <c r="L20" s="1031">
        <f t="shared" si="3"/>
        <v>0</v>
      </c>
      <c r="M20" s="1031">
        <f>SUM(M17:M19)</f>
        <v>0</v>
      </c>
      <c r="N20" s="1031">
        <f>SUM(N17:N19)</f>
        <v>0</v>
      </c>
      <c r="O20" s="1031">
        <f>SUM(O17:O19)</f>
        <v>0</v>
      </c>
      <c r="P20" s="1031">
        <f>SUM(P17:P19)</f>
        <v>2.7297335863073706</v>
      </c>
    </row>
    <row r="21" spans="1:16">
      <c r="B21" s="887"/>
    </row>
    <row r="22" spans="1:16">
      <c r="A22" s="464" t="s">
        <v>797</v>
      </c>
      <c r="B22" s="781" t="s">
        <v>795</v>
      </c>
      <c r="C22" s="781">
        <f ca="1">'EF ele_warmte'!B22</f>
        <v>2.8538674546085715E-4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0.18151745477893028</v>
      </c>
      <c r="C17" s="501">
        <f ca="1">'EF ele_warmte'!B22</f>
        <v>2.8538674546085715E-4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2020-06-20T15:34:02Z</dcterms:modified>
</cp:coreProperties>
</file>