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0" i="13"/>
  <c r="C12" i="13" s="1"/>
  <c r="D41" i="14" s="1"/>
  <c r="D46" i="14" s="1"/>
  <c r="D61" i="14" s="1"/>
  <c r="D63" i="14" s="1"/>
  <c r="C29" i="20"/>
  <c r="C17" i="19"/>
  <c r="C19" i="19" s="1"/>
  <c r="D39" i="14" s="1"/>
  <c r="C18" i="15"/>
  <c r="C20" i="15" s="1"/>
  <c r="D40"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<sst xmlns="http://schemas.openxmlformats.org/spreadsheetml/2006/main" count="2411" uniqueCount="895">
  <si>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</si>
  <si>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</si>
  <si>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</si>
  <si>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</si>
  <si>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</si>
  <si>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</si>
  <si>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</si>
  <si>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</si>
  <si>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</si>
  <si>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</si>
  <si>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</si>
  <si>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</si>
  <si>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</si>
  <si>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</si>
  <si>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</si>
  <si>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</si>
  <si>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</si>
  <si>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</si>
  <si>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</si>
  <si>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</si>
  <si>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</si>
  <si>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</si>
  <si>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</si>
  <si>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</si>
  <si>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</si>
  <si>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</si>
  <si>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</si>
  <si>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</si>
  <si>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</si>
  <si>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</si>
  <si>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</si>
  <si>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</si>
  <si>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</si>
  <si>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</si>
  <si>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</si>
  <si>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</si>
  <si>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</si>
  <si>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</si>
  <si>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</si>
  <si>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</si>
  <si>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</si>
  <si>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</si>
  <si>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</si>
  <si>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</si>
  <si>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</si>
  <si>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</si>
  <si>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</si>
  <si>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</si>
  <si>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</si>
  <si>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</si>
  <si>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</si>
  <si>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</si>
  <si>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</si>
  <si>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</si>
  <si>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</si>
  <si>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</si>
  <si>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</si>
  <si>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</si>
  <si>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</si>
  <si>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</si>
  <si>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</si>
  <si>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</si>
  <si>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</si>
  <si>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</si>
  <si>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</si>
  <si>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</si>
  <si>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</si>
  <si>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</si>
  <si>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</si>
  <si>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</si>
  <si>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</si>
  <si>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</si>
  <si>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</si>
  <si>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</si>
  <si>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</si>
  <si>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</si>
  <si>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</si>
  <si>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</si>
  <si>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</si>
  <si>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</si>
  <si>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</si>
  <si>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</si>
  <si>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</si>
  <si>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</si>
  <si>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</si>
  <si>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</si>
  <si>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</si>
  <si>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</si>
  <si>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</si>
  <si>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</si>
  <si>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</si>
  <si>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</si>
  <si>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</si>
  <si>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</si>
  <si>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</si>
  <si>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</si>
  <si>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</si>
  <si>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</si>
  <si>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</si>
  <si>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</si>
  <si>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</si>
  <si>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</si>
  <si>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</si>
  <si>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</si>
  <si>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</si>
  <si>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</si>
  <si>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</si>
  <si>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</si>
  <si>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</si>
  <si>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</si>
  <si>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</si>
  <si>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</si>
  <si>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</si>
  <si>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</si>
  <si>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</si>
  <si>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</si>
  <si>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</si>
  <si>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</si>
  <si>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</si>
  <si>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</si>
  <si>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</si>
  <si>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</si>
  <si>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</si>
  <si>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</si>
  <si>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</si>
  <si>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</si>
  <si>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</si>
  <si>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</si>
  <si>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</si>
  <si>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</si>
  <si>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</si>
  <si>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</si>
  <si>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</si>
  <si>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</si>
  <si>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</si>
  <si>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</si>
  <si>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</si>
  <si>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</si>
  <si>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</si>
  <si>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</si>
  <si>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</si>
  <si>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</si>
  <si>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</si>
  <si>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</si>
  <si>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</si>
  <si>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</si>
  <si>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</si>
  <si>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</si>
  <si>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</si>
  <si>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</si>
  <si>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</si>
  <si>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</si>
  <si>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</si>
  <si>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</si>
  <si>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</si>
  <si>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</si>
  <si>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</si>
  <si>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</si>
  <si>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</si>
  <si>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</si>
  <si>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</si>
  <si>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</si>
  <si>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</si>
  <si>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</si>
  <si>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</si>
  <si>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</si>
  <si>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</si>
  <si>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</si>
  <si>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</si>
  <si>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</si>
  <si>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</si>
  <si>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</si>
  <si>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</si>
  <si>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</si>
  <si>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</si>
  <si>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</si>
  <si>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</si>
  <si>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</si>
  <si>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</si>
  <si>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</si>
  <si>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</si>
  <si>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</si>
  <si>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</si>
  <si>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</si>
  <si>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</si>
  <si>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</si>
  <si>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</si>
  <si>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</si>
  <si>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</si>
  <si>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</si>
  <si>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</si>
  <si>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</si>
  <si>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</si>
  <si>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</si>
  <si>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</si>
  <si>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</si>
  <si>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</si>
  <si>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</si>
  <si>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</si>
  <si>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</si>
  <si>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</si>
  <si>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</si>
  <si>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</si>
  <si>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</si>
  <si>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</si>
  <si>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</si>
  <si>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</si>
  <si>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</si>
  <si>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</si>
  <si>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</si>
  <si>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</si>
  <si>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</si>
  <si>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</si>
  <si>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</si>
  <si>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</si>
  <si>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</si>
  <si>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</si>
  <si>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</si>
  <si>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</si>
  <si>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</si>
  <si>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</si>
  <si>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</si>
  <si>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</si>
  <si>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</si>
  <si>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</si>
  <si>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</si>
  <si>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</si>
  <si>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</si>
  <si>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</si>
  <si>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</si>
  <si>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</si>
  <si>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</si>
  <si>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</si>
  <si>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</si>
  <si>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</si>
  <si>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</si>
  <si>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</si>
  <si>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</si>
  <si>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</si>
  <si>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</si>
  <si>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</si>
  <si>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</si>
  <si>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</si>
  <si>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</si>
  <si>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</si>
  <si>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</si>
  <si>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</si>
  <si>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</si>
  <si>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</si>
  <si>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</si>
  <si>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</si>
  <si>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</si>
  <si>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</si>
  <si>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</si>
  <si>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</si>
  <si>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</si>
  <si>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</si>
  <si>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</si>
  <si>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</si>
  <si>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</si>
  <si>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</si>
  <si>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</si>
  <si>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</si>
  <si>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</si>
  <si>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</si>
  <si>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</si>
  <si>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</si>
  <si>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</si>
  <si>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</si>
  <si>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</si>
  <si>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</si>
  <si>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</si>
  <si>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</si>
  <si>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</si>
  <si>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</si>
  <si>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</si>
  <si>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</si>
  <si>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</si>
  <si>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</si>
  <si>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</si>
  <si>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</si>
  <si>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</si>
  <si>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</si>
  <si>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</si>
  <si>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</si>
  <si>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</si>
  <si>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</si>
  <si>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</si>
  <si>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</si>
  <si>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</si>
  <si>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</si>
  <si>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</si>
  <si>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</si>
  <si>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</si>
  <si>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</si>
  <si>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</si>
  <si>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</si>
  <si>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</si>
  <si>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</si>
  <si>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</si>
  <si>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</si>
  <si>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</si>
  <si>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</si>
  <si>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</si>
  <si>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</si>
  <si>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</si>
  <si>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</si>
  <si>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</si>
  <si>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</si>
  <si>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</si>
  <si>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</si>
  <si>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</si>
  <si>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</si>
  <si>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</si>
  <si>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</si>
  <si>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</si>
  <si>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</si>
  <si>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</si>
  <si>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</si>
  <si>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</si>
  <si>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</si>
  <si>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</si>
  <si>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</si>
  <si>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</si>
  <si>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</si>
  <si>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</si>
  <si>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</si>
  <si>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</si>
  <si>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</si>
  <si>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</si>
  <si>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</si>
  <si>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</si>
  <si>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</si>
  <si>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</si>
  <si>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</si>
  <si>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</si>
  <si>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</si>
  <si>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</si>
  <si>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</si>
  <si>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</si>
  <si>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</si>
  <si>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</si>
  <si>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</si>
  <si>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</si>
  <si>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</si>
  <si>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</si>
  <si>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</si>
  <si>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</si>
  <si>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</si>
  <si>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</si>
  <si>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</si>
  <si>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</si>
  <si>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</si>
  <si>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</si>
  <si>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</si>
  <si>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</si>
  <si>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</si>
  <si>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</si>
  <si>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</si>
  <si>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</si>
  <si>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</si>
  <si>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</si>
  <si>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</si>
  <si>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</si>
  <si>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</si>
  <si>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</si>
  <si>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</si>
  <si>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</si>
  <si>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</si>
  <si>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</si>
  <si>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</si>
  <si>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</si>
  <si>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</si>
  <si>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</si>
  <si>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</si>
  <si>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</si>
  <si>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</si>
  <si>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</si>
  <si>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</si>
  <si>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</si>
  <si>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</si>
  <si>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</si>
  <si>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</si>
  <si>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</si>
  <si>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</si>
  <si>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</si>
  <si>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</si>
  <si>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</si>
  <si>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</si>
  <si>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</si>
  <si>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</si>
  <si>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</si>
  <si>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</si>
  <si>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</si>
  <si>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</si>
  <si>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</si>
  <si>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</si>
  <si>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</si>
  <si>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</si>
  <si>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</si>
  <si>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</si>
  <si>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</si>
  <si>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</si>
  <si>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</si>
  <si>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</si>
  <si>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</si>
  <si>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</si>
  <si>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</si>
  <si>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</si>
  <si>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</si>
  <si>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</si>
  <si>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</si>
  <si>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</si>
  <si>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</si>
  <si>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</si>
  <si>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</si>
  <si>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</si>
  <si>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</si>
  <si>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</si>
  <si>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</si>
  <si>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</si>
  <si>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</si>
  <si>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</si>
  <si>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</si>
  <si>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</si>
  <si>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</si>
  <si>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</si>
  <si>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</si>
  <si>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</si>
  <si>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</si>
  <si>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</si>
  <si>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</si>
  <si>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</si>
  <si>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</si>
  <si>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</si>
  <si>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</si>
  <si>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</si>
  <si>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</si>
  <si>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</si>
  <si>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</si>
  <si>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</si>
  <si>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</si>
  <si>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</si>
  <si>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</si>
  <si>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</si>
  <si>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</si>
  <si>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</si>
  <si>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</si>
  <si>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</si>
  <si>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</si>
  <si>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</si>
  <si>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</si>
  <si>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</si>
  <si>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</si>
  <si>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</si>
  <si>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</si>
  <si>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</si>
  <si>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</si>
  <si>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</si>
  <si>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</si>
  <si>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</si>
  <si>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</si>
  <si>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</si>
  <si>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</si>
  <si>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</si>
  <si>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</si>
  <si>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</si>
  <si>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</si>
  <si>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</si>
  <si>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</si>
  <si>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</si>
  <si>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</si>
  <si>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</si>
  <si>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</si>
  <si>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</si>
  <si>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</si>
  <si>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</si>
  <si>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</si>
  <si>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</si>
  <si>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</si>
  <si>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</si>
  <si>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</si>
  <si>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</si>
  <si>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</si>
  <si>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</si>
  <si>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</si>
  <si>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</si>
  <si>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</si>
  <si>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</si>
  <si>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</si>
  <si>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</si>
  <si>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</si>
  <si>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</si>
  <si>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</si>
  <si>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</si>
  <si>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</si>
  <si>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</si>
  <si>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</si>
  <si>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</si>
  <si>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</si>
  <si>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</si>
  <si>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</si>
  <si>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</si>
  <si>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</si>
  <si>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</si>
  <si>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</si>
  <si>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</si>
  <si>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</si>
  <si>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</si>
  <si>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</si>
  <si>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</si>
  <si>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</si>
  <si>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</si>
  <si>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</si>
  <si>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</si>
  <si>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</si>
  <si>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</si>
  <si>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</si>
  <si>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</si>
  <si>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</si>
  <si>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</si>
  <si>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</si>
  <si>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</si>
  <si>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</si>
  <si>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</si>
  <si>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</si>
  <si>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</si>
  <si>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</si>
  <si>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</si>
  <si>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</si>
  <si>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</si>
  <si>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</si>
  <si>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</si>
  <si>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</si>
  <si>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</si>
  <si>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</si>
  <si>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</si>
  <si>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</si>
  <si>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</si>
  <si>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</si>
  <si>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</si>
  <si>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</si>
  <si>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</si>
  <si>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</si>
  <si>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</si>
  <si>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</si>
  <si>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</si>
  <si>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</si>
  <si>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</si>
  <si>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</si>
  <si>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</si>
  <si>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</si>
  <si>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</si>
  <si>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</si>
  <si>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</si>
  <si>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</si>
  <si>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</si>
  <si>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</si>
  <si>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</si>
  <si>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</si>
  <si>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</si>
  <si>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</si>
  <si>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</si>
  <si>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</si>
  <si>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</si>
  <si>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</si>
  <si>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</si>
  <si>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</si>
  <si>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</si>
  <si>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</si>
  <si>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</si>
  <si>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</si>
  <si>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</si>
  <si>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</si>
  <si>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</si>
  <si>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</si>
  <si>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</si>
  <si>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</si>
  <si>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</si>
  <si>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</si>
  <si>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</si>
  <si>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</si>
  <si>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</si>
  <si>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</si>
  <si>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</si>
  <si>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</si>
  <si>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</si>
  <si>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</si>
  <si>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</si>
  <si>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</si>
  <si>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</si>
  <si>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</si>
  <si>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</si>
  <si>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</si>
  <si>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</si>
  <si>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</si>
  <si>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</si>
  <si>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</si>
  <si>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</si>
  <si>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</si>
  <si>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</si>
  <si>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</si>
  <si>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</si>
  <si>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</si>
  <si>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</si>
  <si>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</si>
  <si>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</si>
  <si>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</si>
  <si>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</si>
  <si>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</si>
  <si>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</si>
  <si>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</si>
  <si>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</si>
  <si>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</si>
  <si>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</si>
  <si>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</si>
  <si>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</si>
  <si>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</si>
  <si>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</si>
  <si>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</si>
  <si>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</si>
  <si>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</si>
  <si>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</si>
  <si>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</si>
  <si>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</si>
  <si>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</si>
  <si>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</si>
  <si>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</si>
  <si>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</si>
  <si>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</si>
  <si>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</si>
  <si>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</si>
  <si>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</si>
  <si>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</si>
  <si>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</si>
  <si>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</si>
  <si>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</si>
  <si>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</si>
  <si>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</si>
  <si>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</si>
  <si>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</si>
  <si>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</si>
  <si>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</si>
  <si>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</si>
  <si>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</si>
  <si>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</si>
  <si>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</si>
  <si>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</si>
  <si>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</si>
  <si>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</si>
  <si>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</si>
  <si>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</si>
  <si>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</si>
  <si>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</si>
  <si>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</si>
  <si>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</si>
  <si>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</si>
  <si>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</si>
  <si>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</si>
  <si>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</si>
  <si>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</si>
  <si>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</si>
  <si>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</si>
  <si>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</si>
  <si>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</si>
  <si>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</si>
  <si>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</si>
  <si>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</si>
  <si>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</si>
  <si>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</si>
  <si>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</si>
  <si>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</si>
  <si>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</si>
  <si>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</si>
  <si>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</si>
  <si>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</si>
  <si>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</si>
  <si>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</si>
  <si>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</si>
  <si>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</si>
  <si>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</si>
  <si>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</si>
  <si>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</si>
  <si>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</si>
  <si>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</si>
  <si>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</si>
  <si>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</si>
  <si>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</si>
  <si>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</si>
  <si>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</si>
  <si>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</si>
  <si>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</si>
  <si>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</si>
  <si>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</si>
  <si>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</si>
  <si>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</si>
  <si>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</si>
  <si>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</si>
  <si>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</si>
  <si>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</si>
  <si>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</si>
  <si>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</si>
  <si>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</si>
  <si>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</si>
  <si>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</si>
  <si>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</si>
  <si>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</si>
  <si>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</si>
  <si>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</si>
  <si>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</si>
  <si>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</si>
  <si>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</si>
  <si>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</si>
  <si>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</si>
  <si>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</si>
  <si>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</si>
  <si>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</si>
  <si>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</si>
  <si>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</si>
  <si>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</si>
  <si>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</si>
  <si>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</si>
  <si>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</si>
  <si>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</si>
  <si>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</si>
  <si>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</si>
  <si>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</si>
  <si>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</si>
  <si>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</si>
  <si>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</si>
  <si>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</si>
  <si>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</si>
  <si>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</si>
  <si>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</si>
  <si>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</si>
  <si>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</si>
  <si>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</si>
  <si>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</si>
  <si>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</si>
  <si>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</si>
  <si>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</si>
  <si>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</si>
  <si>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</si>
  <si>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</si>
  <si>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</si>
  <si>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</si>
  <si>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</si>
  <si>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</si>
  <si>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</si>
  <si>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</si>
  <si>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</si>
  <si>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</si>
  <si>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</si>
  <si>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</si>
  <si>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</si>
  <si>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</si>
  <si>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</si>
  <si>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</si>
  <si>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</si>
  <si>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</si>
  <si>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</si>
  <si>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</si>
  <si>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</si>
  <si>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</si>
  <si>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</si>
  <si>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</si>
  <si>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</si>
  <si>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</si>
  <si>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</si>
  <si>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</si>
  <si>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</si>
  <si>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</si>
  <si>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</si>
  <si>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</si>
  <si>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</si>
  <si>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</si>
  <si>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</si>
  <si>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</si>
  <si>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</si>
  <si>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</si>
  <si>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</si>
  <si>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</si>
  <si>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</si>
  <si>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</si>
  <si>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</si>
  <si>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</si>
  <si>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</si>
  <si>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</si>
  <si>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</si>
  <si>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</si>
  <si>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</si>
  <si>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</si>
  <si>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</si>
  <si>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</si>
  <si>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</si>
  <si>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</si>
  <si>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</si>
  <si>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</si>
  <si>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</si>
  <si>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</si>
  <si>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</si>
  <si>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</si>
  <si>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</si>
  <si>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</si>
  <si>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</si>
  <si>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</si>
  <si>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</si>
  <si>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</si>
  <si>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</si>
  <si>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</si>
  <si>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</si>
  <si>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</si>
  <si>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</si>
  <si>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</si>
  <si>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</si>
  <si>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</si>
  <si>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</si>
  <si>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</si>
  <si>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</si>
  <si>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</si>
  <si>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</si>
  <si>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</si>
  <si>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</si>
  <si>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</si>
  <si>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</si>
  <si>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</si>
  <si>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</si>
  <si>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</si>
  <si>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</si>
  <si>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</si>
  <si>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</si>
  <si>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</si>
  <si>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</si>
  <si>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</si>
  <si>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</si>
  <si>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</si>
  <si>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</si>
  <si>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</si>
  <si>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</si>
  <si>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</si>
  <si>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</si>
  <si>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</si>
  <si>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</si>
  <si>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</si>
  <si>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</si>
  <si>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</si>
  <si>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</si>
  <si>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</si>
  <si>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</si>
  <si>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</si>
  <si>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</si>
  <si>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</si>
  <si>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</si>
  <si>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</si>
  <si>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</si>
  <si>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</si>
  <si>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</si>
  <si>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</si>
  <si>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</si>
  <si>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</si>
  <si>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</si>
  <si>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</si>
  <si>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</si>
  <si>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</si>
  <si>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</si>
  <si>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</si>
  <si>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</si>
  <si>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</si>
  <si>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</si>
  <si>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</si>
  <si>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</si>
  <si>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</si>
  <si>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</si>
  <si>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</si>
  <si>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</si>
  <si>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</si>
  <si>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</si>
  <si>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</si>
  <si>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</si>
  <si>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</si>
  <si>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</si>
  <si>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</si>
  <si>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</si>
  <si>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</si>
  <si>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</si>
  <si>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36011</t>
  </si>
  <si>
    <t>LICHTERVELDE</t>
  </si>
  <si>
    <t>referentietaak LNE (2017); Jaarverslag De Lijn</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</si>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</sst>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77795.370178953555</c:v>
                </c:pt>
                <c:pt idx="1">
                  <c:v>18649.471325489034</c:v>
                </c:pt>
                <c:pt idx="2">
                  <c:v>396.50378600000005</c:v>
                </c:pt>
                <c:pt idx="3">
                  <c:v>23791.155829310948</c:v>
                </c:pt>
                <c:pt idx="4">
                  <c:v>43779.648443267004</c:v>
                </c:pt>
                <c:pt idx="5">
                  <c:v>148777.30407947075</c:v>
                </c:pt>
                <c:pt idx="6">
                  <c:v>335.71333257366462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77795.370178953555</c:v>
                </c:pt>
                <c:pt idx="1">
                  <c:v>18649.471325489034</c:v>
                </c:pt>
                <c:pt idx="2">
                  <c:v>396.50378600000005</c:v>
                </c:pt>
                <c:pt idx="3">
                  <c:v>23791.155829310948</c:v>
                </c:pt>
                <c:pt idx="4">
                  <c:v>43779.648443267004</c:v>
                </c:pt>
                <c:pt idx="5">
                  <c:v>148777.30407947075</c:v>
                </c:pt>
                <c:pt idx="6">
                  <c:v>335.71333257366462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13981.421809440924</c:v>
                </c:pt>
                <c:pt idx="1">
                  <c:v>3736.8977183991265</c:v>
                </c:pt>
                <c:pt idx="2">
                  <c:v>81.780921993003147</c:v>
                </c:pt>
                <c:pt idx="3">
                  <c:v>5999.5194787178953</c:v>
                </c:pt>
                <c:pt idx="4">
                  <c:v>9095.1756684001884</c:v>
                </c:pt>
                <c:pt idx="5">
                  <c:v>37083.711848195788</c:v>
                </c:pt>
                <c:pt idx="6">
                  <c:v>84.916532091999144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13981.421809440924</c:v>
                </c:pt>
                <c:pt idx="1">
                  <c:v>3736.8977183991265</c:v>
                </c:pt>
                <c:pt idx="2">
                  <c:v>81.780921993003147</c:v>
                </c:pt>
                <c:pt idx="3">
                  <c:v>5999.5194787178953</c:v>
                </c:pt>
                <c:pt idx="4">
                  <c:v>9095.1756684001884</c:v>
                </c:pt>
                <c:pt idx="5">
                  <c:v>37083.711848195788</c:v>
                </c:pt>
                <c:pt idx="6">
                  <c:v>84.916532091999144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36011</v>
      </c>
      <c r="B6" s="390"/>
      <c r="C6" s="391"/>
    </row>
    <row r="7" spans="1:7" s="388" customFormat="1" ht="15.75" customHeight="1">
      <c r="A7" s="392" t="str">
        <f>txtMunicipality</f>
        <v>LICHTERVELDE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0.20625508476986681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0.20625508476986681</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3630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1721.51</v>
      </c>
      <c r="C14" s="330"/>
      <c r="D14" s="330"/>
      <c r="E14" s="330"/>
      <c r="F14" s="330"/>
    </row>
    <row r="15" spans="1:6">
      <c r="A15" s="1298" t="s">
        <v>183</v>
      </c>
      <c r="B15" s="1299">
        <v>1381</v>
      </c>
      <c r="C15" s="330"/>
      <c r="D15" s="330"/>
      <c r="E15" s="330"/>
      <c r="F15" s="330"/>
    </row>
    <row r="16" spans="1:6">
      <c r="A16" s="1298" t="s">
        <v>6</v>
      </c>
      <c r="B16" s="1299">
        <v>965</v>
      </c>
      <c r="C16" s="330"/>
      <c r="D16" s="330"/>
      <c r="E16" s="330"/>
      <c r="F16" s="330"/>
    </row>
    <row r="17" spans="1:6">
      <c r="A17" s="1298" t="s">
        <v>7</v>
      </c>
      <c r="B17" s="1299">
        <v>748</v>
      </c>
      <c r="C17" s="330"/>
      <c r="D17" s="330"/>
      <c r="E17" s="330"/>
      <c r="F17" s="330"/>
    </row>
    <row r="18" spans="1:6">
      <c r="A18" s="1298" t="s">
        <v>8</v>
      </c>
      <c r="B18" s="1299">
        <v>1097</v>
      </c>
      <c r="C18" s="330"/>
      <c r="D18" s="330"/>
      <c r="E18" s="330"/>
      <c r="F18" s="330"/>
    </row>
    <row r="19" spans="1:6">
      <c r="A19" s="1298" t="s">
        <v>9</v>
      </c>
      <c r="B19" s="1299">
        <v>993</v>
      </c>
      <c r="C19" s="330"/>
      <c r="D19" s="330"/>
      <c r="E19" s="330"/>
      <c r="F19" s="330"/>
    </row>
    <row r="20" spans="1:6">
      <c r="A20" s="1298" t="s">
        <v>10</v>
      </c>
      <c r="B20" s="1299">
        <v>796</v>
      </c>
      <c r="C20" s="330"/>
      <c r="D20" s="330"/>
      <c r="E20" s="330"/>
      <c r="F20" s="330"/>
    </row>
    <row r="21" spans="1:6">
      <c r="A21" s="1298" t="s">
        <v>11</v>
      </c>
      <c r="B21" s="1299">
        <v>11512</v>
      </c>
      <c r="C21" s="330"/>
      <c r="D21" s="330"/>
      <c r="E21" s="330"/>
      <c r="F21" s="330"/>
    </row>
    <row r="22" spans="1:6">
      <c r="A22" s="1298" t="s">
        <v>12</v>
      </c>
      <c r="B22" s="1299">
        <v>48122</v>
      </c>
      <c r="C22" s="330"/>
      <c r="D22" s="330"/>
      <c r="E22" s="330"/>
      <c r="F22" s="330"/>
    </row>
    <row r="23" spans="1:6">
      <c r="A23" s="1298" t="s">
        <v>13</v>
      </c>
      <c r="B23" s="1299">
        <v>1016</v>
      </c>
      <c r="C23" s="330"/>
      <c r="D23" s="330"/>
      <c r="E23" s="330"/>
      <c r="F23" s="330"/>
    </row>
    <row r="24" spans="1:6">
      <c r="A24" s="1298" t="s">
        <v>14</v>
      </c>
      <c r="B24" s="1299">
        <v>172</v>
      </c>
      <c r="C24" s="330"/>
      <c r="D24" s="330"/>
      <c r="E24" s="330"/>
      <c r="F24" s="330"/>
    </row>
    <row r="25" spans="1:6">
      <c r="A25" s="1298" t="s">
        <v>15</v>
      </c>
      <c r="B25" s="1299">
        <v>3349</v>
      </c>
      <c r="C25" s="330"/>
      <c r="D25" s="330"/>
      <c r="E25" s="330"/>
      <c r="F25" s="330"/>
    </row>
    <row r="26" spans="1:6">
      <c r="A26" s="1298" t="s">
        <v>16</v>
      </c>
      <c r="B26" s="1299">
        <v>81</v>
      </c>
      <c r="C26" s="330"/>
      <c r="D26" s="330"/>
      <c r="E26" s="330"/>
      <c r="F26" s="330"/>
    </row>
    <row r="27" spans="1:6">
      <c r="A27" s="1298" t="s">
        <v>17</v>
      </c>
      <c r="B27" s="1299">
        <v>8</v>
      </c>
      <c r="C27" s="330"/>
      <c r="D27" s="330"/>
      <c r="E27" s="330"/>
      <c r="F27" s="330"/>
    </row>
    <row r="28" spans="1:6" s="43" customFormat="1">
      <c r="A28" s="1300" t="s">
        <v>18</v>
      </c>
      <c r="B28" s="1301">
        <v>222696</v>
      </c>
      <c r="C28" s="336"/>
      <c r="D28" s="336"/>
      <c r="E28" s="336"/>
      <c r="F28" s="336"/>
    </row>
    <row r="29" spans="1:6">
      <c r="A29" s="1300" t="s">
        <v>705</v>
      </c>
      <c r="B29" s="1301">
        <v>56</v>
      </c>
      <c r="C29" s="336"/>
      <c r="D29" s="336"/>
      <c r="E29" s="336"/>
      <c r="F29" s="336"/>
    </row>
    <row r="30" spans="1:6">
      <c r="A30" s="1293" t="s">
        <v>706</v>
      </c>
      <c r="B30" s="1302">
        <v>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100060.821</v>
      </c>
    </row>
    <row r="37" spans="1:6">
      <c r="A37" s="1298" t="s">
        <v>24</v>
      </c>
      <c r="B37" s="1298" t="s">
        <v>27</v>
      </c>
      <c r="C37" s="1299">
        <v>0</v>
      </c>
      <c r="D37" s="1299">
        <v>0</v>
      </c>
      <c r="E37" s="1299">
        <v>0</v>
      </c>
      <c r="F37" s="1299">
        <v>0</v>
      </c>
    </row>
    <row r="38" spans="1:6">
      <c r="A38" s="1298" t="s">
        <v>24</v>
      </c>
      <c r="B38" s="1298" t="s">
        <v>28</v>
      </c>
      <c r="C38" s="1299">
        <v>1</v>
      </c>
      <c r="D38" s="1299">
        <v>15164881.529999999</v>
      </c>
      <c r="E38" s="1299">
        <v>4</v>
      </c>
      <c r="F38" s="1299">
        <v>21094.392</v>
      </c>
    </row>
    <row r="39" spans="1:6">
      <c r="A39" s="1298" t="s">
        <v>29</v>
      </c>
      <c r="B39" s="1298" t="s">
        <v>30</v>
      </c>
      <c r="C39" s="1299">
        <v>2176</v>
      </c>
      <c r="D39" s="1299">
        <v>32480273.539999999</v>
      </c>
      <c r="E39" s="1299">
        <v>3368</v>
      </c>
      <c r="F39" s="1299">
        <v>13388173.189999999</v>
      </c>
    </row>
    <row r="40" spans="1:6">
      <c r="A40" s="1298" t="s">
        <v>29</v>
      </c>
      <c r="B40" s="1298" t="s">
        <v>28</v>
      </c>
      <c r="C40" s="1299">
        <v>0</v>
      </c>
      <c r="D40" s="1299">
        <v>0</v>
      </c>
      <c r="E40" s="1299">
        <v>0</v>
      </c>
      <c r="F40" s="1299">
        <v>0</v>
      </c>
    </row>
    <row r="41" spans="1:6">
      <c r="A41" s="1298" t="s">
        <v>31</v>
      </c>
      <c r="B41" s="1298" t="s">
        <v>32</v>
      </c>
      <c r="C41" s="1299">
        <v>40</v>
      </c>
      <c r="D41" s="1299">
        <v>788358.57900000003</v>
      </c>
      <c r="E41" s="1299">
        <v>135</v>
      </c>
      <c r="F41" s="1299">
        <v>1112584.22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15</v>
      </c>
      <c r="F44" s="1299">
        <v>708055.35100000002</v>
      </c>
    </row>
    <row r="45" spans="1:6">
      <c r="A45" s="1298" t="s">
        <v>31</v>
      </c>
      <c r="B45" s="1298" t="s">
        <v>36</v>
      </c>
      <c r="C45" s="1299">
        <v>0</v>
      </c>
      <c r="D45" s="1299">
        <v>0</v>
      </c>
      <c r="E45" s="1299">
        <v>0</v>
      </c>
      <c r="F45" s="1299">
        <v>0</v>
      </c>
    </row>
    <row r="46" spans="1:6">
      <c r="A46" s="1298" t="s">
        <v>31</v>
      </c>
      <c r="B46" s="1298" t="s">
        <v>37</v>
      </c>
      <c r="C46" s="1299">
        <v>3</v>
      </c>
      <c r="D46" s="1299">
        <v>29124865.890000001</v>
      </c>
      <c r="E46" s="1299">
        <v>3</v>
      </c>
      <c r="F46" s="1299">
        <v>670768.63399999996</v>
      </c>
    </row>
    <row r="47" spans="1:6">
      <c r="A47" s="1298" t="s">
        <v>31</v>
      </c>
      <c r="B47" s="1298" t="s">
        <v>38</v>
      </c>
      <c r="C47" s="1299">
        <v>0</v>
      </c>
      <c r="D47" s="1299">
        <v>0</v>
      </c>
      <c r="E47" s="1299">
        <v>0</v>
      </c>
      <c r="F47" s="1299">
        <v>0</v>
      </c>
    </row>
    <row r="48" spans="1:6">
      <c r="A48" s="1298" t="s">
        <v>31</v>
      </c>
      <c r="B48" s="1298" t="s">
        <v>28</v>
      </c>
      <c r="C48" s="1299">
        <v>31</v>
      </c>
      <c r="D48" s="1299">
        <v>16214867.609999999</v>
      </c>
      <c r="E48" s="1299">
        <v>39</v>
      </c>
      <c r="F48" s="1299">
        <v>17438665.640000001</v>
      </c>
    </row>
    <row r="49" spans="1:6">
      <c r="A49" s="1298" t="s">
        <v>31</v>
      </c>
      <c r="B49" s="1298" t="s">
        <v>39</v>
      </c>
      <c r="C49" s="1299">
        <v>0</v>
      </c>
      <c r="D49" s="1299">
        <v>0</v>
      </c>
      <c r="E49" s="1299">
        <v>0</v>
      </c>
      <c r="F49" s="1299">
        <v>0</v>
      </c>
    </row>
    <row r="50" spans="1:6">
      <c r="A50" s="1298" t="s">
        <v>31</v>
      </c>
      <c r="B50" s="1298" t="s">
        <v>40</v>
      </c>
      <c r="C50" s="1299">
        <v>6</v>
      </c>
      <c r="D50" s="1299">
        <v>471832.30699999997</v>
      </c>
      <c r="E50" s="1299">
        <v>14</v>
      </c>
      <c r="F50" s="1299">
        <v>1641942.8160000001</v>
      </c>
    </row>
    <row r="51" spans="1:6">
      <c r="A51" s="1298" t="s">
        <v>41</v>
      </c>
      <c r="B51" s="1298" t="s">
        <v>42</v>
      </c>
      <c r="C51" s="1299">
        <v>13</v>
      </c>
      <c r="D51" s="1299">
        <v>1740305.7620000001</v>
      </c>
      <c r="E51" s="1299">
        <v>141</v>
      </c>
      <c r="F51" s="1299">
        <v>3262964.8659999999</v>
      </c>
    </row>
    <row r="52" spans="1:6">
      <c r="A52" s="1298" t="s">
        <v>41</v>
      </c>
      <c r="B52" s="1298" t="s">
        <v>28</v>
      </c>
      <c r="C52" s="1299">
        <v>3</v>
      </c>
      <c r="D52" s="1299">
        <v>38354.381000000001</v>
      </c>
      <c r="E52" s="1299">
        <v>3</v>
      </c>
      <c r="F52" s="1299">
        <v>58134.781999999999</v>
      </c>
    </row>
    <row r="53" spans="1:6">
      <c r="A53" s="1298" t="s">
        <v>43</v>
      </c>
      <c r="B53" s="1298" t="s">
        <v>44</v>
      </c>
      <c r="C53" s="1299">
        <v>43</v>
      </c>
      <c r="D53" s="1299">
        <v>1086632.379</v>
      </c>
      <c r="E53" s="1299">
        <v>114</v>
      </c>
      <c r="F53" s="1299">
        <v>350596.19799999997</v>
      </c>
    </row>
    <row r="54" spans="1:6">
      <c r="A54" s="1298" t="s">
        <v>45</v>
      </c>
      <c r="B54" s="1298" t="s">
        <v>46</v>
      </c>
      <c r="C54" s="1299">
        <v>0</v>
      </c>
      <c r="D54" s="1299">
        <v>0</v>
      </c>
      <c r="E54" s="1299">
        <v>3</v>
      </c>
      <c r="F54" s="1299">
        <v>396503.78600000002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746851.19099999999</v>
      </c>
      <c r="E57" s="1299">
        <v>29</v>
      </c>
      <c r="F57" s="1299">
        <v>611788.39500000002</v>
      </c>
    </row>
    <row r="58" spans="1:6">
      <c r="A58" s="1298" t="s">
        <v>48</v>
      </c>
      <c r="B58" s="1298" t="s">
        <v>50</v>
      </c>
      <c r="C58" s="1299">
        <v>18</v>
      </c>
      <c r="D58" s="1299">
        <v>587065.19799999997</v>
      </c>
      <c r="E58" s="1299">
        <v>18</v>
      </c>
      <c r="F58" s="1299">
        <v>175133.56899999999</v>
      </c>
    </row>
    <row r="59" spans="1:6">
      <c r="A59" s="1298" t="s">
        <v>48</v>
      </c>
      <c r="B59" s="1298" t="s">
        <v>51</v>
      </c>
      <c r="C59" s="1299">
        <v>19</v>
      </c>
      <c r="D59" s="1299">
        <v>1065128.9180000001</v>
      </c>
      <c r="E59" s="1299">
        <v>95</v>
      </c>
      <c r="F59" s="1299">
        <v>2928902.102</v>
      </c>
    </row>
    <row r="60" spans="1:6">
      <c r="A60" s="1298" t="s">
        <v>48</v>
      </c>
      <c r="B60" s="1298" t="s">
        <v>52</v>
      </c>
      <c r="C60" s="1299">
        <v>31</v>
      </c>
      <c r="D60" s="1299">
        <v>926223.63100000005</v>
      </c>
      <c r="E60" s="1299">
        <v>37</v>
      </c>
      <c r="F60" s="1299">
        <v>518789.59299999999</v>
      </c>
    </row>
    <row r="61" spans="1:6">
      <c r="A61" s="1298" t="s">
        <v>48</v>
      </c>
      <c r="B61" s="1298" t="s">
        <v>53</v>
      </c>
      <c r="C61" s="1299">
        <v>40</v>
      </c>
      <c r="D61" s="1299">
        <v>2165273.4739999999</v>
      </c>
      <c r="E61" s="1299">
        <v>124</v>
      </c>
      <c r="F61" s="1299">
        <v>1584073.0819999999</v>
      </c>
    </row>
    <row r="62" spans="1:6">
      <c r="A62" s="1298" t="s">
        <v>48</v>
      </c>
      <c r="B62" s="1298" t="s">
        <v>54</v>
      </c>
      <c r="C62" s="1299">
        <v>4</v>
      </c>
      <c r="D62" s="1299">
        <v>703316.29700000002</v>
      </c>
      <c r="E62" s="1299">
        <v>3</v>
      </c>
      <c r="F62" s="1299">
        <v>10746.041999999999</v>
      </c>
    </row>
    <row r="63" spans="1:6">
      <c r="A63" s="1298" t="s">
        <v>48</v>
      </c>
      <c r="B63" s="1298" t="s">
        <v>28</v>
      </c>
      <c r="C63" s="1299">
        <v>77</v>
      </c>
      <c r="D63" s="1299">
        <v>4014649.3059999999</v>
      </c>
      <c r="E63" s="1299">
        <v>100</v>
      </c>
      <c r="F63" s="1299">
        <v>1999552.2830000001</v>
      </c>
    </row>
    <row r="64" spans="1:6">
      <c r="A64" s="1298" t="s">
        <v>55</v>
      </c>
      <c r="B64" s="1298" t="s">
        <v>56</v>
      </c>
      <c r="C64" s="1299">
        <v>0</v>
      </c>
      <c r="D64" s="1299">
        <v>0</v>
      </c>
      <c r="E64" s="1299">
        <v>0</v>
      </c>
      <c r="F64" s="1299">
        <v>0</v>
      </c>
    </row>
    <row r="65" spans="1:6">
      <c r="A65" s="1298" t="s">
        <v>55</v>
      </c>
      <c r="B65" s="1298" t="s">
        <v>28</v>
      </c>
      <c r="C65" s="1299">
        <v>1</v>
      </c>
      <c r="D65" s="1299">
        <v>74446.406000000003</v>
      </c>
      <c r="E65" s="1299">
        <v>4</v>
      </c>
      <c r="F65" s="1299">
        <v>23924.302</v>
      </c>
    </row>
    <row r="66" spans="1:6">
      <c r="A66" s="1298" t="s">
        <v>55</v>
      </c>
      <c r="B66" s="1298" t="s">
        <v>57</v>
      </c>
      <c r="C66" s="1299">
        <v>0</v>
      </c>
      <c r="D66" s="1299">
        <v>0</v>
      </c>
      <c r="E66" s="1299">
        <v>5</v>
      </c>
      <c r="F66" s="1299">
        <v>174514.70300000001</v>
      </c>
    </row>
    <row r="67" spans="1:6">
      <c r="A67" s="1300" t="s">
        <v>55</v>
      </c>
      <c r="B67" s="1300" t="s">
        <v>58</v>
      </c>
      <c r="C67" s="1299">
        <v>0</v>
      </c>
      <c r="D67" s="1299">
        <v>0</v>
      </c>
      <c r="E67" s="1299">
        <v>0</v>
      </c>
      <c r="F67" s="1299">
        <v>0</v>
      </c>
    </row>
    <row r="68" spans="1:6">
      <c r="A68" s="1293" t="s">
        <v>55</v>
      </c>
      <c r="B68" s="1293" t="s">
        <v>59</v>
      </c>
      <c r="C68" s="1302">
        <v>5</v>
      </c>
      <c r="D68" s="1302">
        <v>86161.576000000001</v>
      </c>
      <c r="E68" s="1302">
        <v>13</v>
      </c>
      <c r="F68" s="1302">
        <v>73812.28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38735946</v>
      </c>
      <c r="E73" s="450"/>
      <c r="F73" s="330"/>
    </row>
    <row r="74" spans="1:6">
      <c r="A74" s="1298" t="s">
        <v>63</v>
      </c>
      <c r="B74" s="1298" t="s">
        <v>647</v>
      </c>
      <c r="C74" s="1312" t="s">
        <v>649</v>
      </c>
      <c r="D74" s="1313">
        <v>5069028</v>
      </c>
      <c r="E74" s="450"/>
      <c r="F74" s="330"/>
    </row>
    <row r="75" spans="1:6">
      <c r="A75" s="1298" t="s">
        <v>64</v>
      </c>
      <c r="B75" s="1298" t="s">
        <v>646</v>
      </c>
      <c r="C75" s="1312" t="s">
        <v>650</v>
      </c>
      <c r="D75" s="1313">
        <v>7637253</v>
      </c>
      <c r="E75" s="450"/>
      <c r="F75" s="330"/>
    </row>
    <row r="76" spans="1:6">
      <c r="A76" s="1298" t="s">
        <v>64</v>
      </c>
      <c r="B76" s="1298" t="s">
        <v>647</v>
      </c>
      <c r="C76" s="1312" t="s">
        <v>651</v>
      </c>
      <c r="D76" s="1313">
        <v>484711</v>
      </c>
      <c r="E76" s="450"/>
      <c r="F76" s="330"/>
    </row>
    <row r="77" spans="1:6">
      <c r="A77" s="1298" t="s">
        <v>65</v>
      </c>
      <c r="B77" s="1298" t="s">
        <v>646</v>
      </c>
      <c r="C77" s="1312" t="s">
        <v>652</v>
      </c>
      <c r="D77" s="1313">
        <v>99941025</v>
      </c>
      <c r="E77" s="450"/>
      <c r="F77" s="330"/>
    </row>
    <row r="78" spans="1:6">
      <c r="A78" s="1293" t="s">
        <v>65</v>
      </c>
      <c r="B78" s="1293" t="s">
        <v>647</v>
      </c>
      <c r="C78" s="1293" t="s">
        <v>653</v>
      </c>
      <c r="D78" s="1314">
        <v>13492714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92156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2692.7032858050384</v>
      </c>
      <c r="C91" s="330"/>
      <c r="D91" s="330"/>
      <c r="E91" s="330"/>
      <c r="F91" s="330"/>
    </row>
    <row r="92" spans="1:6">
      <c r="A92" s="1293" t="s">
        <v>68</v>
      </c>
      <c r="B92" s="1294">
        <v>1024.6614715380172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1338</v>
      </c>
      <c r="C97" s="330"/>
      <c r="D97" s="330"/>
      <c r="E97" s="330"/>
      <c r="F97" s="330"/>
    </row>
    <row r="98" spans="1:6">
      <c r="A98" s="1298" t="s">
        <v>71</v>
      </c>
      <c r="B98" s="1299">
        <v>0</v>
      </c>
      <c r="C98" s="330"/>
      <c r="D98" s="330"/>
      <c r="E98" s="330"/>
      <c r="F98" s="330"/>
    </row>
    <row r="99" spans="1:6">
      <c r="A99" s="1298" t="s">
        <v>72</v>
      </c>
      <c r="B99" s="1299">
        <v>141</v>
      </c>
      <c r="C99" s="330"/>
      <c r="D99" s="330"/>
      <c r="E99" s="330"/>
      <c r="F99" s="330"/>
    </row>
    <row r="100" spans="1:6">
      <c r="A100" s="1298" t="s">
        <v>73</v>
      </c>
      <c r="B100" s="1299">
        <v>389</v>
      </c>
      <c r="C100" s="330"/>
      <c r="D100" s="330"/>
      <c r="E100" s="330"/>
      <c r="F100" s="330"/>
    </row>
    <row r="101" spans="1:6">
      <c r="A101" s="1298" t="s">
        <v>74</v>
      </c>
      <c r="B101" s="1299">
        <v>101</v>
      </c>
      <c r="C101" s="330"/>
      <c r="D101" s="330"/>
      <c r="E101" s="330"/>
      <c r="F101" s="330"/>
    </row>
    <row r="102" spans="1:6">
      <c r="A102" s="1298" t="s">
        <v>75</v>
      </c>
      <c r="B102" s="1299">
        <v>50</v>
      </c>
      <c r="C102" s="330"/>
      <c r="D102" s="330"/>
      <c r="E102" s="330"/>
      <c r="F102" s="330"/>
    </row>
    <row r="103" spans="1:6">
      <c r="A103" s="1298" t="s">
        <v>76</v>
      </c>
      <c r="B103" s="1299">
        <v>134</v>
      </c>
      <c r="C103" s="330"/>
      <c r="D103" s="330"/>
      <c r="E103" s="330"/>
      <c r="F103" s="330"/>
    </row>
    <row r="104" spans="1:6">
      <c r="A104" s="1298" t="s">
        <v>77</v>
      </c>
      <c r="B104" s="1299">
        <v>1014</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14</v>
      </c>
      <c r="C123" s="1299">
        <v>31</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182</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49620.054256435913</v>
      </c>
      <c r="C3" s="43" t="s">
        <v>169</v>
      </c>
      <c r="D3" s="43"/>
      <c r="E3" s="154"/>
      <c r="F3" s="43"/>
      <c r="G3" s="43"/>
      <c r="H3" s="43"/>
      <c r="I3" s="43"/>
      <c r="J3" s="43"/>
      <c r="K3" s="96"/>
    </row>
    <row r="4" spans="1:11">
      <c r="A4" s="358" t="s">
        <v>170</v>
      </c>
      <c r="B4" s="49">
        <f>IF(ISERROR('SEAP template'!B78+'SEAP template'!C78),0,'SEAP template'!B78+'SEAP template'!C78)</f>
        <v>9117.3647573430553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1283.294117647059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0.20625508476986681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1833.2773109243701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7714.2857142857147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396.50378600000005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396.50378600000005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0.20625508476986681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81.780921993003147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13388.17319</v>
      </c>
      <c r="C5" s="17">
        <f>IF(ISERROR('Eigen informatie GS &amp; warmtenet'!B59),0,'Eigen informatie GS &amp; warmtenet'!B59)</f>
        <v>0</v>
      </c>
      <c r="D5" s="30">
        <f>(SUM(HH_hh_gas_kWh,HH_rest_gas_kWh)/1000)*0.902</f>
        <v>29297.206733079998</v>
      </c>
      <c r="E5" s="17">
        <f>B46*B57</f>
        <v>13537.321832285241</v>
      </c>
      <c r="F5" s="17">
        <f>B51*B62</f>
        <v>5391.8574722354015</v>
      </c>
      <c r="G5" s="18"/>
      <c r="H5" s="17"/>
      <c r="I5" s="17"/>
      <c r="J5" s="17">
        <f>B50*B61+C50*C61</f>
        <v>661.08900466733246</v>
      </c>
      <c r="K5" s="17"/>
      <c r="L5" s="17"/>
      <c r="M5" s="17"/>
      <c r="N5" s="17">
        <f>B48*B59+C48*C59</f>
        <v>12098.950740228238</v>
      </c>
      <c r="O5" s="17">
        <f>B69*B70*B71</f>
        <v>422.58310072943772</v>
      </c>
      <c r="P5" s="17">
        <f>B77*B78*B79/1000-B77*B78*B79/1000/B80</f>
        <v>305.48481992286571</v>
      </c>
    </row>
    <row r="6" spans="1:16">
      <c r="A6" s="16" t="s">
        <v>611</v>
      </c>
      <c r="B6" s="783">
        <f>kWh_PV_kleiner_dan_10kW</f>
        <v>2692.7032858050384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16080.876475805038</v>
      </c>
      <c r="C8" s="21">
        <f>C5</f>
        <v>0</v>
      </c>
      <c r="D8" s="21">
        <f>D5</f>
        <v>29297.206733079998</v>
      </c>
      <c r="E8" s="21">
        <f>E5</f>
        <v>13537.321832285241</v>
      </c>
      <c r="F8" s="21">
        <f>F5</f>
        <v>5391.8574722354015</v>
      </c>
      <c r="G8" s="21"/>
      <c r="H8" s="21"/>
      <c r="I8" s="21"/>
      <c r="J8" s="21">
        <f>J5</f>
        <v>661.08900466733246</v>
      </c>
      <c r="K8" s="21"/>
      <c r="L8" s="21">
        <f>L5</f>
        <v>0</v>
      </c>
      <c r="M8" s="21">
        <f>M5</f>
        <v>0</v>
      </c>
      <c r="N8" s="21">
        <f>N5</f>
        <v>12098.950740228238</v>
      </c>
      <c r="O8" s="21">
        <f>O5</f>
        <v>422.58310072943772</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0.20625508476986681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3316.7625406909251</v>
      </c>
      <c r="C12" s="23">
        <f ca="1">C10*C8</f>
        <v>0</v>
      </c>
      <c r="D12" s="23">
        <f>D8*D10</f>
        <v>5918.0357600821599</v>
      </c>
      <c r="E12" s="23">
        <f>E10*E8</f>
        <v>3072.9720559287498</v>
      </c>
      <c r="F12" s="23">
        <f>F10*F8</f>
        <v>1439.6259450868522</v>
      </c>
      <c r="G12" s="23"/>
      <c r="H12" s="23"/>
      <c r="I12" s="23"/>
      <c r="J12" s="23">
        <f>J10*J8</f>
        <v>234.02550765223569</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1338</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22.345483359746435</v>
      </c>
      <c r="D20" s="229"/>
      <c r="E20" s="15"/>
    </row>
    <row r="21" spans="1:7">
      <c r="A21" s="171" t="s">
        <v>73</v>
      </c>
      <c r="B21" s="37">
        <f>aantalw2001_elektriciteit</f>
        <v>389</v>
      </c>
      <c r="C21" s="167">
        <f>IF(ISERROR(B21/SUM($B$20,$B$21,$B$22)*100),0,B21/SUM($B$20,$B$21,$B$22)*100)</f>
        <v>61.648177496038038</v>
      </c>
      <c r="D21" s="229"/>
      <c r="E21" s="15"/>
    </row>
    <row r="22" spans="1:7">
      <c r="A22" s="171" t="s">
        <v>74</v>
      </c>
      <c r="B22" s="37">
        <f>aantalw2001_hout</f>
        <v>101</v>
      </c>
      <c r="C22" s="167">
        <f>IF(ISERROR(B22/SUM($B$20,$B$21,$B$22)*100),0,B22/SUM($B$20,$B$21,$B$22)*100)</f>
        <v>16.006339144215531</v>
      </c>
      <c r="D22" s="229"/>
      <c r="E22" s="15"/>
    </row>
    <row r="23" spans="1:7">
      <c r="A23" s="171" t="s">
        <v>75</v>
      </c>
      <c r="B23" s="37">
        <f>aantalw2001_niet_gespec</f>
        <v>50</v>
      </c>
      <c r="C23" s="166" t="s">
        <v>110</v>
      </c>
      <c r="D23" s="228"/>
      <c r="E23" s="15"/>
    </row>
    <row r="24" spans="1:7">
      <c r="A24" s="171" t="s">
        <v>76</v>
      </c>
      <c r="B24" s="37">
        <f>aantalw2001_steenkool</f>
        <v>134</v>
      </c>
      <c r="C24" s="166" t="s">
        <v>110</v>
      </c>
      <c r="D24" s="229"/>
      <c r="E24" s="15"/>
    </row>
    <row r="25" spans="1:7">
      <c r="A25" s="171" t="s">
        <v>77</v>
      </c>
      <c r="B25" s="37">
        <f>aantalw2001_stookolie</f>
        <v>1014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3630</v>
      </c>
      <c r="C28" s="36"/>
      <c r="D28" s="228"/>
    </row>
    <row r="29" spans="1:7" s="15" customFormat="1">
      <c r="A29" s="230" t="s">
        <v>819</v>
      </c>
      <c r="B29" s="37">
        <f>SUM(HH_hh_gas_aantal,HH_rest_gas_aantal)</f>
        <v>2176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2176</v>
      </c>
      <c r="C32" s="167">
        <f>IF(ISERROR(B32/SUM($B$32,$B$34,$B$35,$B$36,$B$38,$B$39)*100),0,B32/SUM($B$32,$B$34,$B$35,$B$36,$B$38,$B$39)*100)</f>
        <v>60.427658983615665</v>
      </c>
      <c r="D32" s="233"/>
      <c r="G32" s="15"/>
    </row>
    <row r="33" spans="1:7">
      <c r="A33" s="171" t="s">
        <v>71</v>
      </c>
      <c r="B33" s="34" t="s">
        <v>110</v>
      </c>
      <c r="C33" s="167"/>
      <c r="D33" s="233"/>
      <c r="G33" s="15"/>
    </row>
    <row r="34" spans="1:7">
      <c r="A34" s="171" t="s">
        <v>72</v>
      </c>
      <c r="B34" s="33">
        <f>IF((($B$28-$B$32-$B$39-$B$77-$B$38)*C20/100)&lt;0,0,($B$28-$B$32-$B$39-$B$77-$B$38)*C20/100)</f>
        <v>249.15213946117274</v>
      </c>
      <c r="C34" s="167">
        <f>IF(ISERROR(B34/SUM($B$32,$B$34,$B$35,$B$36,$B$38,$B$39)*100),0,B34/SUM($B$32,$B$34,$B$35,$B$36,$B$38,$B$39)*100)</f>
        <v>6.9189708264696685</v>
      </c>
      <c r="D34" s="233"/>
      <c r="G34" s="15"/>
    </row>
    <row r="35" spans="1:7">
      <c r="A35" s="171" t="s">
        <v>73</v>
      </c>
      <c r="B35" s="33">
        <f>IF((($B$28-$B$32-$B$39-$B$77-$B$38)*C21/100)&lt;0,0,($B$28-$B$32-$B$39-$B$77-$B$38)*C21/100)</f>
        <v>687.37717908082413</v>
      </c>
      <c r="C35" s="167">
        <f>IF(ISERROR(B35/SUM($B$32,$B$34,$B$35,$B$36,$B$38,$B$39)*100),0,B35/SUM($B$32,$B$34,$B$35,$B$36,$B$38,$B$39)*100)</f>
        <v>19.088508166643269</v>
      </c>
      <c r="D35" s="233"/>
      <c r="G35" s="15"/>
    </row>
    <row r="36" spans="1:7">
      <c r="A36" s="171" t="s">
        <v>74</v>
      </c>
      <c r="B36" s="33">
        <f>IF((($B$28-$B$32-$B$39-$B$77-$B$38)*C22/100)&lt;0,0,($B$28-$B$32-$B$39-$B$77-$B$38)*C22/100)</f>
        <v>178.47068145800316</v>
      </c>
      <c r="C36" s="167">
        <f>IF(ISERROR(B36/SUM($B$32,$B$34,$B$35,$B$36,$B$38,$B$39)*100),0,B36/SUM($B$32,$B$34,$B$35,$B$36,$B$38,$B$39)*100)</f>
        <v>4.9561422232158616</v>
      </c>
      <c r="D36" s="233"/>
      <c r="G36" s="15"/>
    </row>
    <row r="37" spans="1:7">
      <c r="A37" s="171" t="s">
        <v>75</v>
      </c>
      <c r="B37" s="34" t="s">
        <v>110</v>
      </c>
      <c r="C37" s="167"/>
      <c r="D37" s="173"/>
      <c r="G37" s="15"/>
    </row>
    <row r="38" spans="1:7">
      <c r="A38" s="171" t="s">
        <v>76</v>
      </c>
      <c r="B38" s="33">
        <f>IF((B24-(B29-B18)*0.1)&lt;0,0,B24-(B29-B18)*0.1)</f>
        <v>50.199999999999989</v>
      </c>
      <c r="C38" s="167">
        <f>IF(ISERROR(B38/SUM($B$32,$B$34,$B$35,$B$36,$B$38,$B$39)*100),0,B38/SUM($B$32,$B$34,$B$35,$B$36,$B$38,$B$39)*100)</f>
        <v>1.3940572063315744</v>
      </c>
      <c r="D38" s="234"/>
      <c r="G38" s="15"/>
    </row>
    <row r="39" spans="1:7">
      <c r="A39" s="171" t="s">
        <v>77</v>
      </c>
      <c r="B39" s="33">
        <f>IF((B25-(B29-B18))&lt;0,0,B25-(B29-B18)*0.9)</f>
        <v>259.79999999999995</v>
      </c>
      <c r="C39" s="167">
        <f>IF(ISERROR(B39/SUM($B$32,$B$34,$B$35,$B$36,$B$38,$B$39)*100),0,B39/SUM($B$32,$B$34,$B$35,$B$36,$B$38,$B$39)*100)</f>
        <v>7.2146625937239639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2176</v>
      </c>
      <c r="C44" s="34" t="s">
        <v>110</v>
      </c>
      <c r="D44" s="174"/>
    </row>
    <row r="45" spans="1:7">
      <c r="A45" s="171" t="s">
        <v>71</v>
      </c>
      <c r="B45" s="33" t="str">
        <f t="shared" si="0"/>
        <v>-</v>
      </c>
      <c r="C45" s="34" t="s">
        <v>110</v>
      </c>
      <c r="D45" s="174"/>
    </row>
    <row r="46" spans="1:7">
      <c r="A46" s="171" t="s">
        <v>72</v>
      </c>
      <c r="B46" s="33">
        <f t="shared" si="0"/>
        <v>249.15213946117274</v>
      </c>
      <c r="C46" s="34" t="s">
        <v>110</v>
      </c>
      <c r="D46" s="174"/>
    </row>
    <row r="47" spans="1:7">
      <c r="A47" s="171" t="s">
        <v>73</v>
      </c>
      <c r="B47" s="33">
        <f t="shared" si="0"/>
        <v>687.37717908082413</v>
      </c>
      <c r="C47" s="34" t="s">
        <v>110</v>
      </c>
      <c r="D47" s="174"/>
    </row>
    <row r="48" spans="1:7">
      <c r="A48" s="171" t="s">
        <v>74</v>
      </c>
      <c r="B48" s="33">
        <f t="shared" si="0"/>
        <v>178.47068145800316</v>
      </c>
      <c r="C48" s="33">
        <f>B48*10</f>
        <v>1784.7068145800315</v>
      </c>
      <c r="D48" s="234"/>
    </row>
    <row r="49" spans="1:6">
      <c r="A49" s="171" t="s">
        <v>75</v>
      </c>
      <c r="B49" s="33" t="str">
        <f t="shared" si="0"/>
        <v>-</v>
      </c>
      <c r="C49" s="34" t="s">
        <v>110</v>
      </c>
      <c r="D49" s="234"/>
    </row>
    <row r="50" spans="1:6">
      <c r="A50" s="171" t="s">
        <v>76</v>
      </c>
      <c r="B50" s="33">
        <f t="shared" si="0"/>
        <v>50.199999999999989</v>
      </c>
      <c r="C50" s="33">
        <f>B50*2</f>
        <v>100.39999999999998</v>
      </c>
      <c r="D50" s="234"/>
    </row>
    <row r="51" spans="1:6">
      <c r="A51" s="171" t="s">
        <v>77</v>
      </c>
      <c r="B51" s="33">
        <f t="shared" si="0"/>
        <v>259.79999999999995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7828.9850659999993</v>
      </c>
      <c r="C5" s="17">
        <f>IF(ISERROR('Eigen informatie GS &amp; warmtenet'!B60),0,'Eigen informatie GS &amp; warmtenet'!B60)</f>
        <v>0</v>
      </c>
      <c r="D5" s="30">
        <f>SUM(D6:D12)</f>
        <v>9208.0742295300006</v>
      </c>
      <c r="E5" s="17">
        <f>SUM(E6:E12)</f>
        <v>124.27624924070875</v>
      </c>
      <c r="F5" s="17">
        <f>SUM(F6:F12)</f>
        <v>875.96630677579469</v>
      </c>
      <c r="G5" s="18"/>
      <c r="H5" s="17"/>
      <c r="I5" s="17"/>
      <c r="J5" s="17">
        <f>SUM(J6:J12)</f>
        <v>1.4217789369545691E-2</v>
      </c>
      <c r="K5" s="17"/>
      <c r="L5" s="17"/>
      <c r="M5" s="17"/>
      <c r="N5" s="17">
        <f>SUM(N6:N12)</f>
        <v>559.61611784666343</v>
      </c>
      <c r="O5" s="17">
        <f>B38*B39*B40</f>
        <v>0</v>
      </c>
      <c r="P5" s="17">
        <f>B46*B47*B48/1000-B46*B47*B48/1000/B49</f>
        <v>52.539138306495019</v>
      </c>
      <c r="R5" s="32"/>
    </row>
    <row r="6" spans="1:18">
      <c r="A6" s="32" t="s">
        <v>53</v>
      </c>
      <c r="B6" s="37">
        <f>B26</f>
        <v>1584.0730819999999</v>
      </c>
      <c r="C6" s="33"/>
      <c r="D6" s="37">
        <f>IF(ISERROR(TER_kantoor_gas_kWh/1000),0,TER_kantoor_gas_kWh/1000)*0.902</f>
        <v>1953.0766735480001</v>
      </c>
      <c r="E6" s="33">
        <f>$C$26*'E Balans VL '!I12/100/3.6*1000000</f>
        <v>12.746528197010818</v>
      </c>
      <c r="F6" s="33">
        <f>$C$26*('E Balans VL '!L12+'E Balans VL '!N12)/100/3.6*1000000</f>
        <v>193.66959818981644</v>
      </c>
      <c r="G6" s="34"/>
      <c r="H6" s="33"/>
      <c r="I6" s="33"/>
      <c r="J6" s="33">
        <f>$C$26*('E Balans VL '!D12+'E Balans VL '!E12)/100/3.6*1000000</f>
        <v>0</v>
      </c>
      <c r="K6" s="33"/>
      <c r="L6" s="33"/>
      <c r="M6" s="33"/>
      <c r="N6" s="33">
        <f>$C$26*'E Balans VL '!Y12/100/3.6*1000000</f>
        <v>0.85136127441877685</v>
      </c>
      <c r="O6" s="33"/>
      <c r="P6" s="33"/>
      <c r="R6" s="32"/>
    </row>
    <row r="7" spans="1:18">
      <c r="A7" s="32" t="s">
        <v>52</v>
      </c>
      <c r="B7" s="37">
        <f t="shared" ref="B7:B12" si="0">B27</f>
        <v>518.78959299999997</v>
      </c>
      <c r="C7" s="33"/>
      <c r="D7" s="37">
        <f>IF(ISERROR(TER_horeca_gas_kWh/1000),0,TER_horeca_gas_kWh/1000)*0.902</f>
        <v>835.45371516200009</v>
      </c>
      <c r="E7" s="33">
        <f>$C$27*'E Balans VL '!I9/100/3.6*1000000</f>
        <v>5.5705263042976085</v>
      </c>
      <c r="F7" s="33">
        <f>$C$27*('E Balans VL '!L9+'E Balans VL '!N9)/100/3.6*1000000</f>
        <v>62.397808068480558</v>
      </c>
      <c r="G7" s="34"/>
      <c r="H7" s="33"/>
      <c r="I7" s="33"/>
      <c r="J7" s="33">
        <f>$C$27*('E Balans VL '!D9+'E Balans VL '!E9)/100/3.6*1000000</f>
        <v>0</v>
      </c>
      <c r="K7" s="33"/>
      <c r="L7" s="33"/>
      <c r="M7" s="33"/>
      <c r="N7" s="33">
        <f>$C$27*'E Balans VL '!Y9/100/3.6*1000000</f>
        <v>7.7777074635015306E-2</v>
      </c>
      <c r="O7" s="33"/>
      <c r="P7" s="33"/>
      <c r="R7" s="32"/>
    </row>
    <row r="8" spans="1:18">
      <c r="A8" s="6" t="s">
        <v>51</v>
      </c>
      <c r="B8" s="37">
        <f t="shared" si="0"/>
        <v>2928.902102</v>
      </c>
      <c r="C8" s="33"/>
      <c r="D8" s="37">
        <f>IF(ISERROR(TER_handel_gas_kWh/1000),0,TER_handel_gas_kWh/1000)*0.902</f>
        <v>960.74628403600013</v>
      </c>
      <c r="E8" s="33">
        <f>$C$28*'E Balans VL '!I13/100/3.6*1000000</f>
        <v>78.602765670879293</v>
      </c>
      <c r="F8" s="33">
        <f>$C$28*('E Balans VL '!L13+'E Balans VL '!N13)/100/3.6*1000000</f>
        <v>279.50753162120151</v>
      </c>
      <c r="G8" s="34"/>
      <c r="H8" s="33"/>
      <c r="I8" s="33"/>
      <c r="J8" s="33">
        <f>$C$28*('E Balans VL '!D13+'E Balans VL '!E13)/100/3.6*1000000</f>
        <v>0</v>
      </c>
      <c r="K8" s="33"/>
      <c r="L8" s="33"/>
      <c r="M8" s="33"/>
      <c r="N8" s="33">
        <f>$C$28*'E Balans VL '!Y13/100/3.6*1000000</f>
        <v>1.1610500959787351</v>
      </c>
      <c r="O8" s="33"/>
      <c r="P8" s="33"/>
      <c r="R8" s="32"/>
    </row>
    <row r="9" spans="1:18">
      <c r="A9" s="32" t="s">
        <v>50</v>
      </c>
      <c r="B9" s="37">
        <f t="shared" si="0"/>
        <v>175.13356899999999</v>
      </c>
      <c r="C9" s="33"/>
      <c r="D9" s="37">
        <f>IF(ISERROR(TER_gezond_gas_kWh/1000),0,TER_gezond_gas_kWh/1000)*0.902</f>
        <v>529.532808596</v>
      </c>
      <c r="E9" s="33">
        <f>$C$29*'E Balans VL '!I10/100/3.6*1000000</f>
        <v>0.32825733427235043</v>
      </c>
      <c r="F9" s="33">
        <f>$C$29*('E Balans VL '!L10+'E Balans VL '!N10)/100/3.6*1000000</f>
        <v>14.397577342488187</v>
      </c>
      <c r="G9" s="34"/>
      <c r="H9" s="33"/>
      <c r="I9" s="33"/>
      <c r="J9" s="33">
        <f>$C$29*('E Balans VL '!D10+'E Balans VL '!E10)/100/3.6*1000000</f>
        <v>0</v>
      </c>
      <c r="K9" s="33"/>
      <c r="L9" s="33"/>
      <c r="M9" s="33"/>
      <c r="N9" s="33">
        <f>$C$29*'E Balans VL '!Y10/100/3.6*1000000</f>
        <v>1.362669835237821</v>
      </c>
      <c r="O9" s="33"/>
      <c r="P9" s="33"/>
      <c r="R9" s="32"/>
    </row>
    <row r="10" spans="1:18">
      <c r="A10" s="32" t="s">
        <v>49</v>
      </c>
      <c r="B10" s="37">
        <f t="shared" si="0"/>
        <v>611.78839500000004</v>
      </c>
      <c r="C10" s="33"/>
      <c r="D10" s="37">
        <f>IF(ISERROR(TER_ander_gas_kWh/1000),0,TER_ander_gas_kWh/1000)*0.902</f>
        <v>673.65977428199994</v>
      </c>
      <c r="E10" s="33">
        <f>$C$30*'E Balans VL '!I14/100/3.6*1000000</f>
        <v>0.94307801004852154</v>
      </c>
      <c r="F10" s="33">
        <f>$C$30*('E Balans VL '!L14+'E Balans VL '!N14)/100/3.6*1000000</f>
        <v>94.980317217222009</v>
      </c>
      <c r="G10" s="34"/>
      <c r="H10" s="33"/>
      <c r="I10" s="33"/>
      <c r="J10" s="33">
        <f>$C$30*('E Balans VL '!D14+'E Balans VL '!E14)/100/3.6*1000000</f>
        <v>1.0385753212338616E-2</v>
      </c>
      <c r="K10" s="33"/>
      <c r="L10" s="33"/>
      <c r="M10" s="33"/>
      <c r="N10" s="33">
        <f>$C$30*'E Balans VL '!Y14/100/3.6*1000000</f>
        <v>404.73959446112269</v>
      </c>
      <c r="O10" s="33"/>
      <c r="P10" s="33"/>
      <c r="R10" s="32"/>
    </row>
    <row r="11" spans="1:18">
      <c r="A11" s="32" t="s">
        <v>54</v>
      </c>
      <c r="B11" s="37">
        <f t="shared" si="0"/>
        <v>10.746041999999999</v>
      </c>
      <c r="C11" s="33"/>
      <c r="D11" s="37">
        <f>IF(ISERROR(TER_onderwijs_gas_kWh/1000),0,TER_onderwijs_gas_kWh/1000)*0.902</f>
        <v>634.3912998940001</v>
      </c>
      <c r="E11" s="33">
        <f>$C$31*'E Balans VL '!I11/100/3.6*1000000</f>
        <v>0.27409746707329519</v>
      </c>
      <c r="F11" s="33">
        <f>$C$31*('E Balans VL '!L11+'E Balans VL '!N11)/100/3.6*1000000</f>
        <v>1.2923126960990632</v>
      </c>
      <c r="G11" s="34"/>
      <c r="H11" s="33"/>
      <c r="I11" s="33"/>
      <c r="J11" s="33">
        <f>$C$31*('E Balans VL '!D11+'E Balans VL '!E11)/100/3.6*1000000</f>
        <v>0</v>
      </c>
      <c r="K11" s="33"/>
      <c r="L11" s="33"/>
      <c r="M11" s="33"/>
      <c r="N11" s="33">
        <f>$C$31*'E Balans VL '!Y11/100/3.6*1000000</f>
        <v>2.3898935202315858E-2</v>
      </c>
      <c r="O11" s="33"/>
      <c r="P11" s="33"/>
      <c r="R11" s="32"/>
    </row>
    <row r="12" spans="1:18">
      <c r="A12" s="32" t="s">
        <v>259</v>
      </c>
      <c r="B12" s="37">
        <f t="shared" si="0"/>
        <v>1999.552283</v>
      </c>
      <c r="C12" s="33"/>
      <c r="D12" s="37">
        <f>IF(ISERROR(TER_rest_gas_kWh/1000),0,TER_rest_gas_kWh/1000)*0.902</f>
        <v>3621.213674012</v>
      </c>
      <c r="E12" s="33">
        <f>$C$32*'E Balans VL '!I8/100/3.6*1000000</f>
        <v>25.810996257126881</v>
      </c>
      <c r="F12" s="33">
        <f>$C$32*('E Balans VL '!L8+'E Balans VL '!N8)/100/3.6*1000000</f>
        <v>229.72116164048691</v>
      </c>
      <c r="G12" s="34"/>
      <c r="H12" s="33"/>
      <c r="I12" s="33"/>
      <c r="J12" s="33">
        <f>$C$32*('E Balans VL '!D8+'E Balans VL '!E8)/100/3.6*1000000</f>
        <v>3.8320361572070751E-3</v>
      </c>
      <c r="K12" s="33"/>
      <c r="L12" s="33"/>
      <c r="M12" s="33"/>
      <c r="N12" s="33">
        <f>$C$32*'E Balans VL '!Y8/100/3.6*1000000</f>
        <v>151.39976617006801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7828.9850659999993</v>
      </c>
      <c r="C16" s="21">
        <f t="shared" ca="1" si="1"/>
        <v>0</v>
      </c>
      <c r="D16" s="21">
        <f t="shared" ca="1" si="1"/>
        <v>9208.0742295300006</v>
      </c>
      <c r="E16" s="21">
        <f t="shared" si="1"/>
        <v>124.27624924070875</v>
      </c>
      <c r="F16" s="21">
        <f t="shared" ca="1" si="1"/>
        <v>875.96630677579469</v>
      </c>
      <c r="G16" s="21">
        <f t="shared" si="1"/>
        <v>0</v>
      </c>
      <c r="H16" s="21">
        <f t="shared" si="1"/>
        <v>0</v>
      </c>
      <c r="I16" s="21">
        <f t="shared" si="1"/>
        <v>0</v>
      </c>
      <c r="J16" s="21">
        <f t="shared" si="1"/>
        <v>1.4217789369545691E-2</v>
      </c>
      <c r="K16" s="21">
        <f t="shared" si="1"/>
        <v>0</v>
      </c>
      <c r="L16" s="21">
        <f t="shared" ca="1" si="1"/>
        <v>0</v>
      </c>
      <c r="M16" s="21">
        <f t="shared" si="1"/>
        <v>0</v>
      </c>
      <c r="N16" s="21">
        <f t="shared" ca="1" si="1"/>
        <v>559.61611784666343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0.20625508476986681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1614.7679784498512</v>
      </c>
      <c r="C20" s="23">
        <f t="shared" ref="C20:P20" ca="1" si="2">C16*C18</f>
        <v>0</v>
      </c>
      <c r="D20" s="23">
        <f t="shared" ca="1" si="2"/>
        <v>1860.0309943650602</v>
      </c>
      <c r="E20" s="23">
        <f t="shared" si="2"/>
        <v>28.210708577640887</v>
      </c>
      <c r="F20" s="23">
        <f t="shared" ca="1" si="2"/>
        <v>233.88300390913719</v>
      </c>
      <c r="G20" s="23">
        <f t="shared" si="2"/>
        <v>0</v>
      </c>
      <c r="H20" s="23">
        <f t="shared" si="2"/>
        <v>0</v>
      </c>
      <c r="I20" s="23">
        <f t="shared" si="2"/>
        <v>0</v>
      </c>
      <c r="J20" s="23">
        <f t="shared" si="2"/>
        <v>5.033097436819174E-3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1584.0730819999999</v>
      </c>
      <c r="C26" s="39">
        <f>IF(ISERROR(B26*3.6/1000000/'E Balans VL '!Z12*100),0,B26*3.6/1000000/'E Balans VL '!Z12*100)</f>
        <v>3.3604661174183863E-2</v>
      </c>
      <c r="D26" s="237" t="s">
        <v>708</v>
      </c>
      <c r="F26" s="6"/>
    </row>
    <row r="27" spans="1:18">
      <c r="A27" s="231" t="s">
        <v>52</v>
      </c>
      <c r="B27" s="33">
        <f>IF(ISERROR(TER_horeca_ele_kWh/1000),0,TER_horeca_ele_kWh/1000)</f>
        <v>518.78959299999997</v>
      </c>
      <c r="C27" s="39">
        <f>IF(ISERROR(B27*3.6/1000000/'E Balans VL '!Z9*100),0,B27*3.6/1000000/'E Balans VL '!Z9*100)</f>
        <v>3.9069452053911595E-2</v>
      </c>
      <c r="D27" s="237" t="s">
        <v>708</v>
      </c>
      <c r="F27" s="6"/>
    </row>
    <row r="28" spans="1:18">
      <c r="A28" s="171" t="s">
        <v>51</v>
      </c>
      <c r="B28" s="33">
        <f>IF(ISERROR(TER_handel_ele_kWh/1000),0,TER_handel_ele_kWh/1000)</f>
        <v>2928.902102</v>
      </c>
      <c r="C28" s="39">
        <f>IF(ISERROR(B28*3.6/1000000/'E Balans VL '!Z13*100),0,B28*3.6/1000000/'E Balans VL '!Z13*100)</f>
        <v>8.5015650111209387E-2</v>
      </c>
      <c r="D28" s="237" t="s">
        <v>708</v>
      </c>
      <c r="F28" s="6"/>
    </row>
    <row r="29" spans="1:18">
      <c r="A29" s="231" t="s">
        <v>50</v>
      </c>
      <c r="B29" s="33">
        <f>IF(ISERROR(TER_gezond_ele_kWh/1000),0,TER_gezond_ele_kWh/1000)</f>
        <v>175.13356899999999</v>
      </c>
      <c r="C29" s="39">
        <f>IF(ISERROR(B29*3.6/1000000/'E Balans VL '!Z10*100),0,B29*3.6/1000000/'E Balans VL '!Z10*100)</f>
        <v>1.7662429288937524E-2</v>
      </c>
      <c r="D29" s="237" t="s">
        <v>708</v>
      </c>
      <c r="F29" s="6"/>
    </row>
    <row r="30" spans="1:18">
      <c r="A30" s="231" t="s">
        <v>49</v>
      </c>
      <c r="B30" s="33">
        <f>IF(ISERROR(TER_ander_ele_kWh/1000),0,TER_ander_ele_kWh/1000)</f>
        <v>611.78839500000004</v>
      </c>
      <c r="C30" s="39">
        <f>IF(ISERROR(B30*3.6/1000000/'E Balans VL '!Z14*100),0,B30*3.6/1000000/'E Balans VL '!Z14*100)</f>
        <v>4.4393594381298744E-2</v>
      </c>
      <c r="D30" s="237" t="s">
        <v>708</v>
      </c>
      <c r="F30" s="6"/>
    </row>
    <row r="31" spans="1:18">
      <c r="A31" s="231" t="s">
        <v>54</v>
      </c>
      <c r="B31" s="33">
        <f>IF(ISERROR(TER_onderwijs_ele_kWh/1000),0,TER_onderwijs_ele_kWh/1000)</f>
        <v>10.746041999999999</v>
      </c>
      <c r="C31" s="39">
        <f>IF(ISERROR(B31*3.6/1000000/'E Balans VL '!Z11*100),0,B31*3.6/1000000/'E Balans VL '!Z11*100)</f>
        <v>3.0630595692064458E-3</v>
      </c>
      <c r="D31" s="237" t="s">
        <v>708</v>
      </c>
    </row>
    <row r="32" spans="1:18">
      <c r="A32" s="231" t="s">
        <v>259</v>
      </c>
      <c r="B32" s="33">
        <f>IF(ISERROR(TER_rest_ele_kWh/1000),0,TER_rest_ele_kWh/1000)</f>
        <v>1999.552283</v>
      </c>
      <c r="C32" s="39">
        <f>IF(ISERROR(B32*3.6/1000000/'E Balans VL '!Z8*100),0,B32*3.6/1000000/'E Balans VL '!Z8*100)</f>
        <v>1.6379925012604383E-2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21572.016661000001</v>
      </c>
      <c r="C5" s="17">
        <f>IF(ISERROR('Eigen informatie GS &amp; warmtenet'!B61),0,'Eigen informatie GS &amp; warmtenet'!B61)</f>
        <v>0</v>
      </c>
      <c r="D5" s="30">
        <f>SUM(D6:D15)</f>
        <v>15762.502763392</v>
      </c>
      <c r="E5" s="17">
        <f>SUM(E6:E15)</f>
        <v>1142.6370212201844</v>
      </c>
      <c r="F5" s="17">
        <f>SUM(F6:F15)</f>
        <v>4212.8664809350303</v>
      </c>
      <c r="G5" s="18"/>
      <c r="H5" s="17"/>
      <c r="I5" s="17"/>
      <c r="J5" s="17">
        <f>SUM(J6:J15)</f>
        <v>219.20347710970637</v>
      </c>
      <c r="K5" s="17"/>
      <c r="L5" s="17"/>
      <c r="M5" s="17"/>
      <c r="N5" s="17">
        <f>SUM(N6:N15)</f>
        <v>870.4220396100784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670.76863399999991</v>
      </c>
      <c r="C7" s="33"/>
      <c r="D7" s="37">
        <f>IF( ISERROR(IND_nonf_gas_kWhh/1000),0,IND_nonf_gas_kWh/1000)*0.902</f>
        <v>0</v>
      </c>
      <c r="E7" s="33">
        <f>C29*'E Balans VL '!I17/100/3.6*1000000</f>
        <v>2.1486797722577382</v>
      </c>
      <c r="F7" s="33">
        <f>C29*'E Balans VL '!L17/100/3.6*1000000+C29*'E Balans VL '!N17/100/3.6*1000000</f>
        <v>34.694063380252366</v>
      </c>
      <c r="G7" s="34"/>
      <c r="H7" s="33"/>
      <c r="I7" s="33"/>
      <c r="J7" s="40">
        <f>C29*'E Balans VL '!D17/100/3.6*1000000+C29*'E Balans VL '!E17/100/3.6*1000000</f>
        <v>74.426770845836415</v>
      </c>
      <c r="K7" s="33"/>
      <c r="L7" s="33"/>
      <c r="M7" s="33"/>
      <c r="N7" s="33">
        <f>C29*'E Balans VL '!Y17/100/3.6*1000000</f>
        <v>0</v>
      </c>
      <c r="O7" s="33"/>
      <c r="P7" s="33"/>
      <c r="R7" s="32"/>
    </row>
    <row r="8" spans="1:18">
      <c r="A8" s="6" t="s">
        <v>35</v>
      </c>
      <c r="B8" s="37">
        <f t="shared" si="0"/>
        <v>708.05535099999997</v>
      </c>
      <c r="C8" s="33"/>
      <c r="D8" s="37">
        <f>IF( ISERROR(IND_metaal_Gas_kWH/1000),0,IND_metaal_Gas_kWH/1000)*0.902</f>
        <v>0</v>
      </c>
      <c r="E8" s="33">
        <f>C30*'E Balans VL '!I18/100/3.6*1000000</f>
        <v>5.1081223977740331</v>
      </c>
      <c r="F8" s="33">
        <f>C30*'E Balans VL '!L18/100/3.6*1000000+C30*'E Balans VL '!N18/100/3.6*1000000</f>
        <v>66.968980578476945</v>
      </c>
      <c r="G8" s="34"/>
      <c r="H8" s="33"/>
      <c r="I8" s="33"/>
      <c r="J8" s="40">
        <f>C30*'E Balans VL '!D18/100/3.6*1000000+C30*'E Balans VL '!E18/100/3.6*1000000</f>
        <v>0.71216618668572251</v>
      </c>
      <c r="K8" s="33"/>
      <c r="L8" s="33"/>
      <c r="M8" s="33"/>
      <c r="N8" s="33">
        <f>C30*'E Balans VL '!Y18/100/3.6*1000000</f>
        <v>8.9516929661515725</v>
      </c>
      <c r="O8" s="33"/>
      <c r="P8" s="33"/>
      <c r="R8" s="32"/>
    </row>
    <row r="9" spans="1:18">
      <c r="A9" s="6" t="s">
        <v>32</v>
      </c>
      <c r="B9" s="37">
        <f t="shared" si="0"/>
        <v>1112.58422</v>
      </c>
      <c r="C9" s="33"/>
      <c r="D9" s="37">
        <f>IF( ISERROR(IND_andere_gas_kWh/1000),0,IND_andere_gas_kWh/1000)*0.902</f>
        <v>711.09943825800008</v>
      </c>
      <c r="E9" s="33">
        <f>C31*'E Balans VL '!I19/100/3.6*1000000</f>
        <v>308.31196447685949</v>
      </c>
      <c r="F9" s="33">
        <f>C31*'E Balans VL '!L19/100/3.6*1000000+C31*'E Balans VL '!N19/100/3.6*1000000</f>
        <v>922.11220584902935</v>
      </c>
      <c r="G9" s="34"/>
      <c r="H9" s="33"/>
      <c r="I9" s="33"/>
      <c r="J9" s="40">
        <f>C31*'E Balans VL '!D19/100/3.6*1000000+C31*'E Balans VL '!E19/100/3.6*1000000</f>
        <v>0</v>
      </c>
      <c r="K9" s="33"/>
      <c r="L9" s="33"/>
      <c r="M9" s="33"/>
      <c r="N9" s="33">
        <f>C31*'E Balans VL '!Y19/100/3.6*1000000</f>
        <v>80.760005993770008</v>
      </c>
      <c r="O9" s="33"/>
      <c r="P9" s="33"/>
      <c r="R9" s="32"/>
    </row>
    <row r="10" spans="1:18">
      <c r="A10" s="6" t="s">
        <v>40</v>
      </c>
      <c r="B10" s="37">
        <f t="shared" si="0"/>
        <v>1641.9428160000002</v>
      </c>
      <c r="C10" s="33"/>
      <c r="D10" s="37">
        <f>IF( ISERROR(IND_voed_gas_kWh/1000),0,IND_voed_gas_kWh/1000)*0.902</f>
        <v>425.59274091399999</v>
      </c>
      <c r="E10" s="33">
        <f>C32*'E Balans VL '!I20/100/3.6*1000000</f>
        <v>2.9067949460088975</v>
      </c>
      <c r="F10" s="33">
        <f>C32*'E Balans VL '!L20/100/3.6*1000000+C32*'E Balans VL '!N20/100/3.6*1000000</f>
        <v>88.679464472640944</v>
      </c>
      <c r="G10" s="34"/>
      <c r="H10" s="33"/>
      <c r="I10" s="33"/>
      <c r="J10" s="40">
        <f>C32*'E Balans VL '!D20/100/3.6*1000000+C32*'E Balans VL '!E20/100/3.6*1000000</f>
        <v>0</v>
      </c>
      <c r="K10" s="33"/>
      <c r="L10" s="33"/>
      <c r="M10" s="33"/>
      <c r="N10" s="33">
        <f>C32*'E Balans VL '!Y20/100/3.6*1000000</f>
        <v>95.409417283141266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17438.665639999999</v>
      </c>
      <c r="C15" s="33"/>
      <c r="D15" s="37">
        <f>IF( ISERROR(IND_rest_gas_kWh/1000),0,IND_rest_gas_kWh/1000)*0.902</f>
        <v>14625.81058422</v>
      </c>
      <c r="E15" s="33">
        <f>C37*'E Balans VL '!I15/100/3.6*1000000</f>
        <v>824.1614596272841</v>
      </c>
      <c r="F15" s="33">
        <f>C37*'E Balans VL '!L15/100/3.6*1000000+C37*'E Balans VL '!N15/100/3.6*1000000</f>
        <v>3100.4117666546308</v>
      </c>
      <c r="G15" s="34"/>
      <c r="H15" s="33"/>
      <c r="I15" s="33"/>
      <c r="J15" s="40">
        <f>C37*'E Balans VL '!D15/100/3.6*1000000+C37*'E Balans VL '!E15/100/3.6*1000000</f>
        <v>144.06454007718423</v>
      </c>
      <c r="K15" s="33"/>
      <c r="L15" s="33"/>
      <c r="M15" s="33"/>
      <c r="N15" s="33">
        <f>C37*'E Balans VL '!Y15/100/3.6*1000000</f>
        <v>685.30092336701557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21572.016661000001</v>
      </c>
      <c r="C18" s="21">
        <f>C5+C16</f>
        <v>0</v>
      </c>
      <c r="D18" s="21">
        <f>MAX((D5+D16),0)</f>
        <v>15762.502763392</v>
      </c>
      <c r="E18" s="21">
        <f>MAX((E5+E16),0)</f>
        <v>1142.6370212201844</v>
      </c>
      <c r="F18" s="21">
        <f>MAX((F5+F16),0)</f>
        <v>4212.8664809350303</v>
      </c>
      <c r="G18" s="21"/>
      <c r="H18" s="21"/>
      <c r="I18" s="21"/>
      <c r="J18" s="21">
        <f>MAX((J5+J16),0)</f>
        <v>219.20347710970637</v>
      </c>
      <c r="K18" s="21"/>
      <c r="L18" s="21">
        <f>MAX((L5+L16),0)</f>
        <v>0</v>
      </c>
      <c r="M18" s="21"/>
      <c r="N18" s="21">
        <f>MAX((N5+N16),0)</f>
        <v>870.4220396100784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0.20625508476986681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4449.3381250715347</v>
      </c>
      <c r="C22" s="23">
        <f ca="1">C18*C20</f>
        <v>0</v>
      </c>
      <c r="D22" s="23">
        <f>D18*D20</f>
        <v>3184.0255582051841</v>
      </c>
      <c r="E22" s="23">
        <f>E18*E20</f>
        <v>259.37860381698187</v>
      </c>
      <c r="F22" s="23">
        <f>F18*F20</f>
        <v>1124.8353504096531</v>
      </c>
      <c r="G22" s="23"/>
      <c r="H22" s="23"/>
      <c r="I22" s="23"/>
      <c r="J22" s="23">
        <f>J18*J20</f>
        <v>77.59803089683605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670.76863399999991</v>
      </c>
      <c r="C29" s="39">
        <f>IF(ISERROR(B29*3.6/1000000/'E Balans VL '!Z17*100),0,B29*3.6/1000000/'E Balans VL '!Z17*100)</f>
        <v>0.16422902827188257</v>
      </c>
      <c r="D29" s="237" t="s">
        <v>708</v>
      </c>
    </row>
    <row r="30" spans="1:18">
      <c r="A30" s="171" t="s">
        <v>35</v>
      </c>
      <c r="B30" s="37">
        <f>IF( ISERROR(IND_metaal_ele_kWh/1000),0,IND_metaal_ele_kWh/1000)</f>
        <v>708.05535099999997</v>
      </c>
      <c r="C30" s="39">
        <f>IF(ISERROR(B30*3.6/1000000/'E Balans VL '!Z18*100),0,B30*3.6/1000000/'E Balans VL '!Z18*100)</f>
        <v>4.0874930600714399E-2</v>
      </c>
      <c r="D30" s="237" t="s">
        <v>708</v>
      </c>
    </row>
    <row r="31" spans="1:18">
      <c r="A31" s="6" t="s">
        <v>32</v>
      </c>
      <c r="B31" s="37">
        <f>IF( ISERROR(IND_ander_ele_kWh/1000),0,IND_ander_ele_kWh/1000)</f>
        <v>1112.58422</v>
      </c>
      <c r="C31" s="39">
        <f>IF(ISERROR(B31*3.6/1000000/'E Balans VL '!Z19*100),0,B31*3.6/1000000/'E Balans VL '!Z19*100)</f>
        <v>5.5959379963890409E-2</v>
      </c>
      <c r="D31" s="237" t="s">
        <v>708</v>
      </c>
    </row>
    <row r="32" spans="1:18">
      <c r="A32" s="171" t="s">
        <v>40</v>
      </c>
      <c r="B32" s="37">
        <f>IF( ISERROR(IND_voed_ele_kWh/1000),0,IND_voed_ele_kWh/1000)</f>
        <v>1641.9428160000002</v>
      </c>
      <c r="C32" s="39">
        <f>IF(ISERROR(B32*3.6/1000000/'E Balans VL '!Z20*100),0,B32*3.6/1000000/'E Balans VL '!Z20*100)</f>
        <v>5.4686446036583396E-2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17438.665639999999</v>
      </c>
      <c r="C37" s="39">
        <f>IF(ISERROR(B37*3.6/1000000/'E Balans VL '!Z15*100),0,B37*3.6/1000000/'E Balans VL '!Z15*100)</f>
        <v>0.13606928031102536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3321.0996479999999</v>
      </c>
      <c r="C5" s="17">
        <f>'Eigen informatie GS &amp; warmtenet'!B62</f>
        <v>0</v>
      </c>
      <c r="D5" s="30">
        <f>IF(ISERROR(SUM(LB_lb_gas_kWh,LB_rest_gas_kWh)/1000),0,SUM(LB_lb_gas_kWh,LB_rest_gas_kWh)/1000)*0.902</f>
        <v>1604.3514489860002</v>
      </c>
      <c r="E5" s="17">
        <f>B17*'E Balans VL '!I25/3.6*1000000/100</f>
        <v>103.6504248505241</v>
      </c>
      <c r="F5" s="17">
        <f>B17*('E Balans VL '!L25/3.6*1000000+'E Balans VL '!N25/3.6*1000000)/100</f>
        <v>11737.134057526499</v>
      </c>
      <c r="G5" s="18"/>
      <c r="H5" s="17"/>
      <c r="I5" s="17"/>
      <c r="J5" s="17">
        <f>('E Balans VL '!D25+'E Balans VL '!E25)/3.6*1000000*landbouw!B17/100</f>
        <v>914.98598464821134</v>
      </c>
      <c r="K5" s="17"/>
      <c r="L5" s="17">
        <f>L6*(-1)</f>
        <v>0</v>
      </c>
      <c r="M5" s="17"/>
      <c r="N5" s="17">
        <f>N6*(-1)</f>
        <v>0</v>
      </c>
      <c r="O5" s="17"/>
      <c r="P5" s="17"/>
      <c r="R5" s="32"/>
    </row>
    <row r="6" spans="1:18">
      <c r="A6" s="16" t="s">
        <v>478</v>
      </c>
      <c r="B6" s="17" t="s">
        <v>210</v>
      </c>
      <c r="C6" s="17">
        <f>'lokale energieproductie'!O39+'lokale energieproductie'!O32</f>
        <v>7714.2857142857147</v>
      </c>
      <c r="D6" s="308">
        <f>('lokale energieproductie'!P32+'lokale energieproductie'!P39)*(-1)</f>
        <v>-15428.571428571429</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3321.0996479999999</v>
      </c>
      <c r="C8" s="21">
        <f>C5+C6</f>
        <v>7714.2857142857147</v>
      </c>
      <c r="D8" s="21">
        <f>MAX((D5+D6),0)</f>
        <v>0</v>
      </c>
      <c r="E8" s="21">
        <f>MAX((E5+E6),0)</f>
        <v>103.6504248505241</v>
      </c>
      <c r="F8" s="21">
        <f>MAX((F5+F6),0)</f>
        <v>11737.134057526499</v>
      </c>
      <c r="G8" s="21"/>
      <c r="H8" s="21"/>
      <c r="I8" s="21"/>
      <c r="J8" s="21">
        <f>MAX((J5+J6),0)</f>
        <v>914.98598464821134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0.20625508476986681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684.99368942741478</v>
      </c>
      <c r="C12" s="23">
        <f ca="1">C8*C10</f>
        <v>1833.2773109243701</v>
      </c>
      <c r="D12" s="23">
        <f>D8*D10</f>
        <v>0</v>
      </c>
      <c r="E12" s="23">
        <f>E8*E10</f>
        <v>23.528646441068972</v>
      </c>
      <c r="F12" s="23">
        <f>F8*F10</f>
        <v>3133.8147933595751</v>
      </c>
      <c r="G12" s="23"/>
      <c r="H12" s="23"/>
      <c r="I12" s="23"/>
      <c r="J12" s="23">
        <f>J8*J10</f>
        <v>323.90503856546678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0.49370527057261276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444.24755431328657</v>
      </c>
      <c r="C26" s="247">
        <f>B26*'GWP N2O_CH4'!B5</f>
        <v>9329.1986405790176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358.89219143299363</v>
      </c>
      <c r="C27" s="247">
        <f>B27*'GWP N2O_CH4'!B5</f>
        <v>7536.7360200928661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7.5835672922411224</v>
      </c>
      <c r="C28" s="247">
        <f>B28*'GWP N2O_CH4'!B4</f>
        <v>2350.905860594748</v>
      </c>
      <c r="D28" s="50"/>
    </row>
    <row r="29" spans="1:4">
      <c r="A29" s="41" t="s">
        <v>276</v>
      </c>
      <c r="B29" s="247">
        <f>B34*'ha_N2O bodem landbouw'!B4</f>
        <v>11.623392150603404</v>
      </c>
      <c r="C29" s="247">
        <f>B29*'GWP N2O_CH4'!B4</f>
        <v>3603.2515666870554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2.548800624157153E-3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2.5191511787116077E-4</v>
      </c>
      <c r="C5" s="437" t="s">
        <v>210</v>
      </c>
      <c r="D5" s="422">
        <f>SUM(D6:D11)</f>
        <v>8.422392126946792E-4</v>
      </c>
      <c r="E5" s="422">
        <f>SUM(E6:E11)</f>
        <v>8.3411662744733018E-4</v>
      </c>
      <c r="F5" s="435" t="s">
        <v>210</v>
      </c>
      <c r="G5" s="422">
        <f>SUM(G6:G11)</f>
        <v>0.42287756158766299</v>
      </c>
      <c r="H5" s="422">
        <f>SUM(H6:H11)</f>
        <v>8.1050675261898075E-2</v>
      </c>
      <c r="I5" s="437" t="s">
        <v>210</v>
      </c>
      <c r="J5" s="437" t="s">
        <v>210</v>
      </c>
      <c r="K5" s="437" t="s">
        <v>210</v>
      </c>
      <c r="L5" s="437" t="s">
        <v>210</v>
      </c>
      <c r="M5" s="422">
        <f>SUM(M6:M11)</f>
        <v>2.9741786878520492E-2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6.6693245097215696E-5</v>
      </c>
      <c r="C6" s="423"/>
      <c r="D6" s="890">
        <f>vkm_GW_PW*SUMIFS(TableVerdeelsleutelVkm[CNG],TableVerdeelsleutelVkm[Voertuigtype],"Lichte voertuigen")*SUMIFS(TableECFTransport[EnergieConsumptieFactor (PJ per km)],TableECFTransport[Index],CONCATENATE($A6,"_CNG_CNG"))</f>
        <v>2.1484578012182504E-4</v>
      </c>
      <c r="E6" s="890">
        <f>vkm_GW_PW*SUMIFS(TableVerdeelsleutelVkm[LPG],TableVerdeelsleutelVkm[Voertuigtype],"Lichte voertuigen")*SUMIFS(TableECFTransport[EnergieConsumptieFactor (PJ per km)],TableECFTransport[Index],CONCATENATE($A6,"_LPG_LPG"))</f>
        <v>1.837310853570029E-4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5.9354224114646331E-2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2.0126653377102184E-2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4.7538850429090437E-3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4.8122138518387883E-2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6.8810337256881585E-7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2.7738758611650879E-3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1.314936741698385E-5</v>
      </c>
      <c r="C8" s="423"/>
      <c r="D8" s="425">
        <f>vkm_NGW_PW*SUMIFS(TableVerdeelsleutelVkm[CNG],TableVerdeelsleutelVkm[Voertuigtype],"Lichte voertuigen")*SUMIFS(TableECFTransport[EnergieConsumptieFactor (PJ per km)],TableECFTransport[Index],CONCATENATE($A8,"_CNG_CNG"))</f>
        <v>7.1768798363975361E-5</v>
      </c>
      <c r="E8" s="425">
        <f>vkm_NGW_PW*SUMIFS(TableVerdeelsleutelVkm[LPG],TableVerdeelsleutelVkm[Voertuigtype],"Lichte voertuigen")*SUMIFS(TableECFTransport[EnergieConsumptieFactor (PJ per km)],TableECFTransport[Index],CONCATENATE($A8,"_LPG_LPG"))</f>
        <v>5.8316374054346222E-5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1.7603970367322384E-2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6.6108997674853339E-3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1.4524377861521581E-3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5.9235969359127776E-3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1.073939651990246E-7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3.4145188388590901E-4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1.7207250535696125E-4</v>
      </c>
      <c r="C10" s="423"/>
      <c r="D10" s="425">
        <f>vkm_SW_PW*SUMIFS(TableVerdeelsleutelVkm[CNG],TableVerdeelsleutelVkm[Voertuigtype],"Lichte voertuigen")*SUMIFS(TableECFTransport[EnergieConsumptieFactor (PJ per km)],TableECFTransport[Index],CONCATENATE($A10,"_CNG_CNG"))</f>
        <v>5.5562463420887878E-4</v>
      </c>
      <c r="E10" s="425">
        <f>vkm_SW_PW*SUMIFS(TableVerdeelsleutelVkm[LPG],TableVerdeelsleutelVkm[Voertuigtype],"Lichte voertuigen")*SUMIFS(TableECFTransport[EnergieConsumptieFactor (PJ per km)],TableECFTransport[Index],CONCATENATE($A10,"_LPG_LPG"))</f>
        <v>5.9206916803598104E-4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0.17041820762728349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5.4310470948382157E-2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1.3419145526712913E-2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0.12145542402411016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1.8556715906392216E-6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7.0009907776953789E-3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69.976421630877994</v>
      </c>
      <c r="C14" s="21"/>
      <c r="D14" s="21">
        <f t="shared" ref="D14:M14" si="0">((D5)*10^9/3600)+D12</f>
        <v>233.95533685963309</v>
      </c>
      <c r="E14" s="21">
        <f t="shared" si="0"/>
        <v>231.69906317981395</v>
      </c>
      <c r="F14" s="21"/>
      <c r="G14" s="21">
        <f t="shared" si="0"/>
        <v>117465.98932990638</v>
      </c>
      <c r="H14" s="21">
        <f t="shared" si="0"/>
        <v>22514.076461638353</v>
      </c>
      <c r="I14" s="21"/>
      <c r="J14" s="21"/>
      <c r="K14" s="21"/>
      <c r="L14" s="21"/>
      <c r="M14" s="21">
        <f t="shared" si="0"/>
        <v>8261.607466255693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0.20625508476986681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14.432992775368682</v>
      </c>
      <c r="C18" s="23"/>
      <c r="D18" s="23">
        <f t="shared" ref="D18:M18" si="1">D14*D16</f>
        <v>47.25897804564589</v>
      </c>
      <c r="E18" s="23">
        <f t="shared" si="1"/>
        <v>52.595687341817765</v>
      </c>
      <c r="F18" s="23"/>
      <c r="G18" s="23">
        <f t="shared" si="1"/>
        <v>31363.419151085007</v>
      </c>
      <c r="H18" s="23">
        <f t="shared" si="1"/>
        <v>5606.0050389479502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1.1449420057348199E-3</v>
      </c>
      <c r="H50" s="319">
        <f t="shared" si="2"/>
        <v>0</v>
      </c>
      <c r="I50" s="319">
        <f t="shared" si="2"/>
        <v>0</v>
      </c>
      <c r="J50" s="319">
        <f t="shared" si="2"/>
        <v>0</v>
      </c>
      <c r="K50" s="319">
        <f t="shared" si="2"/>
        <v>0</v>
      </c>
      <c r="L50" s="319">
        <f t="shared" si="2"/>
        <v>0</v>
      </c>
      <c r="M50" s="319">
        <f t="shared" si="2"/>
        <v>6.3625991530372796E-5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1.1449420057348199E-3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6.3625991530372796E-5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318.03944603744998</v>
      </c>
      <c r="H54" s="21">
        <f t="shared" si="3"/>
        <v>0</v>
      </c>
      <c r="I54" s="21">
        <f t="shared" si="3"/>
        <v>0</v>
      </c>
      <c r="J54" s="21">
        <f t="shared" si="3"/>
        <v>0</v>
      </c>
      <c r="K54" s="21">
        <f t="shared" si="3"/>
        <v>0</v>
      </c>
      <c r="L54" s="21">
        <f t="shared" si="3"/>
        <v>0</v>
      </c>
      <c r="M54" s="21">
        <f t="shared" si="3"/>
        <v>17.673886536214667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0.20625508476986681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84.916532091999144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8225.4888519999986</v>
      </c>
      <c r="D10" s="686">
        <f ca="1">tertiair!C16</f>
        <v>0</v>
      </c>
      <c r="E10" s="686">
        <f ca="1">tertiair!D16</f>
        <v>9208.0742295300006</v>
      </c>
      <c r="F10" s="686">
        <f>tertiair!E16</f>
        <v>124.27624924070875</v>
      </c>
      <c r="G10" s="686">
        <f ca="1">tertiair!F16</f>
        <v>875.96630677579469</v>
      </c>
      <c r="H10" s="686">
        <f>tertiair!G16</f>
        <v>0</v>
      </c>
      <c r="I10" s="686">
        <f>tertiair!H16</f>
        <v>0</v>
      </c>
      <c r="J10" s="686">
        <f>tertiair!I16</f>
        <v>0</v>
      </c>
      <c r="K10" s="686">
        <f>tertiair!J16</f>
        <v>1.4217789369545691E-2</v>
      </c>
      <c r="L10" s="686">
        <f>tertiair!K16</f>
        <v>0</v>
      </c>
      <c r="M10" s="686">
        <f ca="1">tertiair!L16</f>
        <v>0</v>
      </c>
      <c r="N10" s="686">
        <f>tertiair!M16</f>
        <v>0</v>
      </c>
      <c r="O10" s="686">
        <f ca="1">tertiair!N16</f>
        <v>559.61611784666343</v>
      </c>
      <c r="P10" s="686">
        <f>tertiair!O16</f>
        <v>0</v>
      </c>
      <c r="Q10" s="687">
        <f>tertiair!P16</f>
        <v>52.539138306495019</v>
      </c>
      <c r="R10" s="689">
        <f ca="1">SUM(C10:Q10)</f>
        <v>19045.975111489031</v>
      </c>
      <c r="S10" s="67"/>
    </row>
    <row r="11" spans="1:19" s="448" customFormat="1">
      <c r="A11" s="808" t="s">
        <v>224</v>
      </c>
      <c r="B11" s="813"/>
      <c r="C11" s="686">
        <f>huishoudens!B8</f>
        <v>16080.876475805038</v>
      </c>
      <c r="D11" s="686">
        <f>huishoudens!C8</f>
        <v>0</v>
      </c>
      <c r="E11" s="686">
        <f>huishoudens!D8</f>
        <v>29297.206733079998</v>
      </c>
      <c r="F11" s="686">
        <f>huishoudens!E8</f>
        <v>13537.321832285241</v>
      </c>
      <c r="G11" s="686">
        <f>huishoudens!F8</f>
        <v>5391.8574722354015</v>
      </c>
      <c r="H11" s="686">
        <f>huishoudens!G8</f>
        <v>0</v>
      </c>
      <c r="I11" s="686">
        <f>huishoudens!H8</f>
        <v>0</v>
      </c>
      <c r="J11" s="686">
        <f>huishoudens!I8</f>
        <v>0</v>
      </c>
      <c r="K11" s="686">
        <f>huishoudens!J8</f>
        <v>661.08900466733246</v>
      </c>
      <c r="L11" s="686">
        <f>huishoudens!K8</f>
        <v>0</v>
      </c>
      <c r="M11" s="686">
        <f>huishoudens!L8</f>
        <v>0</v>
      </c>
      <c r="N11" s="686">
        <f>huishoudens!M8</f>
        <v>0</v>
      </c>
      <c r="O11" s="686">
        <f>huishoudens!N8</f>
        <v>12098.950740228238</v>
      </c>
      <c r="P11" s="686">
        <f>huishoudens!O8</f>
        <v>422.58310072943772</v>
      </c>
      <c r="Q11" s="687">
        <f>huishoudens!P8</f>
        <v>305.48481992286571</v>
      </c>
      <c r="R11" s="689">
        <f>SUM(C11:Q11)</f>
        <v>77795.370178953555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21572.016661000001</v>
      </c>
      <c r="D13" s="686">
        <f>industrie!C18</f>
        <v>0</v>
      </c>
      <c r="E13" s="686">
        <f>industrie!D18</f>
        <v>15762.502763392</v>
      </c>
      <c r="F13" s="686">
        <f>industrie!E18</f>
        <v>1142.6370212201844</v>
      </c>
      <c r="G13" s="686">
        <f>industrie!F18</f>
        <v>4212.8664809350303</v>
      </c>
      <c r="H13" s="686">
        <f>industrie!G18</f>
        <v>0</v>
      </c>
      <c r="I13" s="686">
        <f>industrie!H18</f>
        <v>0</v>
      </c>
      <c r="J13" s="686">
        <f>industrie!I18</f>
        <v>0</v>
      </c>
      <c r="K13" s="686">
        <f>industrie!J18</f>
        <v>219.20347710970637</v>
      </c>
      <c r="L13" s="686">
        <f>industrie!K18</f>
        <v>0</v>
      </c>
      <c r="M13" s="686">
        <f>industrie!L18</f>
        <v>0</v>
      </c>
      <c r="N13" s="686">
        <f>industrie!M18</f>
        <v>0</v>
      </c>
      <c r="O13" s="686">
        <f>industrie!N18</f>
        <v>870.4220396100784</v>
      </c>
      <c r="P13" s="686">
        <f>industrie!O18</f>
        <v>0</v>
      </c>
      <c r="Q13" s="687">
        <f>industrie!P18</f>
        <v>0</v>
      </c>
      <c r="R13" s="689">
        <f>SUM(C13:Q13)</f>
        <v>43779.648443267004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45878.381988805035</v>
      </c>
      <c r="D16" s="722">
        <f t="shared" ref="D16:R16" ca="1" si="0">SUM(D9:D15)</f>
        <v>0</v>
      </c>
      <c r="E16" s="722">
        <f t="shared" ca="1" si="0"/>
        <v>54267.783726002002</v>
      </c>
      <c r="F16" s="722">
        <f t="shared" si="0"/>
        <v>14804.235102746134</v>
      </c>
      <c r="G16" s="722">
        <f t="shared" ca="1" si="0"/>
        <v>10480.690259946226</v>
      </c>
      <c r="H16" s="722">
        <f t="shared" si="0"/>
        <v>0</v>
      </c>
      <c r="I16" s="722">
        <f t="shared" si="0"/>
        <v>0</v>
      </c>
      <c r="J16" s="722">
        <f t="shared" si="0"/>
        <v>0</v>
      </c>
      <c r="K16" s="722">
        <f t="shared" si="0"/>
        <v>880.30669956640838</v>
      </c>
      <c r="L16" s="722">
        <f t="shared" si="0"/>
        <v>0</v>
      </c>
      <c r="M16" s="722">
        <f t="shared" ca="1" si="0"/>
        <v>0</v>
      </c>
      <c r="N16" s="722">
        <f t="shared" si="0"/>
        <v>0</v>
      </c>
      <c r="O16" s="722">
        <f t="shared" ca="1" si="0"/>
        <v>13528.98889768498</v>
      </c>
      <c r="P16" s="722">
        <f t="shared" si="0"/>
        <v>422.58310072943772</v>
      </c>
      <c r="Q16" s="722">
        <f t="shared" si="0"/>
        <v>358.02395822936074</v>
      </c>
      <c r="R16" s="722">
        <f t="shared" ca="1" si="0"/>
        <v>140620.99373370959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318.03944603744998</v>
      </c>
      <c r="I19" s="686">
        <f>transport!H54</f>
        <v>0</v>
      </c>
      <c r="J19" s="686">
        <f>transport!I54</f>
        <v>0</v>
      </c>
      <c r="K19" s="686">
        <f>transport!J54</f>
        <v>0</v>
      </c>
      <c r="L19" s="686">
        <f>transport!K54</f>
        <v>0</v>
      </c>
      <c r="M19" s="686">
        <f>transport!L54</f>
        <v>0</v>
      </c>
      <c r="N19" s="686">
        <f>transport!M54</f>
        <v>17.673886536214667</v>
      </c>
      <c r="O19" s="686">
        <f>transport!N54</f>
        <v>0</v>
      </c>
      <c r="P19" s="686">
        <f>transport!O54</f>
        <v>0</v>
      </c>
      <c r="Q19" s="687">
        <f>transport!P54</f>
        <v>0</v>
      </c>
      <c r="R19" s="689">
        <f>SUM(C19:Q19)</f>
        <v>335.71333257366462</v>
      </c>
      <c r="S19" s="67"/>
    </row>
    <row r="20" spans="1:19" s="448" customFormat="1">
      <c r="A20" s="808" t="s">
        <v>306</v>
      </c>
      <c r="B20" s="813"/>
      <c r="C20" s="686">
        <f>transport!B14</f>
        <v>69.976421630877994</v>
      </c>
      <c r="D20" s="686">
        <f>transport!C14</f>
        <v>0</v>
      </c>
      <c r="E20" s="686">
        <f>transport!D14</f>
        <v>233.95533685963309</v>
      </c>
      <c r="F20" s="686">
        <f>transport!E14</f>
        <v>231.69906317981395</v>
      </c>
      <c r="G20" s="686">
        <f>transport!F14</f>
        <v>0</v>
      </c>
      <c r="H20" s="686">
        <f>transport!G14</f>
        <v>117465.98932990638</v>
      </c>
      <c r="I20" s="686">
        <f>transport!H14</f>
        <v>22514.076461638353</v>
      </c>
      <c r="J20" s="686">
        <f>transport!I14</f>
        <v>0</v>
      </c>
      <c r="K20" s="686">
        <f>transport!J14</f>
        <v>0</v>
      </c>
      <c r="L20" s="686">
        <f>transport!K14</f>
        <v>0</v>
      </c>
      <c r="M20" s="686">
        <f>transport!L14</f>
        <v>0</v>
      </c>
      <c r="N20" s="686">
        <f>transport!M14</f>
        <v>8261.607466255693</v>
      </c>
      <c r="O20" s="686">
        <f>transport!N14</f>
        <v>0</v>
      </c>
      <c r="P20" s="686">
        <f>transport!O14</f>
        <v>0</v>
      </c>
      <c r="Q20" s="687">
        <f>transport!P14</f>
        <v>0</v>
      </c>
      <c r="R20" s="689">
        <f>SUM(C20:Q20)</f>
        <v>148777.30407947075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69.976421630877994</v>
      </c>
      <c r="D22" s="811">
        <f t="shared" ref="D22:R22" si="1">SUM(D18:D21)</f>
        <v>0</v>
      </c>
      <c r="E22" s="811">
        <f t="shared" si="1"/>
        <v>233.95533685963309</v>
      </c>
      <c r="F22" s="811">
        <f t="shared" si="1"/>
        <v>231.69906317981395</v>
      </c>
      <c r="G22" s="811">
        <f t="shared" si="1"/>
        <v>0</v>
      </c>
      <c r="H22" s="811">
        <f t="shared" si="1"/>
        <v>117784.02877594384</v>
      </c>
      <c r="I22" s="811">
        <f t="shared" si="1"/>
        <v>22514.076461638353</v>
      </c>
      <c r="J22" s="811">
        <f t="shared" si="1"/>
        <v>0</v>
      </c>
      <c r="K22" s="811">
        <f t="shared" si="1"/>
        <v>0</v>
      </c>
      <c r="L22" s="811">
        <f t="shared" si="1"/>
        <v>0</v>
      </c>
      <c r="M22" s="811">
        <f t="shared" si="1"/>
        <v>0</v>
      </c>
      <c r="N22" s="811">
        <f t="shared" si="1"/>
        <v>8279.2813527919079</v>
      </c>
      <c r="O22" s="811">
        <f t="shared" si="1"/>
        <v>0</v>
      </c>
      <c r="P22" s="811">
        <f t="shared" si="1"/>
        <v>0</v>
      </c>
      <c r="Q22" s="811">
        <f t="shared" si="1"/>
        <v>0</v>
      </c>
      <c r="R22" s="811">
        <f t="shared" si="1"/>
        <v>149113.0174120444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3321.0996479999999</v>
      </c>
      <c r="D24" s="686">
        <f>+landbouw!C8</f>
        <v>7714.2857142857147</v>
      </c>
      <c r="E24" s="686">
        <f>+landbouw!D8</f>
        <v>0</v>
      </c>
      <c r="F24" s="686">
        <f>+landbouw!E8</f>
        <v>103.6504248505241</v>
      </c>
      <c r="G24" s="686">
        <f>+landbouw!F8</f>
        <v>11737.134057526499</v>
      </c>
      <c r="H24" s="686">
        <f>+landbouw!G8</f>
        <v>0</v>
      </c>
      <c r="I24" s="686">
        <f>+landbouw!H8</f>
        <v>0</v>
      </c>
      <c r="J24" s="686">
        <f>+landbouw!I8</f>
        <v>0</v>
      </c>
      <c r="K24" s="686">
        <f>+landbouw!J8</f>
        <v>914.98598464821134</v>
      </c>
      <c r="L24" s="686">
        <f>+landbouw!K8</f>
        <v>0</v>
      </c>
      <c r="M24" s="686">
        <f>+landbouw!L8</f>
        <v>0</v>
      </c>
      <c r="N24" s="686">
        <f>+landbouw!M8</f>
        <v>0</v>
      </c>
      <c r="O24" s="686">
        <f>+landbouw!N8</f>
        <v>0</v>
      </c>
      <c r="P24" s="686">
        <f>+landbouw!O8</f>
        <v>0</v>
      </c>
      <c r="Q24" s="687">
        <f>+landbouw!P8</f>
        <v>0</v>
      </c>
      <c r="R24" s="689">
        <f>SUM(C24:Q24)</f>
        <v>23791.155829310948</v>
      </c>
      <c r="S24" s="67"/>
    </row>
    <row r="25" spans="1:19" s="448" customFormat="1" ht="15" thickBot="1">
      <c r="A25" s="830" t="s">
        <v>724</v>
      </c>
      <c r="B25" s="949"/>
      <c r="C25" s="950">
        <f>IF(Onbekend_ele_kWh="---",0,Onbekend_ele_kWh)/1000+IF(REST_rest_ele_kWh="---",0,REST_rest_ele_kWh)/1000</f>
        <v>350.59619799999996</v>
      </c>
      <c r="D25" s="950"/>
      <c r="E25" s="950">
        <f>IF(onbekend_gas_kWh="---",0,onbekend_gas_kWh)/1000+IF(REST_rest_gas_kWh="---",0,REST_rest_gas_kWh)/1000</f>
        <v>1086.6323789999999</v>
      </c>
      <c r="F25" s="950"/>
      <c r="G25" s="950"/>
      <c r="H25" s="950"/>
      <c r="I25" s="950"/>
      <c r="J25" s="950"/>
      <c r="K25" s="950"/>
      <c r="L25" s="950"/>
      <c r="M25" s="950"/>
      <c r="N25" s="950"/>
      <c r="O25" s="950"/>
      <c r="P25" s="950"/>
      <c r="Q25" s="951"/>
      <c r="R25" s="689">
        <f>SUM(C25:Q25)</f>
        <v>1437.2285769999999</v>
      </c>
      <c r="S25" s="67"/>
    </row>
    <row r="26" spans="1:19" s="448" customFormat="1" ht="15.75" thickBot="1">
      <c r="A26" s="694" t="s">
        <v>725</v>
      </c>
      <c r="B26" s="816"/>
      <c r="C26" s="811">
        <f>SUM(C24:C25)</f>
        <v>3671.6958459999996</v>
      </c>
      <c r="D26" s="811">
        <f t="shared" ref="D26:R26" si="2">SUM(D24:D25)</f>
        <v>7714.2857142857147</v>
      </c>
      <c r="E26" s="811">
        <f t="shared" si="2"/>
        <v>1086.6323789999999</v>
      </c>
      <c r="F26" s="811">
        <f t="shared" si="2"/>
        <v>103.6504248505241</v>
      </c>
      <c r="G26" s="811">
        <f t="shared" si="2"/>
        <v>11737.134057526499</v>
      </c>
      <c r="H26" s="811">
        <f t="shared" si="2"/>
        <v>0</v>
      </c>
      <c r="I26" s="811">
        <f t="shared" si="2"/>
        <v>0</v>
      </c>
      <c r="J26" s="811">
        <f t="shared" si="2"/>
        <v>0</v>
      </c>
      <c r="K26" s="811">
        <f t="shared" si="2"/>
        <v>914.98598464821134</v>
      </c>
      <c r="L26" s="811">
        <f t="shared" si="2"/>
        <v>0</v>
      </c>
      <c r="M26" s="811">
        <f t="shared" si="2"/>
        <v>0</v>
      </c>
      <c r="N26" s="811">
        <f t="shared" si="2"/>
        <v>0</v>
      </c>
      <c r="O26" s="811">
        <f t="shared" si="2"/>
        <v>0</v>
      </c>
      <c r="P26" s="811">
        <f t="shared" si="2"/>
        <v>0</v>
      </c>
      <c r="Q26" s="811">
        <f t="shared" si="2"/>
        <v>0</v>
      </c>
      <c r="R26" s="811">
        <f t="shared" si="2"/>
        <v>25228.38440631095</v>
      </c>
      <c r="S26" s="67"/>
    </row>
    <row r="27" spans="1:19" s="448" customFormat="1" ht="17.25" thickTop="1" thickBot="1">
      <c r="A27" s="695" t="s">
        <v>115</v>
      </c>
      <c r="B27" s="803"/>
      <c r="C27" s="696">
        <f ca="1">C22+C16+C26</f>
        <v>49620.054256435913</v>
      </c>
      <c r="D27" s="696">
        <f t="shared" ref="D27:R27" ca="1" si="3">D22+D16+D26</f>
        <v>7714.2857142857147</v>
      </c>
      <c r="E27" s="696">
        <f t="shared" ca="1" si="3"/>
        <v>55588.371441861636</v>
      </c>
      <c r="F27" s="696">
        <f t="shared" si="3"/>
        <v>15139.584590776472</v>
      </c>
      <c r="G27" s="696">
        <f t="shared" ca="1" si="3"/>
        <v>22217.824317472725</v>
      </c>
      <c r="H27" s="696">
        <f t="shared" si="3"/>
        <v>117784.02877594384</v>
      </c>
      <c r="I27" s="696">
        <f t="shared" si="3"/>
        <v>22514.076461638353</v>
      </c>
      <c r="J27" s="696">
        <f t="shared" si="3"/>
        <v>0</v>
      </c>
      <c r="K27" s="696">
        <f t="shared" si="3"/>
        <v>1795.2926842146198</v>
      </c>
      <c r="L27" s="696">
        <f t="shared" si="3"/>
        <v>0</v>
      </c>
      <c r="M27" s="696">
        <f t="shared" ca="1" si="3"/>
        <v>0</v>
      </c>
      <c r="N27" s="696">
        <f t="shared" si="3"/>
        <v>8279.2813527919079</v>
      </c>
      <c r="O27" s="696">
        <f t="shared" ca="1" si="3"/>
        <v>13528.98889768498</v>
      </c>
      <c r="P27" s="696">
        <f t="shared" si="3"/>
        <v>422.58310072943772</v>
      </c>
      <c r="Q27" s="696">
        <f t="shared" si="3"/>
        <v>358.02395822936074</v>
      </c>
      <c r="R27" s="696">
        <f t="shared" ca="1" si="3"/>
        <v>314962.39555206499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1696.5489004428543</v>
      </c>
      <c r="D40" s="686">
        <f ca="1">tertiair!C20</f>
        <v>0</v>
      </c>
      <c r="E40" s="686">
        <f ca="1">tertiair!D20</f>
        <v>1860.0309943650602</v>
      </c>
      <c r="F40" s="686">
        <f>tertiair!E20</f>
        <v>28.210708577640887</v>
      </c>
      <c r="G40" s="686">
        <f ca="1">tertiair!F20</f>
        <v>233.88300390913719</v>
      </c>
      <c r="H40" s="686">
        <f>tertiair!G20</f>
        <v>0</v>
      </c>
      <c r="I40" s="686">
        <f>tertiair!H20</f>
        <v>0</v>
      </c>
      <c r="J40" s="686">
        <f>tertiair!I20</f>
        <v>0</v>
      </c>
      <c r="K40" s="686">
        <f>tertiair!J20</f>
        <v>5.033097436819174E-3</v>
      </c>
      <c r="L40" s="686">
        <f>tertiair!K20</f>
        <v>0</v>
      </c>
      <c r="M40" s="686">
        <f ca="1">tertiair!L20</f>
        <v>0</v>
      </c>
      <c r="N40" s="686">
        <f>tertiair!M20</f>
        <v>0</v>
      </c>
      <c r="O40" s="686">
        <f ca="1">tertiair!N20</f>
        <v>0</v>
      </c>
      <c r="P40" s="686">
        <f>tertiair!O20</f>
        <v>0</v>
      </c>
      <c r="Q40" s="769">
        <f>tertiair!P20</f>
        <v>0</v>
      </c>
      <c r="R40" s="849">
        <f t="shared" ca="1" si="4"/>
        <v>3818.6786403921296</v>
      </c>
    </row>
    <row r="41" spans="1:18">
      <c r="A41" s="821" t="s">
        <v>224</v>
      </c>
      <c r="B41" s="828"/>
      <c r="C41" s="686">
        <f ca="1">huishoudens!B12</f>
        <v>3316.7625406909251</v>
      </c>
      <c r="D41" s="686">
        <f ca="1">huishoudens!C12</f>
        <v>0</v>
      </c>
      <c r="E41" s="686">
        <f>huishoudens!D12</f>
        <v>5918.0357600821599</v>
      </c>
      <c r="F41" s="686">
        <f>huishoudens!E12</f>
        <v>3072.9720559287498</v>
      </c>
      <c r="G41" s="686">
        <f>huishoudens!F12</f>
        <v>1439.6259450868522</v>
      </c>
      <c r="H41" s="686">
        <f>huishoudens!G12</f>
        <v>0</v>
      </c>
      <c r="I41" s="686">
        <f>huishoudens!H12</f>
        <v>0</v>
      </c>
      <c r="J41" s="686">
        <f>huishoudens!I12</f>
        <v>0</v>
      </c>
      <c r="K41" s="686">
        <f>huishoudens!J12</f>
        <v>234.02550765223569</v>
      </c>
      <c r="L41" s="686">
        <f>huishoudens!K12</f>
        <v>0</v>
      </c>
      <c r="M41" s="686">
        <f>huishoudens!L12</f>
        <v>0</v>
      </c>
      <c r="N41" s="686">
        <f>huishoudens!M12</f>
        <v>0</v>
      </c>
      <c r="O41" s="686">
        <f>huishoudens!N12</f>
        <v>0</v>
      </c>
      <c r="P41" s="686">
        <f>huishoudens!O12</f>
        <v>0</v>
      </c>
      <c r="Q41" s="769">
        <f>huishoudens!P12</f>
        <v>0</v>
      </c>
      <c r="R41" s="849">
        <f t="shared" ca="1" si="4"/>
        <v>13981.421809440924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4449.3381250715347</v>
      </c>
      <c r="D43" s="686">
        <f ca="1">industrie!C22</f>
        <v>0</v>
      </c>
      <c r="E43" s="686">
        <f>industrie!D22</f>
        <v>3184.0255582051841</v>
      </c>
      <c r="F43" s="686">
        <f>industrie!E22</f>
        <v>259.37860381698187</v>
      </c>
      <c r="G43" s="686">
        <f>industrie!F22</f>
        <v>1124.8353504096531</v>
      </c>
      <c r="H43" s="686">
        <f>industrie!G22</f>
        <v>0</v>
      </c>
      <c r="I43" s="686">
        <f>industrie!H22</f>
        <v>0</v>
      </c>
      <c r="J43" s="686">
        <f>industrie!I22</f>
        <v>0</v>
      </c>
      <c r="K43" s="686">
        <f>industrie!J22</f>
        <v>77.59803089683605</v>
      </c>
      <c r="L43" s="686">
        <f>industrie!K22</f>
        <v>0</v>
      </c>
      <c r="M43" s="686">
        <f>industrie!L22</f>
        <v>0</v>
      </c>
      <c r="N43" s="686">
        <f>industrie!M22</f>
        <v>0</v>
      </c>
      <c r="O43" s="686">
        <f>industrie!N22</f>
        <v>0</v>
      </c>
      <c r="P43" s="686">
        <f>industrie!O22</f>
        <v>0</v>
      </c>
      <c r="Q43" s="769">
        <f>industrie!P22</f>
        <v>0</v>
      </c>
      <c r="R43" s="848">
        <f t="shared" ca="1" si="4"/>
        <v>9095.1756684001884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9462.649566205313</v>
      </c>
      <c r="D46" s="722">
        <f t="shared" ref="D46:Q46" ca="1" si="5">SUM(D39:D45)</f>
        <v>0</v>
      </c>
      <c r="E46" s="722">
        <f t="shared" ca="1" si="5"/>
        <v>10962.092312652403</v>
      </c>
      <c r="F46" s="722">
        <f t="shared" si="5"/>
        <v>3360.5613683233728</v>
      </c>
      <c r="G46" s="722">
        <f t="shared" ca="1" si="5"/>
        <v>2798.3442994056422</v>
      </c>
      <c r="H46" s="722">
        <f t="shared" si="5"/>
        <v>0</v>
      </c>
      <c r="I46" s="722">
        <f t="shared" si="5"/>
        <v>0</v>
      </c>
      <c r="J46" s="722">
        <f t="shared" si="5"/>
        <v>0</v>
      </c>
      <c r="K46" s="722">
        <f t="shared" si="5"/>
        <v>311.62857164650853</v>
      </c>
      <c r="L46" s="722">
        <f t="shared" si="5"/>
        <v>0</v>
      </c>
      <c r="M46" s="722">
        <f t="shared" ca="1" si="5"/>
        <v>0</v>
      </c>
      <c r="N46" s="722">
        <f t="shared" si="5"/>
        <v>0</v>
      </c>
      <c r="O46" s="722">
        <f t="shared" ca="1" si="5"/>
        <v>0</v>
      </c>
      <c r="P46" s="722">
        <f t="shared" si="5"/>
        <v>0</v>
      </c>
      <c r="Q46" s="722">
        <f t="shared" si="5"/>
        <v>0</v>
      </c>
      <c r="R46" s="722">
        <f ca="1">SUM(R39:R45)</f>
        <v>26895.276118233243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84.916532091999144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84.916532091999144</v>
      </c>
    </row>
    <row r="50" spans="1:18">
      <c r="A50" s="824" t="s">
        <v>306</v>
      </c>
      <c r="B50" s="834"/>
      <c r="C50" s="692">
        <f ca="1">transport!B18</f>
        <v>14.432992775368682</v>
      </c>
      <c r="D50" s="692">
        <f>transport!C18</f>
        <v>0</v>
      </c>
      <c r="E50" s="692">
        <f>transport!D18</f>
        <v>47.25897804564589</v>
      </c>
      <c r="F50" s="692">
        <f>transport!E18</f>
        <v>52.595687341817765</v>
      </c>
      <c r="G50" s="692">
        <f>transport!F18</f>
        <v>0</v>
      </c>
      <c r="H50" s="692">
        <f>transport!G18</f>
        <v>31363.419151085007</v>
      </c>
      <c r="I50" s="692">
        <f>transport!H18</f>
        <v>5606.0050389479502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37083.711848195788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14.432992775368682</v>
      </c>
      <c r="D52" s="722">
        <f t="shared" ref="D52:Q52" ca="1" si="6">SUM(D48:D51)</f>
        <v>0</v>
      </c>
      <c r="E52" s="722">
        <f t="shared" si="6"/>
        <v>47.25897804564589</v>
      </c>
      <c r="F52" s="722">
        <f t="shared" si="6"/>
        <v>52.595687341817765</v>
      </c>
      <c r="G52" s="722">
        <f t="shared" si="6"/>
        <v>0</v>
      </c>
      <c r="H52" s="722">
        <f t="shared" si="6"/>
        <v>31448.335683177007</v>
      </c>
      <c r="I52" s="722">
        <f t="shared" si="6"/>
        <v>5606.0050389479502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37168.628380287788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684.99368942741478</v>
      </c>
      <c r="D54" s="692">
        <f ca="1">+landbouw!C12</f>
        <v>1833.2773109243701</v>
      </c>
      <c r="E54" s="692">
        <f>+landbouw!D12</f>
        <v>0</v>
      </c>
      <c r="F54" s="692">
        <f>+landbouw!E12</f>
        <v>23.528646441068972</v>
      </c>
      <c r="G54" s="692">
        <f>+landbouw!F12</f>
        <v>3133.8147933595751</v>
      </c>
      <c r="H54" s="692">
        <f>+landbouw!G12</f>
        <v>0</v>
      </c>
      <c r="I54" s="692">
        <f>+landbouw!H12</f>
        <v>0</v>
      </c>
      <c r="J54" s="692">
        <f>+landbouw!I12</f>
        <v>0</v>
      </c>
      <c r="K54" s="692">
        <f>+landbouw!J12</f>
        <v>323.90503856546678</v>
      </c>
      <c r="L54" s="692">
        <f>+landbouw!K12</f>
        <v>0</v>
      </c>
      <c r="M54" s="692">
        <f>+landbouw!L12</f>
        <v>0</v>
      </c>
      <c r="N54" s="692">
        <f>+landbouw!M12</f>
        <v>0</v>
      </c>
      <c r="O54" s="692">
        <f>+landbouw!N12</f>
        <v>0</v>
      </c>
      <c r="P54" s="692">
        <f>+landbouw!O12</f>
        <v>0</v>
      </c>
      <c r="Q54" s="693">
        <f>+landbouw!P12</f>
        <v>0</v>
      </c>
      <c r="R54" s="721">
        <f ca="1">SUM(C54:Q54)</f>
        <v>5999.5194787178953</v>
      </c>
    </row>
    <row r="55" spans="1:18" ht="15" thickBot="1">
      <c r="A55" s="824" t="s">
        <v>724</v>
      </c>
      <c r="B55" s="834"/>
      <c r="C55" s="692">
        <f ca="1">C25*'EF ele_warmte'!B12</f>
        <v>72.312248538483004</v>
      </c>
      <c r="D55" s="692"/>
      <c r="E55" s="692">
        <f>E25*EF_CO2_aardgas</f>
        <v>219.49974055799998</v>
      </c>
      <c r="F55" s="692"/>
      <c r="G55" s="692"/>
      <c r="H55" s="692"/>
      <c r="I55" s="692"/>
      <c r="J55" s="692"/>
      <c r="K55" s="692"/>
      <c r="L55" s="692"/>
      <c r="M55" s="692"/>
      <c r="N55" s="692"/>
      <c r="O55" s="692"/>
      <c r="P55" s="692"/>
      <c r="Q55" s="693"/>
      <c r="R55" s="721">
        <f ca="1">SUM(C55:Q55)</f>
        <v>291.81198909648299</v>
      </c>
    </row>
    <row r="56" spans="1:18" ht="15.75" thickBot="1">
      <c r="A56" s="822" t="s">
        <v>725</v>
      </c>
      <c r="B56" s="835"/>
      <c r="C56" s="722">
        <f ca="1">SUM(C54:C55)</f>
        <v>757.30593796589778</v>
      </c>
      <c r="D56" s="722">
        <f t="shared" ref="D56:Q56" ca="1" si="7">SUM(D54:D55)</f>
        <v>1833.2773109243701</v>
      </c>
      <c r="E56" s="722">
        <f t="shared" si="7"/>
        <v>219.49974055799998</v>
      </c>
      <c r="F56" s="722">
        <f t="shared" si="7"/>
        <v>23.528646441068972</v>
      </c>
      <c r="G56" s="722">
        <f t="shared" si="7"/>
        <v>3133.8147933595751</v>
      </c>
      <c r="H56" s="722">
        <f t="shared" si="7"/>
        <v>0</v>
      </c>
      <c r="I56" s="722">
        <f t="shared" si="7"/>
        <v>0</v>
      </c>
      <c r="J56" s="722">
        <f t="shared" si="7"/>
        <v>0</v>
      </c>
      <c r="K56" s="722">
        <f t="shared" si="7"/>
        <v>323.90503856546678</v>
      </c>
      <c r="L56" s="722">
        <f t="shared" si="7"/>
        <v>0</v>
      </c>
      <c r="M56" s="722">
        <f t="shared" si="7"/>
        <v>0</v>
      </c>
      <c r="N56" s="722">
        <f t="shared" si="7"/>
        <v>0</v>
      </c>
      <c r="O56" s="722">
        <f t="shared" si="7"/>
        <v>0</v>
      </c>
      <c r="P56" s="722">
        <f t="shared" si="7"/>
        <v>0</v>
      </c>
      <c r="Q56" s="723">
        <f t="shared" si="7"/>
        <v>0</v>
      </c>
      <c r="R56" s="724">
        <f ca="1">SUM(R54:R55)</f>
        <v>6291.3314678143779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10234.388496946578</v>
      </c>
      <c r="D61" s="730">
        <f t="shared" ref="D61:Q61" ca="1" si="8">D46+D52+D56</f>
        <v>1833.2773109243701</v>
      </c>
      <c r="E61" s="730">
        <f t="shared" ca="1" si="8"/>
        <v>11228.851031256048</v>
      </c>
      <c r="F61" s="730">
        <f t="shared" si="8"/>
        <v>3436.6857021062592</v>
      </c>
      <c r="G61" s="730">
        <f t="shared" ca="1" si="8"/>
        <v>5932.1590927652178</v>
      </c>
      <c r="H61" s="730">
        <f t="shared" si="8"/>
        <v>31448.335683177007</v>
      </c>
      <c r="I61" s="730">
        <f t="shared" si="8"/>
        <v>5606.0050389479502</v>
      </c>
      <c r="J61" s="730">
        <f t="shared" si="8"/>
        <v>0</v>
      </c>
      <c r="K61" s="730">
        <f t="shared" si="8"/>
        <v>635.53361021197531</v>
      </c>
      <c r="L61" s="730">
        <f t="shared" si="8"/>
        <v>0</v>
      </c>
      <c r="M61" s="730">
        <f t="shared" ca="1" si="8"/>
        <v>0</v>
      </c>
      <c r="N61" s="730">
        <f t="shared" si="8"/>
        <v>0</v>
      </c>
      <c r="O61" s="730">
        <f t="shared" ca="1" si="8"/>
        <v>0</v>
      </c>
      <c r="P61" s="730">
        <f t="shared" si="8"/>
        <v>0</v>
      </c>
      <c r="Q61" s="730">
        <f t="shared" si="8"/>
        <v>0</v>
      </c>
      <c r="R61" s="730">
        <f ca="1">R46+R52+R56</f>
        <v>70355.235966335415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0.20625508476986679</v>
      </c>
      <c r="D63" s="776">
        <f t="shared" ca="1" si="9"/>
        <v>0.23764705882352943</v>
      </c>
      <c r="E63" s="975">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3717.3647573430553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5400</v>
      </c>
      <c r="D76" s="958">
        <f>'lokale energieproductie'!C8</f>
        <v>6352.9411764705892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1283.294117647059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3717.3647573430553</v>
      </c>
      <c r="C78" s="748">
        <f>SUM(C72:C77)</f>
        <v>5400</v>
      </c>
      <c r="D78" s="749">
        <f t="shared" ref="D78:H78" si="10">SUM(D76:D77)</f>
        <v>6352.9411764705892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1283.294117647059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7714.2857142857147</v>
      </c>
      <c r="D87" s="772">
        <f>'lokale energieproductie'!C17</f>
        <v>9075.630252100842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1833.2773109243701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7714.2857142857147</v>
      </c>
      <c r="D90" s="748">
        <f t="shared" ref="D90:H90" si="12">SUM(D87:D89)</f>
        <v>9075.630252100842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1833.2773109243701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3717.3647573430553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5400</v>
      </c>
      <c r="C8" s="548">
        <f>B48</f>
        <v>6352.9411764705892</v>
      </c>
      <c r="D8" s="549"/>
      <c r="E8" s="549">
        <f>E48</f>
        <v>0</v>
      </c>
      <c r="F8" s="550"/>
      <c r="G8" s="551"/>
      <c r="H8" s="549">
        <f>I48</f>
        <v>0</v>
      </c>
      <c r="I8" s="549">
        <f>G48+F48</f>
        <v>0</v>
      </c>
      <c r="J8" s="549">
        <f>H48+D48+C48</f>
        <v>0</v>
      </c>
      <c r="K8" s="549"/>
      <c r="L8" s="549"/>
      <c r="M8" s="549"/>
      <c r="N8" s="552"/>
      <c r="O8" s="553">
        <f>C8*$C$12+D8*$D$12+E8*$E$12+F8*$F$12+G8*$G$12+H8*$H$12+I8*$I$12+J8*$J$12</f>
        <v>1283.294117647059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9117.3647573430553</v>
      </c>
      <c r="C10" s="563">
        <f t="shared" ref="C10:L10" si="0">SUM(C8:C9)</f>
        <v>6352.9411764705892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1283.294117647059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7714.2857142857147</v>
      </c>
      <c r="C17" s="579">
        <f>B49</f>
        <v>9075.630252100842</v>
      </c>
      <c r="D17" s="580"/>
      <c r="E17" s="580">
        <f>E49</f>
        <v>0</v>
      </c>
      <c r="F17" s="581"/>
      <c r="G17" s="582"/>
      <c r="H17" s="579">
        <f>I49</f>
        <v>0</v>
      </c>
      <c r="I17" s="580">
        <f>G49+F49</f>
        <v>0</v>
      </c>
      <c r="J17" s="580">
        <f>H49+D49+C49</f>
        <v>0</v>
      </c>
      <c r="K17" s="580"/>
      <c r="L17" s="580"/>
      <c r="M17" s="580"/>
      <c r="N17" s="972"/>
      <c r="O17" s="583">
        <f>C17*$C$22+E17*$E$22+H17*$H$22+I17*$I$22+J17*$J$22+D17*$D$22+F17*$F$22+G17*$G$22+K17*$K$22+L17*$L$22</f>
        <v>1833.2773109243701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7714.2857142857147</v>
      </c>
      <c r="C20" s="562">
        <f>SUM(C17:C19)</f>
        <v>9075.630252100842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1833.2773109243701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36011</v>
      </c>
      <c r="C28" s="791">
        <v>8810</v>
      </c>
      <c r="D28" s="640" t="s">
        <v>888</v>
      </c>
      <c r="E28" s="639" t="s">
        <v>889</v>
      </c>
      <c r="F28" s="639" t="s">
        <v>890</v>
      </c>
      <c r="G28" s="639" t="s">
        <v>891</v>
      </c>
      <c r="H28" s="639" t="s">
        <v>892</v>
      </c>
      <c r="I28" s="639" t="s">
        <v>893</v>
      </c>
      <c r="J28" s="790">
        <v>41044</v>
      </c>
      <c r="K28" s="790">
        <v>41044</v>
      </c>
      <c r="L28" s="639" t="s">
        <v>894</v>
      </c>
      <c r="M28" s="639">
        <v>1200</v>
      </c>
      <c r="N28" s="639">
        <v>5400</v>
      </c>
      <c r="O28" s="639">
        <v>7714.2857142857147</v>
      </c>
      <c r="P28" s="639">
        <v>15428.571428571429</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1200</v>
      </c>
      <c r="N29" s="597">
        <f>SUM(N28:N28)</f>
        <v>5400</v>
      </c>
      <c r="O29" s="597">
        <f>SUM(O28:O28)</f>
        <v>7714.2857142857147</v>
      </c>
      <c r="P29" s="597">
        <f>SUM(P28:P28)</f>
        <v>15428.571428571429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1200</v>
      </c>
      <c r="N32" s="602">
        <f>SUMIF($Z$28:$Z$28,"landbouw",N28:N28)</f>
        <v>5400</v>
      </c>
      <c r="O32" s="602">
        <f>SUMIF($Z$28:$Z$28,"landbouw",O28:O28)</f>
        <v>7714.2857142857147</v>
      </c>
      <c r="P32" s="602">
        <f>SUMIF($Z$28:$Z$28,"landbouw",P28:P28)</f>
        <v>15428.571428571429</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6352.9411764705892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9075.630252100842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16080.876475805038</v>
      </c>
      <c r="C4" s="452">
        <f>huishoudens!C8</f>
        <v>0</v>
      </c>
      <c r="D4" s="452">
        <f>huishoudens!D8</f>
        <v>29297.206733079998</v>
      </c>
      <c r="E4" s="452">
        <f>huishoudens!E8</f>
        <v>13537.321832285241</v>
      </c>
      <c r="F4" s="452">
        <f>huishoudens!F8</f>
        <v>5391.8574722354015</v>
      </c>
      <c r="G4" s="452">
        <f>huishoudens!G8</f>
        <v>0</v>
      </c>
      <c r="H4" s="452">
        <f>huishoudens!H8</f>
        <v>0</v>
      </c>
      <c r="I4" s="452">
        <f>huishoudens!I8</f>
        <v>0</v>
      </c>
      <c r="J4" s="452">
        <f>huishoudens!J8</f>
        <v>661.08900466733246</v>
      </c>
      <c r="K4" s="452">
        <f>huishoudens!K8</f>
        <v>0</v>
      </c>
      <c r="L4" s="452">
        <f>huishoudens!L8</f>
        <v>0</v>
      </c>
      <c r="M4" s="452">
        <f>huishoudens!M8</f>
        <v>0</v>
      </c>
      <c r="N4" s="452">
        <f>huishoudens!N8</f>
        <v>12098.950740228238</v>
      </c>
      <c r="O4" s="452">
        <f>huishoudens!O8</f>
        <v>422.58310072943772</v>
      </c>
      <c r="P4" s="453">
        <f>huishoudens!P8</f>
        <v>305.48481992286571</v>
      </c>
      <c r="Q4" s="454">
        <f>SUM(B4:P4)</f>
        <v>77795.370178953555</v>
      </c>
    </row>
    <row r="5" spans="1:17">
      <c r="A5" s="451" t="s">
        <v>155</v>
      </c>
      <c r="B5" s="452">
        <f ca="1">tertiair!B16</f>
        <v>7828.9850659999993</v>
      </c>
      <c r="C5" s="452">
        <f ca="1">tertiair!C16</f>
        <v>0</v>
      </c>
      <c r="D5" s="452">
        <f ca="1">tertiair!D16</f>
        <v>9208.0742295300006</v>
      </c>
      <c r="E5" s="452">
        <f>tertiair!E16</f>
        <v>124.27624924070875</v>
      </c>
      <c r="F5" s="452">
        <f ca="1">tertiair!F16</f>
        <v>875.96630677579469</v>
      </c>
      <c r="G5" s="452">
        <f>tertiair!G16</f>
        <v>0</v>
      </c>
      <c r="H5" s="452">
        <f>tertiair!H16</f>
        <v>0</v>
      </c>
      <c r="I5" s="452">
        <f>tertiair!I16</f>
        <v>0</v>
      </c>
      <c r="J5" s="452">
        <f>tertiair!J16</f>
        <v>1.4217789369545691E-2</v>
      </c>
      <c r="K5" s="452">
        <f>tertiair!K16</f>
        <v>0</v>
      </c>
      <c r="L5" s="452">
        <f ca="1">tertiair!L16</f>
        <v>0</v>
      </c>
      <c r="M5" s="452">
        <f>tertiair!M16</f>
        <v>0</v>
      </c>
      <c r="N5" s="452">
        <f ca="1">tertiair!N16</f>
        <v>559.61611784666343</v>
      </c>
      <c r="O5" s="452">
        <f>tertiair!O16</f>
        <v>0</v>
      </c>
      <c r="P5" s="453">
        <f>tertiair!P16</f>
        <v>52.539138306495019</v>
      </c>
      <c r="Q5" s="451">
        <f t="shared" ref="Q5:Q14" ca="1" si="0">SUM(B5:P5)</f>
        <v>18649.471325489034</v>
      </c>
    </row>
    <row r="6" spans="1:17">
      <c r="A6" s="451" t="s">
        <v>193</v>
      </c>
      <c r="B6" s="452">
        <f>'openbare verlichting'!B8</f>
        <v>396.50378600000005</v>
      </c>
      <c r="C6" s="452"/>
      <c r="D6" s="452"/>
      <c r="E6" s="452"/>
      <c r="F6" s="452"/>
      <c r="G6" s="452"/>
      <c r="H6" s="452"/>
      <c r="I6" s="452"/>
      <c r="J6" s="452"/>
      <c r="K6" s="452"/>
      <c r="L6" s="452"/>
      <c r="M6" s="452"/>
      <c r="N6" s="452"/>
      <c r="O6" s="452"/>
      <c r="P6" s="453"/>
      <c r="Q6" s="451">
        <f t="shared" si="0"/>
        <v>396.50378600000005</v>
      </c>
    </row>
    <row r="7" spans="1:17">
      <c r="A7" s="451" t="s">
        <v>111</v>
      </c>
      <c r="B7" s="452">
        <f>landbouw!B8</f>
        <v>3321.0996479999999</v>
      </c>
      <c r="C7" s="452">
        <f>landbouw!C8</f>
        <v>7714.2857142857147</v>
      </c>
      <c r="D7" s="452">
        <f>landbouw!D8</f>
        <v>0</v>
      </c>
      <c r="E7" s="452">
        <f>landbouw!E8</f>
        <v>103.6504248505241</v>
      </c>
      <c r="F7" s="452">
        <f>landbouw!F8</f>
        <v>11737.134057526499</v>
      </c>
      <c r="G7" s="452">
        <f>landbouw!G8</f>
        <v>0</v>
      </c>
      <c r="H7" s="452">
        <f>landbouw!H8</f>
        <v>0</v>
      </c>
      <c r="I7" s="452">
        <f>landbouw!I8</f>
        <v>0</v>
      </c>
      <c r="J7" s="452">
        <f>landbouw!J8</f>
        <v>914.98598464821134</v>
      </c>
      <c r="K7" s="452">
        <f>landbouw!K8</f>
        <v>0</v>
      </c>
      <c r="L7" s="452">
        <f>landbouw!L8</f>
        <v>0</v>
      </c>
      <c r="M7" s="452">
        <f>landbouw!M8</f>
        <v>0</v>
      </c>
      <c r="N7" s="452">
        <f>landbouw!N8</f>
        <v>0</v>
      </c>
      <c r="O7" s="452">
        <f>landbouw!O8</f>
        <v>0</v>
      </c>
      <c r="P7" s="453">
        <f>landbouw!P8</f>
        <v>0</v>
      </c>
      <c r="Q7" s="451">
        <f t="shared" si="0"/>
        <v>23791.155829310948</v>
      </c>
    </row>
    <row r="8" spans="1:17">
      <c r="A8" s="451" t="s">
        <v>625</v>
      </c>
      <c r="B8" s="452">
        <f>industrie!B18</f>
        <v>21572.016661000001</v>
      </c>
      <c r="C8" s="452">
        <f>industrie!C18</f>
        <v>0</v>
      </c>
      <c r="D8" s="452">
        <f>industrie!D18</f>
        <v>15762.502763392</v>
      </c>
      <c r="E8" s="452">
        <f>industrie!E18</f>
        <v>1142.6370212201844</v>
      </c>
      <c r="F8" s="452">
        <f>industrie!F18</f>
        <v>4212.8664809350303</v>
      </c>
      <c r="G8" s="452">
        <f>industrie!G18</f>
        <v>0</v>
      </c>
      <c r="H8" s="452">
        <f>industrie!H18</f>
        <v>0</v>
      </c>
      <c r="I8" s="452">
        <f>industrie!I18</f>
        <v>0</v>
      </c>
      <c r="J8" s="452">
        <f>industrie!J18</f>
        <v>219.20347710970637</v>
      </c>
      <c r="K8" s="452">
        <f>industrie!K18</f>
        <v>0</v>
      </c>
      <c r="L8" s="452">
        <f>industrie!L18</f>
        <v>0</v>
      </c>
      <c r="M8" s="452">
        <f>industrie!M18</f>
        <v>0</v>
      </c>
      <c r="N8" s="452">
        <f>industrie!N18</f>
        <v>870.4220396100784</v>
      </c>
      <c r="O8" s="452">
        <f>industrie!O18</f>
        <v>0</v>
      </c>
      <c r="P8" s="453">
        <f>industrie!P18</f>
        <v>0</v>
      </c>
      <c r="Q8" s="451">
        <f t="shared" si="0"/>
        <v>43779.648443267004</v>
      </c>
    </row>
    <row r="9" spans="1:17" s="457" customFormat="1">
      <c r="A9" s="455" t="s">
        <v>551</v>
      </c>
      <c r="B9" s="456">
        <f>transport!B14</f>
        <v>69.976421630877994</v>
      </c>
      <c r="C9" s="456">
        <f>transport!C14</f>
        <v>0</v>
      </c>
      <c r="D9" s="456">
        <f>transport!D14</f>
        <v>233.95533685963309</v>
      </c>
      <c r="E9" s="456">
        <f>transport!E14</f>
        <v>231.69906317981395</v>
      </c>
      <c r="F9" s="456">
        <f>transport!F14</f>
        <v>0</v>
      </c>
      <c r="G9" s="456">
        <f>transport!G14</f>
        <v>117465.98932990638</v>
      </c>
      <c r="H9" s="456">
        <f>transport!H14</f>
        <v>22514.076461638353</v>
      </c>
      <c r="I9" s="456">
        <f>transport!I14</f>
        <v>0</v>
      </c>
      <c r="J9" s="456">
        <f>transport!J14</f>
        <v>0</v>
      </c>
      <c r="K9" s="456">
        <f>transport!K14</f>
        <v>0</v>
      </c>
      <c r="L9" s="456">
        <f>transport!L14</f>
        <v>0</v>
      </c>
      <c r="M9" s="456">
        <f>transport!M14</f>
        <v>8261.607466255693</v>
      </c>
      <c r="N9" s="456">
        <f>transport!N14</f>
        <v>0</v>
      </c>
      <c r="O9" s="456">
        <f>transport!O14</f>
        <v>0</v>
      </c>
      <c r="P9" s="456">
        <f>transport!P14</f>
        <v>0</v>
      </c>
      <c r="Q9" s="455">
        <f>SUM(B9:P9)</f>
        <v>148777.30407947075</v>
      </c>
    </row>
    <row r="10" spans="1:17">
      <c r="A10" s="451" t="s">
        <v>541</v>
      </c>
      <c r="B10" s="452">
        <f>transport!B54</f>
        <v>0</v>
      </c>
      <c r="C10" s="452">
        <f>transport!C54</f>
        <v>0</v>
      </c>
      <c r="D10" s="452">
        <f>transport!D54</f>
        <v>0</v>
      </c>
      <c r="E10" s="452">
        <f>transport!E54</f>
        <v>0</v>
      </c>
      <c r="F10" s="452">
        <f>transport!F54</f>
        <v>0</v>
      </c>
      <c r="G10" s="452">
        <f>transport!G54</f>
        <v>318.03944603744998</v>
      </c>
      <c r="H10" s="452">
        <f>transport!H54</f>
        <v>0</v>
      </c>
      <c r="I10" s="452">
        <f>transport!I54</f>
        <v>0</v>
      </c>
      <c r="J10" s="452">
        <f>transport!J54</f>
        <v>0</v>
      </c>
      <c r="K10" s="452">
        <f>transport!K54</f>
        <v>0</v>
      </c>
      <c r="L10" s="452">
        <f>transport!L54</f>
        <v>0</v>
      </c>
      <c r="M10" s="452">
        <f>transport!M54</f>
        <v>17.673886536214667</v>
      </c>
      <c r="N10" s="452">
        <f>transport!N54</f>
        <v>0</v>
      </c>
      <c r="O10" s="452">
        <f>transport!O54</f>
        <v>0</v>
      </c>
      <c r="P10" s="453">
        <f>transport!P54</f>
        <v>0</v>
      </c>
      <c r="Q10" s="451">
        <f t="shared" si="0"/>
        <v>335.71333257366462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350.59619799999996</v>
      </c>
      <c r="C14" s="459"/>
      <c r="D14" s="459">
        <f>'SEAP template'!E25</f>
        <v>1086.6323789999999</v>
      </c>
      <c r="E14" s="459"/>
      <c r="F14" s="459"/>
      <c r="G14" s="459"/>
      <c r="H14" s="459"/>
      <c r="I14" s="459"/>
      <c r="J14" s="459"/>
      <c r="K14" s="459"/>
      <c r="L14" s="459"/>
      <c r="M14" s="459"/>
      <c r="N14" s="459"/>
      <c r="O14" s="459"/>
      <c r="P14" s="460"/>
      <c r="Q14" s="451">
        <f t="shared" si="0"/>
        <v>1437.2285769999999</v>
      </c>
    </row>
    <row r="15" spans="1:17" s="463" customFormat="1">
      <c r="A15" s="461" t="s">
        <v>545</v>
      </c>
      <c r="B15" s="462">
        <f ca="1">SUM(B4:B14)</f>
        <v>49620.054256435913</v>
      </c>
      <c r="C15" s="462">
        <f t="shared" ref="C15:Q15" ca="1" si="1">SUM(C4:C14)</f>
        <v>7714.2857142857147</v>
      </c>
      <c r="D15" s="462">
        <f t="shared" ca="1" si="1"/>
        <v>55588.371441861636</v>
      </c>
      <c r="E15" s="462">
        <f t="shared" si="1"/>
        <v>15139.584590776472</v>
      </c>
      <c r="F15" s="462">
        <f t="shared" ca="1" si="1"/>
        <v>22217.824317472725</v>
      </c>
      <c r="G15" s="462">
        <f t="shared" si="1"/>
        <v>117784.02877594384</v>
      </c>
      <c r="H15" s="462">
        <f t="shared" si="1"/>
        <v>22514.076461638353</v>
      </c>
      <c r="I15" s="462">
        <f t="shared" si="1"/>
        <v>0</v>
      </c>
      <c r="J15" s="462">
        <f t="shared" si="1"/>
        <v>1795.2926842146198</v>
      </c>
      <c r="K15" s="462">
        <f t="shared" si="1"/>
        <v>0</v>
      </c>
      <c r="L15" s="462">
        <f t="shared" ca="1" si="1"/>
        <v>0</v>
      </c>
      <c r="M15" s="462">
        <f t="shared" si="1"/>
        <v>8279.2813527919079</v>
      </c>
      <c r="N15" s="462">
        <f t="shared" ca="1" si="1"/>
        <v>13528.98889768498</v>
      </c>
      <c r="O15" s="462">
        <f t="shared" si="1"/>
        <v>422.58310072943772</v>
      </c>
      <c r="P15" s="462">
        <f t="shared" si="1"/>
        <v>358.02395822936074</v>
      </c>
      <c r="Q15" s="462">
        <f t="shared" ca="1" si="1"/>
        <v>314962.39555206493</v>
      </c>
    </row>
    <row r="17" spans="1:17">
      <c r="A17" s="464" t="s">
        <v>546</v>
      </c>
      <c r="B17" s="781">
        <f ca="1">huishoudens!B10</f>
        <v>0.20625508476986681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3316.7625406909251</v>
      </c>
      <c r="C22" s="452">
        <f t="shared" ref="C22:C32" ca="1" si="3">C4*$C$17</f>
        <v>0</v>
      </c>
      <c r="D22" s="452">
        <f t="shared" ref="D22:D32" si="4">D4*$D$17</f>
        <v>5918.0357600821599</v>
      </c>
      <c r="E22" s="452">
        <f t="shared" ref="E22:E32" si="5">E4*$E$17</f>
        <v>3072.9720559287498</v>
      </c>
      <c r="F22" s="452">
        <f t="shared" ref="F22:F32" si="6">F4*$F$17</f>
        <v>1439.6259450868522</v>
      </c>
      <c r="G22" s="452">
        <f t="shared" ref="G22:G32" si="7">G4*$G$17</f>
        <v>0</v>
      </c>
      <c r="H22" s="452">
        <f t="shared" ref="H22:H32" si="8">H4*$H$17</f>
        <v>0</v>
      </c>
      <c r="I22" s="452">
        <f t="shared" ref="I22:I32" si="9">I4*$I$17</f>
        <v>0</v>
      </c>
      <c r="J22" s="452">
        <f t="shared" ref="J22:J32" si="10">J4*$J$17</f>
        <v>234.02550765223569</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13981.421809440924</v>
      </c>
    </row>
    <row r="23" spans="1:17">
      <c r="A23" s="451" t="s">
        <v>155</v>
      </c>
      <c r="B23" s="452">
        <f t="shared" ca="1" si="2"/>
        <v>1614.7679784498512</v>
      </c>
      <c r="C23" s="452">
        <f t="shared" ca="1" si="3"/>
        <v>0</v>
      </c>
      <c r="D23" s="452">
        <f t="shared" ca="1" si="4"/>
        <v>1860.0309943650602</v>
      </c>
      <c r="E23" s="452">
        <f t="shared" si="5"/>
        <v>28.210708577640887</v>
      </c>
      <c r="F23" s="452">
        <f t="shared" ca="1" si="6"/>
        <v>233.88300390913719</v>
      </c>
      <c r="G23" s="452">
        <f t="shared" si="7"/>
        <v>0</v>
      </c>
      <c r="H23" s="452">
        <f t="shared" si="8"/>
        <v>0</v>
      </c>
      <c r="I23" s="452">
        <f t="shared" si="9"/>
        <v>0</v>
      </c>
      <c r="J23" s="452">
        <f t="shared" si="10"/>
        <v>5.033097436819174E-3</v>
      </c>
      <c r="K23" s="452">
        <f t="shared" si="11"/>
        <v>0</v>
      </c>
      <c r="L23" s="452">
        <f t="shared" ca="1" si="12"/>
        <v>0</v>
      </c>
      <c r="M23" s="452">
        <f t="shared" si="13"/>
        <v>0</v>
      </c>
      <c r="N23" s="452">
        <f t="shared" ca="1" si="14"/>
        <v>0</v>
      </c>
      <c r="O23" s="452">
        <f t="shared" si="15"/>
        <v>0</v>
      </c>
      <c r="P23" s="453">
        <f t="shared" si="16"/>
        <v>0</v>
      </c>
      <c r="Q23" s="451">
        <f t="shared" ref="Q23:Q31" ca="1" si="17">SUM(B23:P23)</f>
        <v>3736.8977183991265</v>
      </c>
    </row>
    <row r="24" spans="1:17">
      <c r="A24" s="451" t="s">
        <v>193</v>
      </c>
      <c r="B24" s="452">
        <f t="shared" ca="1" si="2"/>
        <v>81.780921993003147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81.780921993003147</v>
      </c>
    </row>
    <row r="25" spans="1:17">
      <c r="A25" s="451" t="s">
        <v>111</v>
      </c>
      <c r="B25" s="452">
        <f t="shared" ca="1" si="2"/>
        <v>684.99368942741478</v>
      </c>
      <c r="C25" s="452">
        <f t="shared" ca="1" si="3"/>
        <v>1833.2773109243701</v>
      </c>
      <c r="D25" s="452">
        <f t="shared" si="4"/>
        <v>0</v>
      </c>
      <c r="E25" s="452">
        <f t="shared" si="5"/>
        <v>23.528646441068972</v>
      </c>
      <c r="F25" s="452">
        <f t="shared" si="6"/>
        <v>3133.8147933595751</v>
      </c>
      <c r="G25" s="452">
        <f t="shared" si="7"/>
        <v>0</v>
      </c>
      <c r="H25" s="452">
        <f t="shared" si="8"/>
        <v>0</v>
      </c>
      <c r="I25" s="452">
        <f t="shared" si="9"/>
        <v>0</v>
      </c>
      <c r="J25" s="452">
        <f t="shared" si="10"/>
        <v>323.90503856546678</v>
      </c>
      <c r="K25" s="452">
        <f t="shared" si="11"/>
        <v>0</v>
      </c>
      <c r="L25" s="452">
        <f t="shared" si="12"/>
        <v>0</v>
      </c>
      <c r="M25" s="452">
        <f t="shared" si="13"/>
        <v>0</v>
      </c>
      <c r="N25" s="452">
        <f t="shared" si="14"/>
        <v>0</v>
      </c>
      <c r="O25" s="452">
        <f t="shared" si="15"/>
        <v>0</v>
      </c>
      <c r="P25" s="453">
        <f t="shared" si="16"/>
        <v>0</v>
      </c>
      <c r="Q25" s="451">
        <f t="shared" ca="1" si="17"/>
        <v>5999.5194787178953</v>
      </c>
    </row>
    <row r="26" spans="1:17">
      <c r="A26" s="451" t="s">
        <v>625</v>
      </c>
      <c r="B26" s="452">
        <f t="shared" ca="1" si="2"/>
        <v>4449.3381250715347</v>
      </c>
      <c r="C26" s="452">
        <f t="shared" ca="1" si="3"/>
        <v>0</v>
      </c>
      <c r="D26" s="452">
        <f t="shared" si="4"/>
        <v>3184.0255582051841</v>
      </c>
      <c r="E26" s="452">
        <f t="shared" si="5"/>
        <v>259.37860381698187</v>
      </c>
      <c r="F26" s="452">
        <f t="shared" si="6"/>
        <v>1124.8353504096531</v>
      </c>
      <c r="G26" s="452">
        <f t="shared" si="7"/>
        <v>0</v>
      </c>
      <c r="H26" s="452">
        <f t="shared" si="8"/>
        <v>0</v>
      </c>
      <c r="I26" s="452">
        <f t="shared" si="9"/>
        <v>0</v>
      </c>
      <c r="J26" s="452">
        <f t="shared" si="10"/>
        <v>77.59803089683605</v>
      </c>
      <c r="K26" s="452">
        <f t="shared" si="11"/>
        <v>0</v>
      </c>
      <c r="L26" s="452">
        <f t="shared" si="12"/>
        <v>0</v>
      </c>
      <c r="M26" s="452">
        <f t="shared" si="13"/>
        <v>0</v>
      </c>
      <c r="N26" s="452">
        <f t="shared" si="14"/>
        <v>0</v>
      </c>
      <c r="O26" s="452">
        <f t="shared" si="15"/>
        <v>0</v>
      </c>
      <c r="P26" s="453">
        <f t="shared" si="16"/>
        <v>0</v>
      </c>
      <c r="Q26" s="451">
        <f t="shared" ca="1" si="17"/>
        <v>9095.1756684001884</v>
      </c>
    </row>
    <row r="27" spans="1:17" s="457" customFormat="1">
      <c r="A27" s="455" t="s">
        <v>551</v>
      </c>
      <c r="B27" s="775">
        <f t="shared" ca="1" si="2"/>
        <v>14.432992775368682</v>
      </c>
      <c r="C27" s="456">
        <f t="shared" ca="1" si="3"/>
        <v>0</v>
      </c>
      <c r="D27" s="456">
        <f t="shared" si="4"/>
        <v>47.25897804564589</v>
      </c>
      <c r="E27" s="456">
        <f t="shared" si="5"/>
        <v>52.595687341817765</v>
      </c>
      <c r="F27" s="456">
        <f t="shared" si="6"/>
        <v>0</v>
      </c>
      <c r="G27" s="456">
        <f t="shared" si="7"/>
        <v>31363.419151085007</v>
      </c>
      <c r="H27" s="456">
        <f t="shared" si="8"/>
        <v>5606.0050389479502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37083.711848195788</v>
      </c>
    </row>
    <row r="28" spans="1:17" ht="16.5" customHeight="1">
      <c r="A28" s="451" t="s">
        <v>541</v>
      </c>
      <c r="B28" s="452">
        <f t="shared" ca="1" si="2"/>
        <v>0</v>
      </c>
      <c r="C28" s="452">
        <f t="shared" ca="1" si="3"/>
        <v>0</v>
      </c>
      <c r="D28" s="452">
        <f t="shared" si="4"/>
        <v>0</v>
      </c>
      <c r="E28" s="452">
        <f t="shared" si="5"/>
        <v>0</v>
      </c>
      <c r="F28" s="452">
        <f t="shared" si="6"/>
        <v>0</v>
      </c>
      <c r="G28" s="452">
        <f t="shared" si="7"/>
        <v>84.916532091999144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84.916532091999144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72.312248538483004</v>
      </c>
      <c r="C32" s="452">
        <f t="shared" ca="1" si="3"/>
        <v>0</v>
      </c>
      <c r="D32" s="452">
        <f t="shared" si="4"/>
        <v>219.49974055799998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291.81198909648299</v>
      </c>
    </row>
    <row r="33" spans="1:17" s="463" customFormat="1">
      <c r="A33" s="461" t="s">
        <v>545</v>
      </c>
      <c r="B33" s="462">
        <f ca="1">SUM(B22:B32)</f>
        <v>10234.38849694658</v>
      </c>
      <c r="C33" s="462">
        <f t="shared" ref="C33:Q33" ca="1" si="19">SUM(C22:C32)</f>
        <v>1833.2773109243701</v>
      </c>
      <c r="D33" s="462">
        <f t="shared" ca="1" si="19"/>
        <v>11228.851031256048</v>
      </c>
      <c r="E33" s="462">
        <f t="shared" si="19"/>
        <v>3436.6857021062592</v>
      </c>
      <c r="F33" s="462">
        <f t="shared" ca="1" si="19"/>
        <v>5932.1590927652178</v>
      </c>
      <c r="G33" s="462">
        <f t="shared" si="19"/>
        <v>31448.335683177007</v>
      </c>
      <c r="H33" s="462">
        <f t="shared" si="19"/>
        <v>5606.0050389479502</v>
      </c>
      <c r="I33" s="462">
        <f t="shared" si="19"/>
        <v>0</v>
      </c>
      <c r="J33" s="462">
        <f t="shared" si="19"/>
        <v>635.53361021197531</v>
      </c>
      <c r="K33" s="462">
        <f t="shared" si="19"/>
        <v>0</v>
      </c>
      <c r="L33" s="462">
        <f t="shared" ca="1" si="19"/>
        <v>0</v>
      </c>
      <c r="M33" s="462">
        <f t="shared" si="19"/>
        <v>0</v>
      </c>
      <c r="N33" s="462">
        <f t="shared" ca="1" si="19"/>
        <v>0</v>
      </c>
      <c r="O33" s="462">
        <f t="shared" si="19"/>
        <v>0</v>
      </c>
      <c r="P33" s="462">
        <f t="shared" si="19"/>
        <v>0</v>
      </c>
      <c r="Q33" s="462">
        <f t="shared" ca="1" si="19"/>
        <v>70355.235966335415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3717.3647573430553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5400</v>
      </c>
      <c r="D8" s="1029">
        <f>'SEAP template'!D76</f>
        <v>6352.9411764705892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1283.294117647059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3717.3647573430553</v>
      </c>
      <c r="C10" s="1031">
        <f>SUM(C4:C9)</f>
        <v>5400</v>
      </c>
      <c r="D10" s="1031">
        <f t="shared" ref="D10:H10" si="0">SUM(D8:D9)</f>
        <v>6352.9411764705892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1283.294117647059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0.20625508476986681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7714.2857142857147</v>
      </c>
      <c r="D17" s="1030">
        <f>'SEAP template'!D87</f>
        <v>9075.630252100842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1833.2773109243701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7714.2857142857147</v>
      </c>
      <c r="D20" s="1031">
        <f t="shared" ref="D20:H20" si="2">SUM(D17:D19)</f>
        <v>9075.630252100842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1833.2773109243701</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0.20625508476986681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2020-06-20T15:34:00Z</dcterms:modified>
</cp:coreProperties>
</file>