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D14" i="48" l="1"/>
  <c r="D32" i="48" s="1"/>
  <c r="B14" i="48"/>
  <c r="Q14" i="48" s="1"/>
  <c r="R25" i="14"/>
  <c r="D5" i="17"/>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7" i="19"/>
  <c r="C19" i="19" s="1"/>
  <c r="D39" i="14" s="1"/>
  <c r="C20" i="16"/>
  <c r="C22" i="16" s="1"/>
  <c r="D43" i="14" s="1"/>
  <c r="C18" i="15"/>
  <c r="C20" i="15" s="1"/>
  <c r="D40" i="14" s="1"/>
  <c r="C10" i="13"/>
  <c r="C12" i="13" s="1"/>
  <c r="D41" i="14" s="1"/>
  <c r="D46" i="14" s="1"/>
  <c r="D61" i="14" s="1"/>
  <c r="D63" i="14" s="1"/>
  <c r="C10" i="17"/>
  <c r="C12" i="17" s="1"/>
  <c r="D54" i="14" s="1"/>
  <c r="D56"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<sst xmlns="http://schemas.openxmlformats.org/spreadsheetml/2006/main" count="2411" uniqueCount="894">
  <si>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</si>
  <si>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</si>
  <si>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</si>
  <si>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</si>
  <si>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</si>
  <si>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</si>
  <si>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</si>
  <si>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</si>
  <si>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</si>
  <si>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</si>
  <si>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</si>
  <si>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</si>
  <si>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</si>
  <si>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</si>
  <si>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</si>
  <si>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</si>
  <si>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</si>
  <si>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</si>
  <si>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</si>
  <si>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</si>
  <si>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</si>
  <si>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</si>
  <si>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</si>
  <si>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</si>
  <si>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</si>
  <si>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</si>
  <si>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</si>
  <si>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</si>
  <si>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</si>
  <si>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</si>
  <si>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</si>
  <si>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</si>
  <si>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</si>
  <si>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</si>
  <si>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</si>
  <si>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</si>
  <si>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</si>
  <si>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</si>
  <si>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</si>
  <si>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</si>
  <si>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</si>
  <si>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</si>
  <si>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</si>
  <si>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</si>
  <si>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</si>
  <si>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</si>
  <si>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</si>
  <si>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</si>
  <si>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</si>
  <si>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</si>
  <si>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</si>
  <si>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</si>
  <si>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</si>
  <si>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</si>
  <si>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</si>
  <si>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</si>
  <si>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</si>
  <si>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</si>
  <si>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</si>
  <si>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</si>
  <si>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</si>
  <si>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</si>
  <si>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</si>
  <si>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</si>
  <si>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</si>
  <si>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</si>
  <si>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</si>
  <si>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</si>
  <si>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</si>
  <si>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</si>
  <si>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</si>
  <si>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</si>
  <si>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</si>
  <si>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</si>
  <si>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</si>
  <si>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</si>
  <si>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</si>
  <si>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</si>
  <si>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</si>
  <si>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</si>
  <si>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</si>
  <si>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</si>
  <si>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</si>
  <si>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</si>
  <si>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</si>
  <si>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</si>
  <si>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</si>
  <si>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</si>
  <si>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</si>
  <si>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</si>
  <si>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</si>
  <si>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</si>
  <si>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</si>
  <si>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</si>
  <si>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</si>
  <si>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</si>
  <si>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</si>
  <si>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</si>
  <si>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</si>
  <si>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</si>
  <si>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</si>
  <si>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</si>
  <si>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</si>
  <si>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</si>
  <si>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</si>
  <si>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</si>
  <si>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</si>
  <si>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</si>
  <si>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</si>
  <si>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</si>
  <si>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</si>
  <si>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</si>
  <si>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</si>
  <si>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</si>
  <si>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</si>
  <si>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</si>
  <si>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</si>
  <si>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</si>
  <si>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</si>
  <si>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</si>
  <si>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</si>
  <si>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</si>
  <si>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</si>
  <si>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</si>
  <si>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</si>
  <si>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</si>
  <si>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</si>
  <si>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</si>
  <si>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</si>
  <si>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</si>
  <si>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</si>
  <si>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</si>
  <si>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</si>
  <si>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</si>
  <si>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</si>
  <si>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</si>
  <si>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</si>
  <si>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</si>
  <si>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</si>
  <si>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</si>
  <si>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</si>
  <si>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</si>
  <si>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</si>
  <si>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</si>
  <si>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</si>
  <si>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</si>
  <si>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</si>
  <si>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</si>
  <si>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</si>
  <si>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</si>
  <si>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</si>
  <si>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</si>
  <si>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</si>
  <si>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</si>
  <si>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</si>
  <si>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</si>
  <si>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</si>
  <si>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</si>
  <si>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</si>
  <si>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</si>
  <si>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</si>
  <si>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</si>
  <si>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</si>
  <si>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</si>
  <si>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</si>
  <si>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</si>
  <si>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</si>
  <si>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</si>
  <si>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</si>
  <si>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</si>
  <si>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</si>
  <si>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</si>
  <si>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</si>
  <si>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</si>
  <si>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</si>
  <si>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</si>
  <si>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</si>
  <si>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</si>
  <si>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</si>
  <si>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</si>
  <si>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</si>
  <si>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</si>
  <si>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</si>
  <si>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</si>
  <si>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</si>
  <si>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</si>
  <si>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</si>
  <si>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</si>
  <si>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</si>
  <si>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</si>
  <si>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</si>
  <si>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</si>
  <si>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</si>
  <si>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</si>
  <si>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</si>
  <si>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</si>
  <si>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</si>
  <si>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</si>
  <si>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</si>
  <si>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</si>
  <si>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</si>
  <si>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</si>
  <si>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</si>
  <si>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</si>
  <si>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</si>
  <si>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</si>
  <si>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</si>
  <si>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</si>
  <si>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</si>
  <si>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</si>
  <si>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</si>
  <si>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</si>
  <si>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</si>
  <si>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</si>
  <si>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</si>
  <si>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</si>
  <si>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</si>
  <si>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</si>
  <si>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</si>
  <si>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</si>
  <si>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</si>
  <si>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</si>
  <si>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</si>
  <si>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</si>
  <si>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</si>
  <si>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</si>
  <si>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</si>
  <si>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</si>
  <si>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</si>
  <si>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</si>
  <si>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</si>
  <si>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</si>
  <si>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</si>
  <si>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</si>
  <si>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</si>
  <si>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</si>
  <si>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</si>
  <si>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</si>
  <si>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</si>
  <si>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</si>
  <si>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</si>
  <si>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</si>
  <si>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</si>
  <si>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</si>
  <si>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</si>
  <si>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</si>
  <si>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</si>
  <si>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</si>
  <si>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</si>
  <si>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</si>
  <si>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</si>
  <si>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</si>
  <si>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</si>
  <si>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</si>
  <si>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</si>
  <si>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</si>
  <si>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</si>
  <si>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</si>
  <si>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</si>
  <si>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</si>
  <si>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</si>
  <si>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</si>
  <si>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</si>
  <si>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</si>
  <si>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</si>
  <si>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</si>
  <si>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</si>
  <si>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</si>
  <si>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</si>
  <si>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</si>
  <si>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</si>
  <si>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</si>
  <si>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</si>
  <si>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</si>
  <si>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</si>
  <si>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</si>
  <si>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</si>
  <si>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</si>
  <si>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</si>
  <si>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</si>
  <si>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</si>
  <si>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</si>
  <si>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</si>
  <si>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</si>
  <si>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</si>
  <si>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</si>
  <si>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</si>
  <si>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</si>
  <si>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</si>
  <si>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</si>
  <si>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</si>
  <si>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</si>
  <si>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</si>
  <si>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</si>
  <si>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</si>
  <si>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</si>
  <si>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</si>
  <si>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</si>
  <si>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</si>
  <si>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</si>
  <si>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</si>
  <si>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</si>
  <si>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</si>
  <si>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</si>
  <si>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</si>
  <si>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</si>
  <si>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</si>
  <si>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</si>
  <si>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</si>
  <si>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</si>
  <si>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</si>
  <si>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</si>
  <si>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</si>
  <si>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</si>
  <si>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</si>
  <si>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</si>
  <si>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</si>
  <si>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</si>
  <si>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</si>
  <si>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</si>
  <si>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</si>
  <si>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</si>
  <si>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</si>
  <si>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</si>
  <si>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</si>
  <si>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</si>
  <si>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</si>
  <si>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</si>
  <si>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</si>
  <si>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</si>
  <si>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</si>
  <si>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</si>
  <si>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</si>
  <si>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</si>
  <si>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</si>
  <si>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</si>
  <si>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</si>
  <si>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</si>
  <si>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</si>
  <si>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</si>
  <si>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</si>
  <si>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</si>
  <si>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</si>
  <si>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</si>
  <si>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</si>
  <si>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</si>
  <si>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</si>
  <si>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</si>
  <si>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</si>
  <si>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</si>
  <si>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</si>
  <si>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</si>
  <si>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</si>
  <si>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</si>
  <si>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</si>
  <si>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</si>
  <si>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</si>
  <si>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</si>
  <si>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</si>
  <si>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</si>
  <si>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</si>
  <si>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</si>
  <si>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</si>
  <si>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</si>
  <si>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</si>
  <si>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</si>
  <si>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</si>
  <si>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</si>
  <si>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</si>
  <si>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</si>
  <si>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</si>
  <si>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</si>
  <si>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</si>
  <si>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</si>
  <si>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</si>
  <si>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</si>
  <si>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</si>
  <si>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</si>
  <si>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</si>
  <si>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</si>
  <si>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</si>
  <si>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</si>
  <si>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</si>
  <si>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</si>
  <si>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</si>
  <si>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</si>
  <si>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</si>
  <si>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</si>
  <si>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</si>
  <si>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</si>
  <si>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</si>
  <si>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</si>
  <si>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</si>
  <si>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</si>
  <si>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</si>
  <si>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</si>
  <si>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</si>
  <si>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</si>
  <si>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</si>
  <si>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</si>
  <si>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</si>
  <si>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</si>
  <si>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</si>
  <si>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</si>
  <si>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</si>
  <si>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</si>
  <si>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</si>
  <si>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</si>
  <si>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</si>
  <si>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</si>
  <si>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</si>
  <si>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</si>
  <si>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</si>
  <si>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</si>
  <si>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</si>
  <si>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</si>
  <si>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</si>
  <si>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</si>
  <si>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</si>
  <si>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</si>
  <si>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</si>
  <si>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</si>
  <si>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</si>
  <si>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</si>
  <si>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</si>
  <si>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</si>
  <si>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</si>
  <si>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</si>
  <si>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</si>
  <si>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</si>
  <si>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</si>
  <si>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</si>
  <si>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</si>
  <si>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</si>
  <si>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</si>
  <si>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</si>
  <si>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</si>
  <si>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</si>
  <si>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</si>
  <si>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</si>
  <si>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</si>
  <si>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</si>
  <si>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</si>
  <si>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</si>
  <si>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</si>
  <si>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</si>
  <si>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</si>
  <si>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</si>
  <si>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</si>
  <si>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</si>
  <si>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</si>
  <si>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</si>
  <si>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</si>
  <si>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</si>
  <si>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</si>
  <si>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</si>
  <si>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</si>
  <si>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</si>
  <si>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</si>
  <si>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</si>
  <si>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</si>
  <si>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</si>
  <si>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</si>
  <si>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</si>
  <si>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</si>
  <si>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</si>
  <si>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</si>
  <si>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</si>
  <si>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</si>
  <si>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</si>
  <si>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</si>
  <si>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</si>
  <si>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</si>
  <si>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</si>
  <si>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</si>
  <si>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</si>
  <si>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</si>
  <si>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</si>
  <si>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</si>
  <si>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</si>
  <si>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</si>
  <si>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</si>
  <si>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</si>
  <si>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</si>
  <si>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</si>
  <si>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</si>
  <si>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</si>
  <si>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</si>
  <si>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</si>
  <si>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</si>
  <si>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</si>
  <si>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</si>
  <si>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</si>
  <si>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</si>
  <si>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</si>
  <si>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</si>
  <si>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</si>
  <si>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</si>
  <si>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</si>
  <si>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</si>
  <si>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</si>
  <si>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</si>
  <si>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</si>
  <si>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</si>
  <si>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</si>
  <si>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</si>
  <si>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</si>
  <si>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</si>
  <si>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</si>
  <si>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</si>
  <si>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</si>
  <si>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</si>
  <si>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</si>
  <si>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</si>
  <si>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</si>
  <si>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</si>
  <si>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</si>
  <si>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</si>
  <si>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</si>
  <si>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</si>
  <si>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</si>
  <si>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</si>
  <si>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</si>
  <si>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</si>
  <si>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</si>
  <si>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</si>
  <si>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</si>
  <si>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</si>
  <si>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</si>
  <si>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</si>
  <si>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</si>
  <si>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</si>
  <si>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</si>
  <si>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</si>
  <si>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</si>
  <si>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</si>
  <si>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</si>
  <si>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</si>
  <si>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</si>
  <si>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</si>
  <si>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</si>
  <si>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</si>
  <si>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</si>
  <si>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</si>
  <si>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</si>
  <si>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</si>
  <si>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</si>
  <si>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</si>
  <si>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</si>
  <si>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</si>
  <si>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</si>
  <si>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</si>
  <si>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</si>
  <si>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</si>
  <si>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</si>
  <si>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</si>
  <si>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</si>
  <si>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</si>
  <si>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</si>
  <si>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</si>
  <si>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</si>
  <si>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</si>
  <si>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</si>
  <si>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</si>
  <si>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</si>
  <si>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</si>
  <si>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</si>
  <si>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</si>
  <si>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</si>
  <si>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</si>
  <si>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</si>
  <si>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</si>
  <si>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</si>
  <si>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</si>
  <si>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</si>
  <si>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</si>
  <si>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</si>
  <si>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</si>
  <si>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</si>
  <si>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</si>
  <si>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</si>
  <si>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</si>
  <si>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</si>
  <si>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</si>
  <si>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</si>
  <si>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</si>
  <si>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</si>
  <si>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</si>
  <si>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</si>
  <si>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</si>
  <si>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</si>
  <si>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</si>
  <si>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</si>
  <si>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</si>
  <si>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</si>
  <si>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</si>
  <si>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</si>
  <si>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</si>
  <si>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</si>
  <si>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</si>
  <si>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</si>
  <si>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</si>
  <si>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</si>
  <si>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</si>
  <si>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</si>
  <si>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</si>
  <si>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</si>
  <si>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</si>
  <si>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</si>
  <si>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</si>
  <si>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</si>
  <si>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</si>
  <si>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</si>
  <si>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</si>
  <si>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</si>
  <si>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</si>
  <si>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</si>
  <si>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</si>
  <si>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</si>
  <si>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</si>
  <si>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</si>
  <si>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</si>
  <si>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</si>
  <si>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</si>
  <si>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</si>
  <si>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</si>
  <si>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</si>
  <si>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</si>
  <si>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</si>
  <si>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</si>
  <si>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</si>
  <si>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</si>
  <si>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</si>
  <si>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</si>
  <si>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</si>
  <si>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</si>
  <si>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</si>
  <si>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</si>
  <si>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</si>
  <si>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</si>
  <si>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</si>
  <si>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</si>
  <si>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</si>
  <si>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</si>
  <si>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</si>
  <si>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</si>
  <si>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</si>
  <si>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</si>
  <si>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</si>
  <si>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</si>
  <si>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</si>
  <si>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</si>
  <si>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</si>
  <si>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</si>
  <si>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</si>
  <si>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</si>
  <si>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</si>
  <si>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</si>
  <si>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</si>
  <si>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</si>
  <si>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</si>
  <si>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</si>
  <si>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</si>
  <si>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</si>
  <si>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</si>
  <si>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</si>
  <si>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</si>
  <si>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</si>
  <si>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</si>
  <si>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</si>
  <si>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</si>
  <si>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</si>
  <si>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</si>
  <si>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</si>
  <si>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</si>
  <si>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</si>
  <si>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</si>
  <si>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</si>
  <si>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</si>
  <si>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</si>
  <si>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</si>
  <si>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</si>
  <si>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</si>
  <si>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</si>
  <si>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</si>
  <si>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</si>
  <si>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</si>
  <si>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</si>
  <si>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</si>
  <si>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</si>
  <si>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</si>
  <si>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</si>
  <si>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</si>
  <si>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</si>
  <si>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</si>
  <si>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</si>
  <si>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</si>
  <si>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</si>
  <si>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</si>
  <si>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</si>
  <si>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</si>
  <si>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</si>
  <si>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</si>
  <si>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</si>
  <si>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</si>
  <si>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</si>
  <si>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</si>
  <si>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</si>
  <si>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</si>
  <si>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</si>
  <si>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</si>
  <si>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</si>
  <si>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</si>
  <si>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</si>
  <si>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</si>
  <si>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</si>
  <si>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</si>
  <si>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</si>
  <si>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</si>
  <si>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</si>
  <si>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</si>
  <si>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</si>
  <si>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</si>
  <si>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</si>
  <si>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</si>
  <si>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</si>
  <si>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</si>
  <si>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</si>
  <si>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</si>
  <si>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</si>
  <si>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</si>
  <si>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</si>
  <si>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</si>
  <si>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</si>
  <si>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</si>
  <si>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</si>
  <si>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</si>
  <si>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</si>
  <si>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</si>
  <si>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</si>
  <si>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</si>
  <si>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</si>
  <si>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</si>
  <si>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</si>
  <si>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</si>
  <si>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</si>
  <si>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</si>
  <si>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</si>
  <si>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</si>
  <si>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</si>
  <si>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</si>
  <si>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</si>
  <si>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</si>
  <si>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</si>
  <si>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</si>
  <si>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</si>
  <si>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</si>
  <si>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</si>
  <si>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</si>
  <si>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</si>
  <si>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</si>
  <si>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</si>
  <si>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</si>
  <si>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</si>
  <si>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</si>
  <si>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</si>
  <si>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</si>
  <si>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</si>
  <si>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</si>
  <si>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</si>
  <si>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</si>
  <si>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</si>
  <si>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</si>
  <si>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</si>
  <si>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</si>
  <si>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</si>
  <si>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</si>
  <si>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</si>
  <si>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</si>
  <si>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</si>
  <si>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</si>
  <si>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</si>
  <si>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</si>
  <si>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</si>
  <si>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</si>
  <si>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</si>
  <si>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</si>
  <si>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</si>
  <si>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</si>
  <si>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</si>
  <si>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</si>
  <si>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</si>
  <si>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</si>
  <si>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</si>
  <si>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</si>
  <si>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</si>
  <si>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</si>
  <si>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</si>
  <si>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</si>
  <si>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</si>
  <si>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</si>
  <si>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</si>
  <si>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</si>
  <si>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</si>
  <si>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</si>
  <si>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</si>
  <si>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</si>
  <si>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</si>
  <si>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</si>
  <si>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</si>
  <si>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</si>
  <si>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</si>
  <si>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</si>
  <si>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</si>
  <si>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</si>
  <si>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</si>
  <si>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</si>
  <si>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</si>
  <si>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</si>
  <si>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</si>
  <si>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</si>
  <si>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</si>
  <si>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</si>
  <si>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</si>
  <si>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</si>
  <si>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</si>
  <si>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</si>
  <si>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</si>
  <si>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</si>
  <si>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</si>
  <si>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</si>
  <si>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</si>
  <si>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</si>
  <si>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</si>
  <si>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</si>
  <si>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</si>
  <si>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</si>
  <si>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</si>
  <si>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</si>
  <si>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</si>
  <si>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</si>
  <si>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</si>
  <si>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</si>
  <si>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</si>
  <si>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</si>
  <si>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</si>
  <si>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</si>
  <si>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</si>
  <si>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</si>
  <si>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</si>
  <si>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</si>
  <si>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</si>
  <si>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</si>
  <si>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</si>
  <si>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</si>
  <si>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</si>
  <si>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</si>
  <si>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</si>
  <si>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</si>
  <si>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</si>
  <si>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</si>
  <si>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</si>
  <si>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</si>
  <si>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</si>
  <si>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</si>
  <si>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</si>
  <si>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</si>
  <si>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</si>
  <si>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</si>
  <si>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</si>
  <si>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</si>
  <si>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</si>
  <si>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</si>
  <si>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</si>
  <si>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</si>
  <si>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</si>
  <si>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</si>
  <si>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</si>
  <si>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</si>
  <si>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</si>
  <si>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</si>
  <si>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</si>
  <si>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</si>
  <si>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</si>
  <si>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</si>
  <si>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36010</t>
  </si>
  <si>
    <t>LEDEGEM</t>
  </si>
  <si>
    <t>referentietaak LNE (2017); Jaarverslag De Lijn</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</si>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</sst>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75754.541969189624</c:v>
                </c:pt>
                <c:pt idx="1">
                  <c:v>17039.705236376729</c:v>
                </c:pt>
                <c:pt idx="2">
                  <c:v>696.41300000000001</c:v>
                </c:pt>
                <c:pt idx="3">
                  <c:v>10970.458336761076</c:v>
                </c:pt>
                <c:pt idx="4">
                  <c:v>12583.758250479239</c:v>
                </c:pt>
                <c:pt idx="5">
                  <c:v>112309.82284546937</c:v>
                </c:pt>
                <c:pt idx="6">
                  <c:v>619.2788250089551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75754.541969189624</c:v>
                </c:pt>
                <c:pt idx="1">
                  <c:v>17039.705236376729</c:v>
                </c:pt>
                <c:pt idx="2">
                  <c:v>696.41300000000001</c:v>
                </c:pt>
                <c:pt idx="3">
                  <c:v>10970.458336761076</c:v>
                </c:pt>
                <c:pt idx="4">
                  <c:v>12583.758250479239</c:v>
                </c:pt>
                <c:pt idx="5">
                  <c:v>112309.82284546937</c:v>
                </c:pt>
                <c:pt idx="6">
                  <c:v>619.2788250089551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13224.077210208286</c:v>
                </c:pt>
                <c:pt idx="1">
                  <c:v>3355.6450045652532</c:v>
                </c:pt>
                <c:pt idx="2">
                  <c:v>137.50111800330589</c:v>
                </c:pt>
                <c:pt idx="3">
                  <c:v>2777.1949244961243</c:v>
                </c:pt>
                <c:pt idx="4">
                  <c:v>2568.286924624862</c:v>
                </c:pt>
                <c:pt idx="5">
                  <c:v>27956.550018667702</c:v>
                </c:pt>
                <c:pt idx="6">
                  <c:v>156.64260282611636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13224.077210208286</c:v>
                </c:pt>
                <c:pt idx="1">
                  <c:v>3355.6450045652532</c:v>
                </c:pt>
                <c:pt idx="2">
                  <c:v>137.50111800330589</c:v>
                </c:pt>
                <c:pt idx="3">
                  <c:v>2777.1949244961243</c:v>
                </c:pt>
                <c:pt idx="4">
                  <c:v>2568.286924624862</c:v>
                </c:pt>
                <c:pt idx="5">
                  <c:v>27956.550018667702</c:v>
                </c:pt>
                <c:pt idx="6">
                  <c:v>156.64260282611636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36010</v>
      </c>
      <c r="B6" s="390"/>
      <c r="C6" s="391"/>
    </row>
    <row r="7" spans="1:7" s="388" customFormat="1" ht="15.75" customHeight="1">
      <c r="A7" s="392" t="str">
        <f>txtMunicipality</f>
        <v>LEDEGEM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0.19744191737274561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0.19744191737274561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3948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1653.99</v>
      </c>
      <c r="C14" s="330"/>
      <c r="D14" s="330"/>
      <c r="E14" s="330"/>
      <c r="F14" s="330"/>
    </row>
    <row r="15" spans="1:6">
      <c r="A15" s="1298" t="s">
        <v>183</v>
      </c>
      <c r="B15" s="1299">
        <v>18</v>
      </c>
      <c r="C15" s="330"/>
      <c r="D15" s="330"/>
      <c r="E15" s="330"/>
      <c r="F15" s="330"/>
    </row>
    <row r="16" spans="1:6">
      <c r="A16" s="1298" t="s">
        <v>6</v>
      </c>
      <c r="B16" s="1299">
        <v>435</v>
      </c>
      <c r="C16" s="330"/>
      <c r="D16" s="330"/>
      <c r="E16" s="330"/>
      <c r="F16" s="330"/>
    </row>
    <row r="17" spans="1:6">
      <c r="A17" s="1298" t="s">
        <v>7</v>
      </c>
      <c r="B17" s="1299">
        <v>832</v>
      </c>
      <c r="C17" s="330"/>
      <c r="D17" s="330"/>
      <c r="E17" s="330"/>
      <c r="F17" s="330"/>
    </row>
    <row r="18" spans="1:6">
      <c r="A18" s="1298" t="s">
        <v>8</v>
      </c>
      <c r="B18" s="1299">
        <v>905</v>
      </c>
      <c r="C18" s="330"/>
      <c r="D18" s="330"/>
      <c r="E18" s="330"/>
      <c r="F18" s="330"/>
    </row>
    <row r="19" spans="1:6">
      <c r="A19" s="1298" t="s">
        <v>9</v>
      </c>
      <c r="B19" s="1299">
        <v>762</v>
      </c>
      <c r="C19" s="330"/>
      <c r="D19" s="330"/>
      <c r="E19" s="330"/>
      <c r="F19" s="330"/>
    </row>
    <row r="20" spans="1:6">
      <c r="A20" s="1298" t="s">
        <v>10</v>
      </c>
      <c r="B20" s="1299">
        <v>732</v>
      </c>
      <c r="C20" s="330"/>
      <c r="D20" s="330"/>
      <c r="E20" s="330"/>
      <c r="F20" s="330"/>
    </row>
    <row r="21" spans="1:6">
      <c r="A21" s="1298" t="s">
        <v>11</v>
      </c>
      <c r="B21" s="1299">
        <v>6202</v>
      </c>
      <c r="C21" s="330"/>
      <c r="D21" s="330"/>
      <c r="E21" s="330"/>
      <c r="F21" s="330"/>
    </row>
    <row r="22" spans="1:6">
      <c r="A22" s="1298" t="s">
        <v>12</v>
      </c>
      <c r="B22" s="1299">
        <v>23764</v>
      </c>
      <c r="C22" s="330"/>
      <c r="D22" s="330"/>
      <c r="E22" s="330"/>
      <c r="F22" s="330"/>
    </row>
    <row r="23" spans="1:6">
      <c r="A23" s="1298" t="s">
        <v>13</v>
      </c>
      <c r="B23" s="1299">
        <v>204</v>
      </c>
      <c r="C23" s="330"/>
      <c r="D23" s="330"/>
      <c r="E23" s="330"/>
      <c r="F23" s="330"/>
    </row>
    <row r="24" spans="1:6">
      <c r="A24" s="1298" t="s">
        <v>14</v>
      </c>
      <c r="B24" s="1299">
        <v>9</v>
      </c>
      <c r="C24" s="330"/>
      <c r="D24" s="330"/>
      <c r="E24" s="330"/>
      <c r="F24" s="330"/>
    </row>
    <row r="25" spans="1:6">
      <c r="A25" s="1298" t="s">
        <v>15</v>
      </c>
      <c r="B25" s="1299">
        <v>1498</v>
      </c>
      <c r="C25" s="330"/>
      <c r="D25" s="330"/>
      <c r="E25" s="330"/>
      <c r="F25" s="330"/>
    </row>
    <row r="26" spans="1:6">
      <c r="A26" s="1298" t="s">
        <v>16</v>
      </c>
      <c r="B26" s="1299">
        <v>196</v>
      </c>
      <c r="C26" s="330"/>
      <c r="D26" s="330"/>
      <c r="E26" s="330"/>
      <c r="F26" s="330"/>
    </row>
    <row r="27" spans="1:6">
      <c r="A27" s="1298" t="s">
        <v>17</v>
      </c>
      <c r="B27" s="1299">
        <v>5</v>
      </c>
      <c r="C27" s="330"/>
      <c r="D27" s="330"/>
      <c r="E27" s="330"/>
      <c r="F27" s="330"/>
    </row>
    <row r="28" spans="1:6" s="43" customFormat="1">
      <c r="A28" s="1300" t="s">
        <v>18</v>
      </c>
      <c r="B28" s="1301">
        <v>54315</v>
      </c>
      <c r="C28" s="336"/>
      <c r="D28" s="336"/>
      <c r="E28" s="336"/>
      <c r="F28" s="336"/>
    </row>
    <row r="29" spans="1:6">
      <c r="A29" s="1300" t="s">
        <v>705</v>
      </c>
      <c r="B29" s="1301">
        <v>105</v>
      </c>
      <c r="C29" s="336"/>
      <c r="D29" s="336"/>
      <c r="E29" s="336"/>
      <c r="F29" s="336"/>
    </row>
    <row r="30" spans="1:6">
      <c r="A30" s="1293" t="s">
        <v>706</v>
      </c>
      <c r="B30" s="1302">
        <v>11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10195</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2768</v>
      </c>
      <c r="D39" s="1299">
        <v>39699812.594000004</v>
      </c>
      <c r="E39" s="1299">
        <v>3647</v>
      </c>
      <c r="F39" s="1299">
        <v>12655224.949999999</v>
      </c>
    </row>
    <row r="40" spans="1:6">
      <c r="A40" s="1298" t="s">
        <v>29</v>
      </c>
      <c r="B40" s="1298" t="s">
        <v>28</v>
      </c>
      <c r="C40" s="1299">
        <v>0</v>
      </c>
      <c r="D40" s="1299">
        <v>0</v>
      </c>
      <c r="E40" s="1299">
        <v>0</v>
      </c>
      <c r="F40" s="1299">
        <v>0</v>
      </c>
    </row>
    <row r="41" spans="1:6">
      <c r="A41" s="1298" t="s">
        <v>31</v>
      </c>
      <c r="B41" s="1298" t="s">
        <v>32</v>
      </c>
      <c r="C41" s="1299">
        <v>108</v>
      </c>
      <c r="D41" s="1299">
        <v>2320678.9</v>
      </c>
      <c r="E41" s="1299">
        <v>176</v>
      </c>
      <c r="F41" s="1299">
        <v>1821694.328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10</v>
      </c>
      <c r="D44" s="1299">
        <v>229074</v>
      </c>
      <c r="E44" s="1299">
        <v>37</v>
      </c>
      <c r="F44" s="1299">
        <v>867014.17200000002</v>
      </c>
    </row>
    <row r="45" spans="1:6">
      <c r="A45" s="1298" t="s">
        <v>31</v>
      </c>
      <c r="B45" s="1298" t="s">
        <v>36</v>
      </c>
      <c r="C45" s="1299">
        <v>0</v>
      </c>
      <c r="D45" s="1299">
        <v>0</v>
      </c>
      <c r="E45" s="1299">
        <v>4</v>
      </c>
      <c r="F45" s="1299">
        <v>27778.137999999999</v>
      </c>
    </row>
    <row r="46" spans="1:6">
      <c r="A46" s="1298" t="s">
        <v>31</v>
      </c>
      <c r="B46" s="1298" t="s">
        <v>37</v>
      </c>
      <c r="C46" s="1299">
        <v>0</v>
      </c>
      <c r="D46" s="1299">
        <v>0</v>
      </c>
      <c r="E46" s="1299">
        <v>0</v>
      </c>
      <c r="F46" s="1299">
        <v>0</v>
      </c>
    </row>
    <row r="47" spans="1:6">
      <c r="A47" s="1298" t="s">
        <v>31</v>
      </c>
      <c r="B47" s="1298" t="s">
        <v>38</v>
      </c>
      <c r="C47" s="1299">
        <v>5</v>
      </c>
      <c r="D47" s="1299">
        <v>178704</v>
      </c>
      <c r="E47" s="1299">
        <v>6</v>
      </c>
      <c r="F47" s="1299">
        <v>66634</v>
      </c>
    </row>
    <row r="48" spans="1:6">
      <c r="A48" s="1298" t="s">
        <v>31</v>
      </c>
      <c r="B48" s="1298" t="s">
        <v>28</v>
      </c>
      <c r="C48" s="1299">
        <v>2</v>
      </c>
      <c r="D48" s="1299">
        <v>27070</v>
      </c>
      <c r="E48" s="1299">
        <v>1</v>
      </c>
      <c r="F48" s="1299">
        <v>2602</v>
      </c>
    </row>
    <row r="49" spans="1:6">
      <c r="A49" s="1298" t="s">
        <v>31</v>
      </c>
      <c r="B49" s="1298" t="s">
        <v>39</v>
      </c>
      <c r="C49" s="1299">
        <v>4</v>
      </c>
      <c r="D49" s="1299">
        <v>82727</v>
      </c>
      <c r="E49" s="1299">
        <v>9</v>
      </c>
      <c r="F49" s="1299">
        <v>1036010</v>
      </c>
    </row>
    <row r="50" spans="1:6">
      <c r="A50" s="1298" t="s">
        <v>31</v>
      </c>
      <c r="B50" s="1298" t="s">
        <v>40</v>
      </c>
      <c r="C50" s="1299">
        <v>11</v>
      </c>
      <c r="D50" s="1299">
        <v>675889</v>
      </c>
      <c r="E50" s="1299">
        <v>22</v>
      </c>
      <c r="F50" s="1299">
        <v>2906777</v>
      </c>
    </row>
    <row r="51" spans="1:6">
      <c r="A51" s="1298" t="s">
        <v>41</v>
      </c>
      <c r="B51" s="1298" t="s">
        <v>42</v>
      </c>
      <c r="C51" s="1299">
        <v>17</v>
      </c>
      <c r="D51" s="1299">
        <v>595697</v>
      </c>
      <c r="E51" s="1299">
        <v>115</v>
      </c>
      <c r="F51" s="1299">
        <v>2138154.4279999998</v>
      </c>
    </row>
    <row r="52" spans="1:6">
      <c r="A52" s="1298" t="s">
        <v>41</v>
      </c>
      <c r="B52" s="1298" t="s">
        <v>28</v>
      </c>
      <c r="C52" s="1299">
        <v>0</v>
      </c>
      <c r="D52" s="1299">
        <v>0</v>
      </c>
      <c r="E52" s="1299">
        <v>1</v>
      </c>
      <c r="F52" s="1299">
        <v>4203</v>
      </c>
    </row>
    <row r="53" spans="1:6">
      <c r="A53" s="1298" t="s">
        <v>43</v>
      </c>
      <c r="B53" s="1298" t="s">
        <v>44</v>
      </c>
      <c r="C53" s="1299">
        <v>42</v>
      </c>
      <c r="D53" s="1299">
        <v>806780.7</v>
      </c>
      <c r="E53" s="1299">
        <v>69</v>
      </c>
      <c r="F53" s="1299">
        <v>278700.19300000003</v>
      </c>
    </row>
    <row r="54" spans="1:6">
      <c r="A54" s="1298" t="s">
        <v>45</v>
      </c>
      <c r="B54" s="1298" t="s">
        <v>46</v>
      </c>
      <c r="C54" s="1299">
        <v>0</v>
      </c>
      <c r="D54" s="1299">
        <v>0</v>
      </c>
      <c r="E54" s="1299">
        <v>1</v>
      </c>
      <c r="F54" s="1299">
        <v>696413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44</v>
      </c>
      <c r="D57" s="1299">
        <v>1148410.55</v>
      </c>
      <c r="E57" s="1299">
        <v>69</v>
      </c>
      <c r="F57" s="1299">
        <v>629881.929</v>
      </c>
    </row>
    <row r="58" spans="1:6">
      <c r="A58" s="1298" t="s">
        <v>48</v>
      </c>
      <c r="B58" s="1298" t="s">
        <v>50</v>
      </c>
      <c r="C58" s="1299">
        <v>27</v>
      </c>
      <c r="D58" s="1299">
        <v>1997558.9</v>
      </c>
      <c r="E58" s="1299">
        <v>30</v>
      </c>
      <c r="F58" s="1299">
        <v>845728.75600000005</v>
      </c>
    </row>
    <row r="59" spans="1:6">
      <c r="A59" s="1298" t="s">
        <v>48</v>
      </c>
      <c r="B59" s="1298" t="s">
        <v>51</v>
      </c>
      <c r="C59" s="1299">
        <v>77</v>
      </c>
      <c r="D59" s="1299">
        <v>2108555</v>
      </c>
      <c r="E59" s="1299">
        <v>187</v>
      </c>
      <c r="F59" s="1299">
        <v>3139824.7489999998</v>
      </c>
    </row>
    <row r="60" spans="1:6">
      <c r="A60" s="1298" t="s">
        <v>48</v>
      </c>
      <c r="B60" s="1298" t="s">
        <v>52</v>
      </c>
      <c r="C60" s="1299">
        <v>27</v>
      </c>
      <c r="D60" s="1299">
        <v>851762</v>
      </c>
      <c r="E60" s="1299">
        <v>39</v>
      </c>
      <c r="F60" s="1299">
        <v>677831.32900000003</v>
      </c>
    </row>
    <row r="61" spans="1:6">
      <c r="A61" s="1298" t="s">
        <v>48</v>
      </c>
      <c r="B61" s="1298" t="s">
        <v>53</v>
      </c>
      <c r="C61" s="1299">
        <v>96</v>
      </c>
      <c r="D61" s="1299">
        <v>2791240.8289999999</v>
      </c>
      <c r="E61" s="1299">
        <v>172</v>
      </c>
      <c r="F61" s="1299">
        <v>1840107.5719999999</v>
      </c>
    </row>
    <row r="62" spans="1:6">
      <c r="A62" s="1298" t="s">
        <v>48</v>
      </c>
      <c r="B62" s="1298" t="s">
        <v>54</v>
      </c>
      <c r="C62" s="1299">
        <v>6</v>
      </c>
      <c r="D62" s="1299">
        <v>392007</v>
      </c>
      <c r="E62" s="1299">
        <v>8</v>
      </c>
      <c r="F62" s="1299">
        <v>99392</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25407</v>
      </c>
    </row>
    <row r="66" spans="1:6">
      <c r="A66" s="1298" t="s">
        <v>55</v>
      </c>
      <c r="B66" s="1298" t="s">
        <v>57</v>
      </c>
      <c r="C66" s="1299">
        <v>0</v>
      </c>
      <c r="D66" s="1299">
        <v>0</v>
      </c>
      <c r="E66" s="1299">
        <v>0</v>
      </c>
      <c r="F66" s="1299">
        <v>0</v>
      </c>
    </row>
    <row r="67" spans="1:6">
      <c r="A67" s="1300" t="s">
        <v>55</v>
      </c>
      <c r="B67" s="1300" t="s">
        <v>58</v>
      </c>
      <c r="C67" s="1299">
        <v>0</v>
      </c>
      <c r="D67" s="1299">
        <v>0</v>
      </c>
      <c r="E67" s="1299">
        <v>31</v>
      </c>
      <c r="F67" s="1299">
        <v>382311</v>
      </c>
    </row>
    <row r="68" spans="1:6">
      <c r="A68" s="1293" t="s">
        <v>55</v>
      </c>
      <c r="B68" s="1293" t="s">
        <v>59</v>
      </c>
      <c r="C68" s="1302">
        <v>4</v>
      </c>
      <c r="D68" s="1302">
        <v>78447</v>
      </c>
      <c r="E68" s="1302">
        <v>15</v>
      </c>
      <c r="F68" s="1302">
        <v>111437.78599999999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10405869</v>
      </c>
      <c r="E73" s="450"/>
      <c r="F73" s="330"/>
    </row>
    <row r="74" spans="1:6">
      <c r="A74" s="1298" t="s">
        <v>63</v>
      </c>
      <c r="B74" s="1298" t="s">
        <v>647</v>
      </c>
      <c r="C74" s="1312" t="s">
        <v>649</v>
      </c>
      <c r="D74" s="1313">
        <v>986342.5</v>
      </c>
      <c r="E74" s="450"/>
      <c r="F74" s="330"/>
    </row>
    <row r="75" spans="1:6">
      <c r="A75" s="1298" t="s">
        <v>64</v>
      </c>
      <c r="B75" s="1298" t="s">
        <v>646</v>
      </c>
      <c r="C75" s="1312" t="s">
        <v>650</v>
      </c>
      <c r="D75" s="1313">
        <v>32793996</v>
      </c>
      <c r="E75" s="450"/>
      <c r="F75" s="330"/>
    </row>
    <row r="76" spans="1:6">
      <c r="A76" s="1298" t="s">
        <v>64</v>
      </c>
      <c r="B76" s="1298" t="s">
        <v>647</v>
      </c>
      <c r="C76" s="1312" t="s">
        <v>651</v>
      </c>
      <c r="D76" s="1313">
        <v>615816.5</v>
      </c>
      <c r="E76" s="450"/>
      <c r="F76" s="330"/>
    </row>
    <row r="77" spans="1:6">
      <c r="A77" s="1298" t="s">
        <v>65</v>
      </c>
      <c r="B77" s="1298" t="s">
        <v>646</v>
      </c>
      <c r="C77" s="1312" t="s">
        <v>652</v>
      </c>
      <c r="D77" s="1313">
        <v>62143408</v>
      </c>
      <c r="E77" s="450"/>
      <c r="F77" s="330"/>
    </row>
    <row r="78" spans="1:6">
      <c r="A78" s="1293" t="s">
        <v>65</v>
      </c>
      <c r="B78" s="1293" t="s">
        <v>647</v>
      </c>
      <c r="C78" s="1293" t="s">
        <v>653</v>
      </c>
      <c r="D78" s="1314">
        <v>10920377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169997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2833.5236262173385</v>
      </c>
      <c r="C91" s="330"/>
      <c r="D91" s="330"/>
      <c r="E91" s="330"/>
      <c r="F91" s="330"/>
    </row>
    <row r="92" spans="1:6">
      <c r="A92" s="1293" t="s">
        <v>68</v>
      </c>
      <c r="B92" s="1294">
        <v>599.81567772698031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1850</v>
      </c>
      <c r="C97" s="330"/>
      <c r="D97" s="330"/>
      <c r="E97" s="330"/>
      <c r="F97" s="330"/>
    </row>
    <row r="98" spans="1:6">
      <c r="A98" s="1298" t="s">
        <v>71</v>
      </c>
      <c r="B98" s="1299">
        <v>0</v>
      </c>
      <c r="C98" s="330"/>
      <c r="D98" s="330"/>
      <c r="E98" s="330"/>
      <c r="F98" s="330"/>
    </row>
    <row r="99" spans="1:6">
      <c r="A99" s="1298" t="s">
        <v>72</v>
      </c>
      <c r="B99" s="1299">
        <v>49</v>
      </c>
      <c r="C99" s="330"/>
      <c r="D99" s="330"/>
      <c r="E99" s="330"/>
      <c r="F99" s="330"/>
    </row>
    <row r="100" spans="1:6">
      <c r="A100" s="1298" t="s">
        <v>73</v>
      </c>
      <c r="B100" s="1299">
        <v>252</v>
      </c>
      <c r="C100" s="330"/>
      <c r="D100" s="330"/>
      <c r="E100" s="330"/>
      <c r="F100" s="330"/>
    </row>
    <row r="101" spans="1:6">
      <c r="A101" s="1298" t="s">
        <v>74</v>
      </c>
      <c r="B101" s="1299">
        <v>78</v>
      </c>
      <c r="C101" s="330"/>
      <c r="D101" s="330"/>
      <c r="E101" s="330"/>
      <c r="F101" s="330"/>
    </row>
    <row r="102" spans="1:6">
      <c r="A102" s="1298" t="s">
        <v>75</v>
      </c>
      <c r="B102" s="1299">
        <v>61</v>
      </c>
      <c r="C102" s="330"/>
      <c r="D102" s="330"/>
      <c r="E102" s="330"/>
      <c r="F102" s="330"/>
    </row>
    <row r="103" spans="1:6">
      <c r="A103" s="1298" t="s">
        <v>76</v>
      </c>
      <c r="B103" s="1299">
        <v>117</v>
      </c>
      <c r="C103" s="330"/>
      <c r="D103" s="330"/>
      <c r="E103" s="330"/>
      <c r="F103" s="330"/>
    </row>
    <row r="104" spans="1:6">
      <c r="A104" s="1298" t="s">
        <v>77</v>
      </c>
      <c r="B104" s="1299">
        <v>1085</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14</v>
      </c>
      <c r="C123" s="1299">
        <v>24</v>
      </c>
      <c r="D123" s="330"/>
      <c r="E123" s="330"/>
      <c r="F123" s="330"/>
    </row>
    <row r="124" spans="1:6" s="43" customFormat="1">
      <c r="A124" s="1300" t="s">
        <v>88</v>
      </c>
      <c r="B124" s="1321">
        <v>3</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111</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13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32617.876774178309</v>
      </c>
      <c r="C3" s="43" t="s">
        <v>169</v>
      </c>
      <c r="D3" s="43"/>
      <c r="E3" s="154"/>
      <c r="F3" s="43"/>
      <c r="G3" s="43"/>
      <c r="H3" s="43"/>
      <c r="I3" s="43"/>
      <c r="J3" s="43"/>
      <c r="K3" s="96"/>
    </row>
    <row r="4" spans="1:11">
      <c r="A4" s="358" t="s">
        <v>170</v>
      </c>
      <c r="B4" s="49">
        <f>IF(ISERROR('SEAP template'!B78+'SEAP template'!C78),0,'SEAP template'!B78+'SEAP template'!C78)</f>
        <v>3476.9893039443191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0.19744191737274561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696.41300000000001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696.41300000000001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0.19744191737274561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137.50111800330589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12655.22495</v>
      </c>
      <c r="C5" s="17">
        <f>IF(ISERROR('Eigen informatie GS &amp; warmtenet'!B59),0,'Eigen informatie GS &amp; warmtenet'!B59)</f>
        <v>0</v>
      </c>
      <c r="D5" s="30">
        <f>(SUM(HH_hh_gas_kWh,HH_rest_gas_kWh)/1000)*0.902</f>
        <v>35809.230959788001</v>
      </c>
      <c r="E5" s="17">
        <f>B46*B57</f>
        <v>6083.3512773045204</v>
      </c>
      <c r="F5" s="17">
        <f>B51*B62</f>
        <v>5371.1035943592069</v>
      </c>
      <c r="G5" s="18"/>
      <c r="H5" s="17"/>
      <c r="I5" s="17"/>
      <c r="J5" s="17">
        <f>B50*B61+C50*C61</f>
        <v>331.86141270152939</v>
      </c>
      <c r="K5" s="17"/>
      <c r="L5" s="17"/>
      <c r="M5" s="17"/>
      <c r="N5" s="17">
        <f>B48*B59+C48*C59</f>
        <v>12082.425093532447</v>
      </c>
      <c r="O5" s="17">
        <f>B69*B70*B71</f>
        <v>271.80227605602335</v>
      </c>
      <c r="P5" s="17">
        <f>B77*B78*B79/1000-B77*B78*B79/1000/B80</f>
        <v>316.01877923055071</v>
      </c>
    </row>
    <row r="6" spans="1:16">
      <c r="A6" s="16" t="s">
        <v>611</v>
      </c>
      <c r="B6" s="783">
        <f>kWh_PV_kleiner_dan_10kW</f>
        <v>2833.5236262173385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15488.748576217338</v>
      </c>
      <c r="C8" s="21">
        <f>C5</f>
        <v>0</v>
      </c>
      <c r="D8" s="21">
        <f>D5</f>
        <v>35809.230959788001</v>
      </c>
      <c r="E8" s="21">
        <f>E5</f>
        <v>6083.3512773045204</v>
      </c>
      <c r="F8" s="21">
        <f>F5</f>
        <v>5371.1035943592069</v>
      </c>
      <c r="G8" s="21"/>
      <c r="H8" s="21"/>
      <c r="I8" s="21"/>
      <c r="J8" s="21">
        <f>J5</f>
        <v>331.86141270152939</v>
      </c>
      <c r="K8" s="21"/>
      <c r="L8" s="21">
        <f>L5</f>
        <v>0</v>
      </c>
      <c r="M8" s="21">
        <f>M5</f>
        <v>0</v>
      </c>
      <c r="N8" s="21">
        <f>N5</f>
        <v>12082.425093532447</v>
      </c>
      <c r="O8" s="21">
        <f>O5</f>
        <v>271.80227605602335</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0.19744191737274561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3058.128216592735</v>
      </c>
      <c r="C12" s="23">
        <f ca="1">C10*C8</f>
        <v>0</v>
      </c>
      <c r="D12" s="23">
        <f>D8*D10</f>
        <v>7233.4646538771767</v>
      </c>
      <c r="E12" s="23">
        <f>E10*E8</f>
        <v>1380.9207399481261</v>
      </c>
      <c r="F12" s="23">
        <f>F10*F8</f>
        <v>1434.0846596939084</v>
      </c>
      <c r="G12" s="23"/>
      <c r="H12" s="23"/>
      <c r="I12" s="23"/>
      <c r="J12" s="23">
        <f>J10*J8</f>
        <v>117.4789400963414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1850</v>
      </c>
      <c r="C18" s="166" t="s">
        <v>110</v>
      </c>
      <c r="D18" s="228"/>
      <c r="E18" s="15"/>
    </row>
    <row r="19" spans="1:7">
      <c r="A19" s="171" t="s">
        <v>71</v>
      </c>
      <c r="B19" s="37">
        <f>aantalw2001_ander</f>
        <v>0</v>
      </c>
      <c r="C19" s="166" t="s">
        <v>110</v>
      </c>
      <c r="D19" s="229"/>
      <c r="E19" s="15"/>
    </row>
    <row r="20" spans="1:7">
      <c r="A20" s="171" t="s">
        <v>72</v>
      </c>
      <c r="B20" s="37">
        <f>aantalw2001_propaan</f>
        <v>49</v>
      </c>
      <c r="C20" s="167">
        <f>IF(ISERROR(B20/SUM($B$20,$B$21,$B$22)*100),0,B20/SUM($B$20,$B$21,$B$22)*100)</f>
        <v>12.928759894459102</v>
      </c>
      <c r="D20" s="229"/>
      <c r="E20" s="15"/>
    </row>
    <row r="21" spans="1:7">
      <c r="A21" s="171" t="s">
        <v>73</v>
      </c>
      <c r="B21" s="37">
        <f>aantalw2001_elektriciteit</f>
        <v>252</v>
      </c>
      <c r="C21" s="167">
        <f>IF(ISERROR(B21/SUM($B$20,$B$21,$B$22)*100),0,B21/SUM($B$20,$B$21,$B$22)*100)</f>
        <v>66.490765171503966</v>
      </c>
      <c r="D21" s="229"/>
      <c r="E21" s="15"/>
    </row>
    <row r="22" spans="1:7">
      <c r="A22" s="171" t="s">
        <v>74</v>
      </c>
      <c r="B22" s="37">
        <f>aantalw2001_hout</f>
        <v>78</v>
      </c>
      <c r="C22" s="167">
        <f>IF(ISERROR(B22/SUM($B$20,$B$21,$B$22)*100),0,B22/SUM($B$20,$B$21,$B$22)*100)</f>
        <v>20.580474934036939</v>
      </c>
      <c r="D22" s="229"/>
      <c r="E22" s="15"/>
    </row>
    <row r="23" spans="1:7">
      <c r="A23" s="171" t="s">
        <v>75</v>
      </c>
      <c r="B23" s="37">
        <f>aantalw2001_niet_gespec</f>
        <v>61</v>
      </c>
      <c r="C23" s="166" t="s">
        <v>110</v>
      </c>
      <c r="D23" s="228"/>
      <c r="E23" s="15"/>
    </row>
    <row r="24" spans="1:7">
      <c r="A24" s="171" t="s">
        <v>76</v>
      </c>
      <c r="B24" s="37">
        <f>aantalw2001_steenkool</f>
        <v>117</v>
      </c>
      <c r="C24" s="166" t="s">
        <v>110</v>
      </c>
      <c r="D24" s="229"/>
      <c r="E24" s="15"/>
    </row>
    <row r="25" spans="1:7">
      <c r="A25" s="171" t="s">
        <v>77</v>
      </c>
      <c r="B25" s="37">
        <f>aantalw2001_stookolie</f>
        <v>1085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3948</v>
      </c>
      <c r="C28" s="36"/>
      <c r="D28" s="228"/>
    </row>
    <row r="29" spans="1:7" s="15" customFormat="1">
      <c r="A29" s="230" t="s">
        <v>819</v>
      </c>
      <c r="B29" s="37">
        <f>SUM(HH_hh_gas_aantal,HH_rest_gas_aantal)</f>
        <v>2768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2768</v>
      </c>
      <c r="C32" s="167">
        <f>IF(ISERROR(B32/SUM($B$32,$B$34,$B$35,$B$36,$B$38,$B$39)*100),0,B32/SUM($B$32,$B$34,$B$35,$B$36,$B$38,$B$39)*100)</f>
        <v>70.648289943848908</v>
      </c>
      <c r="D32" s="233"/>
      <c r="G32" s="15"/>
    </row>
    <row r="33" spans="1:7">
      <c r="A33" s="171" t="s">
        <v>71</v>
      </c>
      <c r="B33" s="34" t="s">
        <v>110</v>
      </c>
      <c r="C33" s="167"/>
      <c r="D33" s="233"/>
      <c r="G33" s="15"/>
    </row>
    <row r="34" spans="1:7">
      <c r="A34" s="171" t="s">
        <v>72</v>
      </c>
      <c r="B34" s="33">
        <f>IF((($B$28-$B$32-$B$39-$B$77-$B$38)*C20/100)&lt;0,0,($B$28-$B$32-$B$39-$B$77-$B$38)*C20/100)</f>
        <v>111.96306068601581</v>
      </c>
      <c r="C34" s="167">
        <f>IF(ISERROR(B34/SUM($B$32,$B$34,$B$35,$B$36,$B$38,$B$39)*100),0,B34/SUM($B$32,$B$34,$B$35,$B$36,$B$38,$B$39)*100)</f>
        <v>2.8576585167436401</v>
      </c>
      <c r="D34" s="233"/>
      <c r="G34" s="15"/>
    </row>
    <row r="35" spans="1:7">
      <c r="A35" s="171" t="s">
        <v>73</v>
      </c>
      <c r="B35" s="33">
        <f>IF((($B$28-$B$32-$B$39-$B$77-$B$38)*C21/100)&lt;0,0,($B$28-$B$32-$B$39-$B$77-$B$38)*C21/100)</f>
        <v>575.81002638522432</v>
      </c>
      <c r="C35" s="167">
        <f>IF(ISERROR(B35/SUM($B$32,$B$34,$B$35,$B$36,$B$38,$B$39)*100),0,B35/SUM($B$32,$B$34,$B$35,$B$36,$B$38,$B$39)*100)</f>
        <v>14.696529514681581</v>
      </c>
      <c r="D35" s="233"/>
      <c r="G35" s="15"/>
    </row>
    <row r="36" spans="1:7">
      <c r="A36" s="171" t="s">
        <v>74</v>
      </c>
      <c r="B36" s="33">
        <f>IF((($B$28-$B$32-$B$39-$B$77-$B$38)*C22/100)&lt;0,0,($B$28-$B$32-$B$39-$B$77-$B$38)*C22/100)</f>
        <v>178.22691292875987</v>
      </c>
      <c r="C36" s="167">
        <f>IF(ISERROR(B36/SUM($B$32,$B$34,$B$35,$B$36,$B$38,$B$39)*100),0,B36/SUM($B$32,$B$34,$B$35,$B$36,$B$38,$B$39)*100)</f>
        <v>4.5489258021633461</v>
      </c>
      <c r="D36" s="233"/>
      <c r="G36" s="15"/>
    </row>
    <row r="37" spans="1:7">
      <c r="A37" s="171" t="s">
        <v>75</v>
      </c>
      <c r="B37" s="34" t="s">
        <v>110</v>
      </c>
      <c r="C37" s="167"/>
      <c r="D37" s="173"/>
      <c r="G37" s="15"/>
    </row>
    <row r="38" spans="1:7">
      <c r="A38" s="171" t="s">
        <v>76</v>
      </c>
      <c r="B38" s="33">
        <f>IF((B24-(B29-B18)*0.1)&lt;0,0,B24-(B29-B18)*0.1)</f>
        <v>25.199999999999989</v>
      </c>
      <c r="C38" s="167">
        <f>IF(ISERROR(B38/SUM($B$32,$B$34,$B$35,$B$36,$B$38,$B$39)*100),0,B38/SUM($B$32,$B$34,$B$35,$B$36,$B$38,$B$39)*100)</f>
        <v>0.64318529862174545</v>
      </c>
      <c r="D38" s="234"/>
      <c r="G38" s="15"/>
    </row>
    <row r="39" spans="1:7">
      <c r="A39" s="171" t="s">
        <v>77</v>
      </c>
      <c r="B39" s="33">
        <f>IF((B25-(B29-B18))&lt;0,0,B25-(B29-B18)*0.9)</f>
        <v>258.79999999999995</v>
      </c>
      <c r="C39" s="167">
        <f>IF(ISERROR(B39/SUM($B$32,$B$34,$B$35,$B$36,$B$38,$B$39)*100),0,B39/SUM($B$32,$B$34,$B$35,$B$36,$B$38,$B$39)*100)</f>
        <v>6.6054109239407852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2768</v>
      </c>
      <c r="C44" s="34" t="s">
        <v>110</v>
      </c>
      <c r="D44" s="174"/>
    </row>
    <row r="45" spans="1:7">
      <c r="A45" s="171" t="s">
        <v>71</v>
      </c>
      <c r="B45" s="33" t="str">
        <f t="shared" si="0"/>
        <v>-</v>
      </c>
      <c r="C45" s="34" t="s">
        <v>110</v>
      </c>
      <c r="D45" s="174"/>
    </row>
    <row r="46" spans="1:7">
      <c r="A46" s="171" t="s">
        <v>72</v>
      </c>
      <c r="B46" s="33">
        <f t="shared" si="0"/>
        <v>111.96306068601581</v>
      </c>
      <c r="C46" s="34" t="s">
        <v>110</v>
      </c>
      <c r="D46" s="174"/>
    </row>
    <row r="47" spans="1:7">
      <c r="A47" s="171" t="s">
        <v>73</v>
      </c>
      <c r="B47" s="33">
        <f t="shared" si="0"/>
        <v>575.81002638522432</v>
      </c>
      <c r="C47" s="34" t="s">
        <v>110</v>
      </c>
      <c r="D47" s="174"/>
    </row>
    <row r="48" spans="1:7">
      <c r="A48" s="171" t="s">
        <v>74</v>
      </c>
      <c r="B48" s="33">
        <f t="shared" si="0"/>
        <v>178.22691292875987</v>
      </c>
      <c r="C48" s="33">
        <f>B48*10</f>
        <v>1782.2691292875988</v>
      </c>
      <c r="D48" s="234"/>
    </row>
    <row r="49" spans="1:6">
      <c r="A49" s="171" t="s">
        <v>75</v>
      </c>
      <c r="B49" s="33" t="str">
        <f t="shared" si="0"/>
        <v>-</v>
      </c>
      <c r="C49" s="34" t="s">
        <v>110</v>
      </c>
      <c r="D49" s="234"/>
    </row>
    <row r="50" spans="1:6">
      <c r="A50" s="171" t="s">
        <v>76</v>
      </c>
      <c r="B50" s="33">
        <f t="shared" si="0"/>
        <v>25.199999999999989</v>
      </c>
      <c r="C50" s="33">
        <f>B50*2</f>
        <v>50.399999999999977</v>
      </c>
      <c r="D50" s="234"/>
    </row>
    <row r="51" spans="1:6">
      <c r="A51" s="171" t="s">
        <v>77</v>
      </c>
      <c r="B51" s="33">
        <f t="shared" si="0"/>
        <v>258.79999999999995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7232.7663350000003</v>
      </c>
      <c r="C5" s="17">
        <f>IF(ISERROR('Eigen informatie GS &amp; warmtenet'!B60),0,'Eigen informatie GS &amp; warmtenet'!B60)</f>
        <v>0</v>
      </c>
      <c r="D5" s="30">
        <f>SUM(D6:D12)</f>
        <v>8379.1599196579991</v>
      </c>
      <c r="E5" s="17">
        <f>SUM(E6:E12)</f>
        <v>111.43959873956928</v>
      </c>
      <c r="F5" s="17">
        <f>SUM(F6:F12)</f>
        <v>785.40402059497012</v>
      </c>
      <c r="G5" s="18"/>
      <c r="H5" s="17"/>
      <c r="I5" s="17"/>
      <c r="J5" s="17">
        <f>SUM(J6:J12)</f>
        <v>1.0692910033878289E-2</v>
      </c>
      <c r="K5" s="17"/>
      <c r="L5" s="17"/>
      <c r="M5" s="17"/>
      <c r="N5" s="17">
        <f>SUM(N6:N12)</f>
        <v>425.84639286116862</v>
      </c>
      <c r="O5" s="17">
        <f>B38*B39*B40</f>
        <v>0</v>
      </c>
      <c r="P5" s="17">
        <f>B46*B47*B48/1000-B46*B47*B48/1000/B49</f>
        <v>105.07827661299004</v>
      </c>
      <c r="R5" s="32"/>
    </row>
    <row r="6" spans="1:18">
      <c r="A6" s="32" t="s">
        <v>53</v>
      </c>
      <c r="B6" s="37">
        <f>B26</f>
        <v>1840.1075719999999</v>
      </c>
      <c r="C6" s="33"/>
      <c r="D6" s="37">
        <f>IF(ISERROR(TER_kantoor_gas_kWh/1000),0,TER_kantoor_gas_kWh/1000)*0.902</f>
        <v>2517.6992277579998</v>
      </c>
      <c r="E6" s="33">
        <f>$C$26*'E Balans VL '!I12/100/3.6*1000000</f>
        <v>14.80675564691599</v>
      </c>
      <c r="F6" s="33">
        <f>$C$26*('E Balans VL '!L12+'E Balans VL '!N12)/100/3.6*1000000</f>
        <v>224.9725079889204</v>
      </c>
      <c r="G6" s="34"/>
      <c r="H6" s="33"/>
      <c r="I6" s="33"/>
      <c r="J6" s="33">
        <f>$C$26*('E Balans VL '!D12+'E Balans VL '!E12)/100/3.6*1000000</f>
        <v>0</v>
      </c>
      <c r="K6" s="33"/>
      <c r="L6" s="33"/>
      <c r="M6" s="33"/>
      <c r="N6" s="33">
        <f>$C$26*'E Balans VL '!Y12/100/3.6*1000000</f>
        <v>0.98896720445980102</v>
      </c>
      <c r="O6" s="33"/>
      <c r="P6" s="33"/>
      <c r="R6" s="32"/>
    </row>
    <row r="7" spans="1:18">
      <c r="A7" s="32" t="s">
        <v>52</v>
      </c>
      <c r="B7" s="37">
        <f t="shared" ref="B7:B12" si="0">B27</f>
        <v>677.83132899999998</v>
      </c>
      <c r="C7" s="33"/>
      <c r="D7" s="37">
        <f>IF(ISERROR(TER_horeca_gas_kWh/1000),0,TER_horeca_gas_kWh/1000)*0.902</f>
        <v>768.28932399999997</v>
      </c>
      <c r="E7" s="33">
        <f>$C$27*'E Balans VL '!I9/100/3.6*1000000</f>
        <v>7.2782440107111155</v>
      </c>
      <c r="F7" s="33">
        <f>$C$27*('E Balans VL '!L9+'E Balans VL '!N9)/100/3.6*1000000</f>
        <v>81.526672355096963</v>
      </c>
      <c r="G7" s="34"/>
      <c r="H7" s="33"/>
      <c r="I7" s="33"/>
      <c r="J7" s="33">
        <f>$C$27*('E Balans VL '!D9+'E Balans VL '!E9)/100/3.6*1000000</f>
        <v>0</v>
      </c>
      <c r="K7" s="33"/>
      <c r="L7" s="33"/>
      <c r="M7" s="33"/>
      <c r="N7" s="33">
        <f>$C$27*'E Balans VL '!Y9/100/3.6*1000000</f>
        <v>0.10162065426317182</v>
      </c>
      <c r="O7" s="33"/>
      <c r="P7" s="33"/>
      <c r="R7" s="32"/>
    </row>
    <row r="8" spans="1:18">
      <c r="A8" s="6" t="s">
        <v>51</v>
      </c>
      <c r="B8" s="37">
        <f t="shared" si="0"/>
        <v>3139.8247489999999</v>
      </c>
      <c r="C8" s="33"/>
      <c r="D8" s="37">
        <f>IF(ISERROR(TER_handel_gas_kWh/1000),0,TER_handel_gas_kWh/1000)*0.902</f>
        <v>1901.91661</v>
      </c>
      <c r="E8" s="33">
        <f>$C$28*'E Balans VL '!I13/100/3.6*1000000</f>
        <v>84.263283782939624</v>
      </c>
      <c r="F8" s="33">
        <f>$C$28*('E Balans VL '!L13+'E Balans VL '!N13)/100/3.6*1000000</f>
        <v>299.63605294860361</v>
      </c>
      <c r="G8" s="34"/>
      <c r="H8" s="33"/>
      <c r="I8" s="33"/>
      <c r="J8" s="33">
        <f>$C$28*('E Balans VL '!D13+'E Balans VL '!E13)/100/3.6*1000000</f>
        <v>0</v>
      </c>
      <c r="K8" s="33"/>
      <c r="L8" s="33"/>
      <c r="M8" s="33"/>
      <c r="N8" s="33">
        <f>$C$28*'E Balans VL '!Y13/100/3.6*1000000</f>
        <v>1.2446622315213378</v>
      </c>
      <c r="O8" s="33"/>
      <c r="P8" s="33"/>
      <c r="R8" s="32"/>
    </row>
    <row r="9" spans="1:18">
      <c r="A9" s="32" t="s">
        <v>50</v>
      </c>
      <c r="B9" s="37">
        <f t="shared" si="0"/>
        <v>845.72875600000009</v>
      </c>
      <c r="C9" s="33"/>
      <c r="D9" s="37">
        <f>IF(ISERROR(TER_gezond_gas_kWh/1000),0,TER_gezond_gas_kWh/1000)*0.902</f>
        <v>1801.7981278</v>
      </c>
      <c r="E9" s="33">
        <f>$C$29*'E Balans VL '!I10/100/3.6*1000000</f>
        <v>1.5851710699850534</v>
      </c>
      <c r="F9" s="33">
        <f>$C$29*('E Balans VL '!L10+'E Balans VL '!N10)/100/3.6*1000000</f>
        <v>69.526620423502735</v>
      </c>
      <c r="G9" s="34"/>
      <c r="H9" s="33"/>
      <c r="I9" s="33"/>
      <c r="J9" s="33">
        <f>$C$29*('E Balans VL '!D10+'E Balans VL '!E10)/100/3.6*1000000</f>
        <v>0</v>
      </c>
      <c r="K9" s="33"/>
      <c r="L9" s="33"/>
      <c r="M9" s="33"/>
      <c r="N9" s="33">
        <f>$C$29*'E Balans VL '!Y10/100/3.6*1000000</f>
        <v>6.5804007259990662</v>
      </c>
      <c r="O9" s="33"/>
      <c r="P9" s="33"/>
      <c r="R9" s="32"/>
    </row>
    <row r="10" spans="1:18">
      <c r="A10" s="32" t="s">
        <v>49</v>
      </c>
      <c r="B10" s="37">
        <f t="shared" si="0"/>
        <v>629.88192900000001</v>
      </c>
      <c r="C10" s="33"/>
      <c r="D10" s="37">
        <f>IF(ISERROR(TER_ander_gas_kWh/1000),0,TER_ander_gas_kWh/1000)*0.902</f>
        <v>1035.8663161000002</v>
      </c>
      <c r="E10" s="33">
        <f>$C$30*'E Balans VL '!I14/100/3.6*1000000</f>
        <v>0.97096937604846889</v>
      </c>
      <c r="F10" s="33">
        <f>$C$30*('E Balans VL '!L14+'E Balans VL '!N14)/100/3.6*1000000</f>
        <v>97.78934336571669</v>
      </c>
      <c r="G10" s="34"/>
      <c r="H10" s="33"/>
      <c r="I10" s="33"/>
      <c r="J10" s="33">
        <f>$C$30*('E Balans VL '!D14+'E Balans VL '!E14)/100/3.6*1000000</f>
        <v>1.0692910033878289E-2</v>
      </c>
      <c r="K10" s="33"/>
      <c r="L10" s="33"/>
      <c r="M10" s="33"/>
      <c r="N10" s="33">
        <f>$C$30*'E Balans VL '!Y14/100/3.6*1000000</f>
        <v>416.70969666211096</v>
      </c>
      <c r="O10" s="33"/>
      <c r="P10" s="33"/>
      <c r="R10" s="32"/>
    </row>
    <row r="11" spans="1:18">
      <c r="A11" s="32" t="s">
        <v>54</v>
      </c>
      <c r="B11" s="37">
        <f t="shared" si="0"/>
        <v>99.391999999999996</v>
      </c>
      <c r="C11" s="33"/>
      <c r="D11" s="37">
        <f>IF(ISERROR(TER_onderwijs_gas_kWh/1000),0,TER_onderwijs_gas_kWh/1000)*0.902</f>
        <v>353.59031400000003</v>
      </c>
      <c r="E11" s="33">
        <f>$C$31*'E Balans VL '!I11/100/3.6*1000000</f>
        <v>2.5351748529690235</v>
      </c>
      <c r="F11" s="33">
        <f>$C$31*('E Balans VL '!L11+'E Balans VL '!N11)/100/3.6*1000000</f>
        <v>11.952823513129587</v>
      </c>
      <c r="G11" s="34"/>
      <c r="H11" s="33"/>
      <c r="I11" s="33"/>
      <c r="J11" s="33">
        <f>$C$31*('E Balans VL '!D11+'E Balans VL '!E11)/100/3.6*1000000</f>
        <v>0</v>
      </c>
      <c r="K11" s="33"/>
      <c r="L11" s="33"/>
      <c r="M11" s="33"/>
      <c r="N11" s="33">
        <f>$C$31*'E Balans VL '!Y11/100/3.6*1000000</f>
        <v>0.22104538281430297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7232.7663350000003</v>
      </c>
      <c r="C16" s="21">
        <f t="shared" ca="1" si="1"/>
        <v>0</v>
      </c>
      <c r="D16" s="21">
        <f t="shared" ca="1" si="1"/>
        <v>8379.1599196579991</v>
      </c>
      <c r="E16" s="21">
        <f t="shared" si="1"/>
        <v>111.43959873956928</v>
      </c>
      <c r="F16" s="21">
        <f t="shared" ca="1" si="1"/>
        <v>785.40402059497012</v>
      </c>
      <c r="G16" s="21">
        <f t="shared" si="1"/>
        <v>0</v>
      </c>
      <c r="H16" s="21">
        <f t="shared" si="1"/>
        <v>0</v>
      </c>
      <c r="I16" s="21">
        <f t="shared" si="1"/>
        <v>0</v>
      </c>
      <c r="J16" s="21">
        <f t="shared" si="1"/>
        <v>1.0692910033878289E-2</v>
      </c>
      <c r="K16" s="21">
        <f t="shared" si="1"/>
        <v>0</v>
      </c>
      <c r="L16" s="21">
        <f t="shared" ca="1" si="1"/>
        <v>0</v>
      </c>
      <c r="M16" s="21">
        <f t="shared" si="1"/>
        <v>0</v>
      </c>
      <c r="N16" s="21">
        <f t="shared" ca="1" si="1"/>
        <v>425.84639286116862</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0.19744191737274561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1428.0512530914461</v>
      </c>
      <c r="C20" s="23">
        <f t="shared" ref="C20:P20" ca="1" si="2">C16*C18</f>
        <v>0</v>
      </c>
      <c r="D20" s="23">
        <f t="shared" ca="1" si="2"/>
        <v>1692.5903037709159</v>
      </c>
      <c r="E20" s="23">
        <f t="shared" si="2"/>
        <v>25.296788913882228</v>
      </c>
      <c r="F20" s="23">
        <f t="shared" ca="1" si="2"/>
        <v>209.70287349885703</v>
      </c>
      <c r="G20" s="23">
        <f t="shared" si="2"/>
        <v>0</v>
      </c>
      <c r="H20" s="23">
        <f t="shared" si="2"/>
        <v>0</v>
      </c>
      <c r="I20" s="23">
        <f t="shared" si="2"/>
        <v>0</v>
      </c>
      <c r="J20" s="23">
        <f t="shared" si="2"/>
        <v>3.7852901519929141E-3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1840.1075719999999</v>
      </c>
      <c r="C26" s="39">
        <f>IF(ISERROR(B26*3.6/1000000/'E Balans VL '!Z12*100),0,B26*3.6/1000000/'E Balans VL '!Z12*100)</f>
        <v>3.9036198634874689E-2</v>
      </c>
      <c r="D26" s="237" t="s">
        <v>708</v>
      </c>
      <c r="F26" s="6"/>
    </row>
    <row r="27" spans="1:18">
      <c r="A27" s="231" t="s">
        <v>52</v>
      </c>
      <c r="B27" s="33">
        <f>IF(ISERROR(TER_horeca_ele_kWh/1000),0,TER_horeca_ele_kWh/1000)</f>
        <v>677.83132899999998</v>
      </c>
      <c r="C27" s="39">
        <f>IF(ISERROR(B27*3.6/1000000/'E Balans VL '!Z9*100),0,B27*3.6/1000000/'E Balans VL '!Z9*100)</f>
        <v>5.1046703646972884E-2</v>
      </c>
      <c r="D27" s="237" t="s">
        <v>708</v>
      </c>
      <c r="F27" s="6"/>
    </row>
    <row r="28" spans="1:18">
      <c r="A28" s="171" t="s">
        <v>51</v>
      </c>
      <c r="B28" s="33">
        <f>IF(ISERROR(TER_handel_ele_kWh/1000),0,TER_handel_ele_kWh/1000)</f>
        <v>3139.8247489999999</v>
      </c>
      <c r="C28" s="39">
        <f>IF(ISERROR(B28*3.6/1000000/'E Balans VL '!Z13*100),0,B28*3.6/1000000/'E Balans VL '!Z13*100)</f>
        <v>9.1137987196370895E-2</v>
      </c>
      <c r="D28" s="237" t="s">
        <v>708</v>
      </c>
      <c r="F28" s="6"/>
    </row>
    <row r="29" spans="1:18">
      <c r="A29" s="231" t="s">
        <v>50</v>
      </c>
      <c r="B29" s="33">
        <f>IF(ISERROR(TER_gezond_ele_kWh/1000),0,TER_gezond_ele_kWh/1000)</f>
        <v>845.72875600000009</v>
      </c>
      <c r="C29" s="39">
        <f>IF(ISERROR(B29*3.6/1000000/'E Balans VL '!Z10*100),0,B29*3.6/1000000/'E Balans VL '!Z10*100)</f>
        <v>8.5292753615219818E-2</v>
      </c>
      <c r="D29" s="237" t="s">
        <v>708</v>
      </c>
      <c r="F29" s="6"/>
    </row>
    <row r="30" spans="1:18">
      <c r="A30" s="231" t="s">
        <v>49</v>
      </c>
      <c r="B30" s="33">
        <f>IF(ISERROR(TER_ander_ele_kWh/1000),0,TER_ander_ele_kWh/1000)</f>
        <v>629.88192900000001</v>
      </c>
      <c r="C30" s="39">
        <f>IF(ISERROR(B30*3.6/1000000/'E Balans VL '!Z14*100),0,B30*3.6/1000000/'E Balans VL '!Z14*100)</f>
        <v>4.5706527114062069E-2</v>
      </c>
      <c r="D30" s="237" t="s">
        <v>708</v>
      </c>
      <c r="F30" s="6"/>
    </row>
    <row r="31" spans="1:18">
      <c r="A31" s="231" t="s">
        <v>54</v>
      </c>
      <c r="B31" s="33">
        <f>IF(ISERROR(TER_onderwijs_ele_kWh/1000),0,TER_onderwijs_ele_kWh/1000)</f>
        <v>99.391999999999996</v>
      </c>
      <c r="C31" s="39">
        <f>IF(ISERROR(B31*3.6/1000000/'E Balans VL '!Z11*100),0,B31*3.6/1000000/'E Balans VL '!Z11*100)</f>
        <v>2.8330767430703053E-2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6728.5096380000005</v>
      </c>
      <c r="C5" s="17">
        <f>IF(ISERROR('Eigen informatie GS &amp; warmtenet'!B61),0,'Eigen informatie GS &amp; warmtenet'!B61)</f>
        <v>0</v>
      </c>
      <c r="D5" s="30">
        <f>SUM(D6:D15)</f>
        <v>3169.7568957999997</v>
      </c>
      <c r="E5" s="17">
        <f>SUM(E6:E15)</f>
        <v>521.31304241537623</v>
      </c>
      <c r="F5" s="17">
        <f>SUM(F6:F15)</f>
        <v>1791.2663658046627</v>
      </c>
      <c r="G5" s="18"/>
      <c r="H5" s="17"/>
      <c r="I5" s="17"/>
      <c r="J5" s="17">
        <f>SUM(J6:J15)</f>
        <v>8.1921112638642821</v>
      </c>
      <c r="K5" s="17"/>
      <c r="L5" s="17"/>
      <c r="M5" s="17"/>
      <c r="N5" s="17">
        <f>SUM(N6:N15)</f>
        <v>364.72019719533387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867.01417200000003</v>
      </c>
      <c r="C8" s="33"/>
      <c r="D8" s="37">
        <f>IF( ISERROR(IND_metaal_Gas_kWH/1000),0,IND_metaal_Gas_kWH/1000)*0.902</f>
        <v>206.62474800000001</v>
      </c>
      <c r="E8" s="33">
        <f>C30*'E Balans VL '!I18/100/3.6*1000000</f>
        <v>6.2548987235613831</v>
      </c>
      <c r="F8" s="33">
        <f>C30*'E Balans VL '!L18/100/3.6*1000000+C30*'E Balans VL '!N18/100/3.6*1000000</f>
        <v>82.003554049734547</v>
      </c>
      <c r="G8" s="34"/>
      <c r="H8" s="33"/>
      <c r="I8" s="33"/>
      <c r="J8" s="40">
        <f>C30*'E Balans VL '!D18/100/3.6*1000000+C30*'E Balans VL '!E18/100/3.6*1000000</f>
        <v>0.87204789258872373</v>
      </c>
      <c r="K8" s="33"/>
      <c r="L8" s="33"/>
      <c r="M8" s="33"/>
      <c r="N8" s="33">
        <f>C30*'E Balans VL '!Y18/100/3.6*1000000</f>
        <v>10.961353027111194</v>
      </c>
      <c r="O8" s="33"/>
      <c r="P8" s="33"/>
      <c r="R8" s="32"/>
    </row>
    <row r="9" spans="1:18">
      <c r="A9" s="6" t="s">
        <v>32</v>
      </c>
      <c r="B9" s="37">
        <f t="shared" si="0"/>
        <v>1821.694328</v>
      </c>
      <c r="C9" s="33"/>
      <c r="D9" s="37">
        <f>IF( ISERROR(IND_andere_gas_kWh/1000),0,IND_andere_gas_kWh/1000)*0.902</f>
        <v>2093.2523677999998</v>
      </c>
      <c r="E9" s="33">
        <f>C31*'E Balans VL '!I19/100/3.6*1000000</f>
        <v>504.81585739372832</v>
      </c>
      <c r="F9" s="33">
        <f>C31*'E Balans VL '!L19/100/3.6*1000000+C31*'E Balans VL '!N19/100/3.6*1000000</f>
        <v>1509.8241957581829</v>
      </c>
      <c r="G9" s="34"/>
      <c r="H9" s="33"/>
      <c r="I9" s="33"/>
      <c r="J9" s="40">
        <f>C31*'E Balans VL '!D19/100/3.6*1000000+C31*'E Balans VL '!E19/100/3.6*1000000</f>
        <v>0</v>
      </c>
      <c r="K9" s="33"/>
      <c r="L9" s="33"/>
      <c r="M9" s="33"/>
      <c r="N9" s="33">
        <f>C31*'E Balans VL '!Y19/100/3.6*1000000</f>
        <v>132.23272647898676</v>
      </c>
      <c r="O9" s="33"/>
      <c r="P9" s="33"/>
      <c r="R9" s="32"/>
    </row>
    <row r="10" spans="1:18">
      <c r="A10" s="6" t="s">
        <v>40</v>
      </c>
      <c r="B10" s="37">
        <f t="shared" si="0"/>
        <v>2906.777</v>
      </c>
      <c r="C10" s="33"/>
      <c r="D10" s="37">
        <f>IF( ISERROR(IND_voed_gas_kWh/1000),0,IND_voed_gas_kWh/1000)*0.902</f>
        <v>609.65187800000001</v>
      </c>
      <c r="E10" s="33">
        <f>C32*'E Balans VL '!I20/100/3.6*1000000</f>
        <v>5.1459798784946882</v>
      </c>
      <c r="F10" s="33">
        <f>C32*'E Balans VL '!L20/100/3.6*1000000+C32*'E Balans VL '!N20/100/3.6*1000000</f>
        <v>156.99172053345731</v>
      </c>
      <c r="G10" s="34"/>
      <c r="H10" s="33"/>
      <c r="I10" s="33"/>
      <c r="J10" s="40">
        <f>C32*'E Balans VL '!D20/100/3.6*1000000+C32*'E Balans VL '!E20/100/3.6*1000000</f>
        <v>0</v>
      </c>
      <c r="K10" s="33"/>
      <c r="L10" s="33"/>
      <c r="M10" s="33"/>
      <c r="N10" s="33">
        <f>C32*'E Balans VL '!Y20/100/3.6*1000000</f>
        <v>168.90594303257242</v>
      </c>
      <c r="O10" s="33"/>
      <c r="P10" s="33"/>
      <c r="R10" s="32"/>
    </row>
    <row r="11" spans="1:18">
      <c r="A11" s="6" t="s">
        <v>39</v>
      </c>
      <c r="B11" s="37">
        <f t="shared" si="0"/>
        <v>1036.01</v>
      </c>
      <c r="C11" s="33"/>
      <c r="D11" s="37">
        <f>IF( ISERROR(IND_textiel_gas_kWh/1000),0,IND_textiel_gas_kWh/1000)*0.902</f>
        <v>74.619754</v>
      </c>
      <c r="E11" s="33">
        <f>C33*'E Balans VL '!I21/100/3.6*1000000</f>
        <v>3.6520427826269701</v>
      </c>
      <c r="F11" s="33">
        <f>C33*'E Balans VL '!L21/100/3.6*1000000+C33*'E Balans VL '!N21/100/3.6*1000000</f>
        <v>30.408442709302641</v>
      </c>
      <c r="G11" s="34"/>
      <c r="H11" s="33"/>
      <c r="I11" s="33"/>
      <c r="J11" s="40">
        <f>C33*'E Balans VL '!D21/100/3.6*1000000+C33*'E Balans VL '!E21/100/3.6*1000000</f>
        <v>0</v>
      </c>
      <c r="K11" s="33"/>
      <c r="L11" s="33"/>
      <c r="M11" s="33"/>
      <c r="N11" s="33">
        <f>C33*'E Balans VL '!Y21/100/3.6*1000000</f>
        <v>45.646452299026066</v>
      </c>
      <c r="O11" s="33"/>
      <c r="P11" s="33"/>
      <c r="R11" s="32"/>
    </row>
    <row r="12" spans="1:18">
      <c r="A12" s="6" t="s">
        <v>36</v>
      </c>
      <c r="B12" s="37">
        <f t="shared" si="0"/>
        <v>27.778137999999998</v>
      </c>
      <c r="C12" s="33"/>
      <c r="D12" s="37">
        <f>IF( ISERROR(IND_min_gas_kWh/1000),0,IND_min_gas_kWh/1000)*0.902</f>
        <v>0</v>
      </c>
      <c r="E12" s="33">
        <f>C34*'E Balans VL '!I22/100/3.6*1000000</f>
        <v>1.2232501119577015</v>
      </c>
      <c r="F12" s="33">
        <f>C34*'E Balans VL '!L22/100/3.6*1000000+C34*'E Balans VL '!N22/100/3.6*1000000</f>
        <v>10.862373793647258</v>
      </c>
      <c r="G12" s="34"/>
      <c r="H12" s="33"/>
      <c r="I12" s="33"/>
      <c r="J12" s="40">
        <f>C34*'E Balans VL '!D22/100/3.6*1000000+C34*'E Balans VL '!E22/100/3.6*1000000</f>
        <v>8.4344298196281364E-3</v>
      </c>
      <c r="K12" s="33"/>
      <c r="L12" s="33"/>
      <c r="M12" s="33"/>
      <c r="N12" s="33">
        <f>C34*'E Balans VL '!Y22/100/3.6*1000000</f>
        <v>6.8714695225058984</v>
      </c>
      <c r="O12" s="33"/>
      <c r="P12" s="33"/>
      <c r="R12" s="32"/>
    </row>
    <row r="13" spans="1:18">
      <c r="A13" s="6" t="s">
        <v>38</v>
      </c>
      <c r="B13" s="37">
        <f t="shared" si="0"/>
        <v>66.634</v>
      </c>
      <c r="C13" s="33"/>
      <c r="D13" s="37">
        <f>IF( ISERROR(IND_papier_gas_kWh/1000),0,IND_papier_gas_kWh/1000)*0.902</f>
        <v>161.19100800000001</v>
      </c>
      <c r="E13" s="33">
        <f>C35*'E Balans VL '!I23/100/3.6*1000000</f>
        <v>9.8041494794653197E-2</v>
      </c>
      <c r="F13" s="33">
        <f>C35*'E Balans VL '!L23/100/3.6*1000000+C35*'E Balans VL '!N23/100/3.6*1000000</f>
        <v>0.71347066315695196</v>
      </c>
      <c r="G13" s="34"/>
      <c r="H13" s="33"/>
      <c r="I13" s="33"/>
      <c r="J13" s="40">
        <f>C35*'E Balans VL '!D23/100/3.6*1000000+C35*'E Balans VL '!E23/100/3.6*1000000</f>
        <v>7.2901332639184808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2.6019999999999999</v>
      </c>
      <c r="C15" s="33"/>
      <c r="D15" s="37">
        <f>IF( ISERROR(IND_rest_gas_kWh/1000),0,IND_rest_gas_kWh/1000)*0.902</f>
        <v>24.41714</v>
      </c>
      <c r="E15" s="33">
        <f>C37*'E Balans VL '!I15/100/3.6*1000000</f>
        <v>0.12297203021263924</v>
      </c>
      <c r="F15" s="33">
        <f>C37*'E Balans VL '!L15/100/3.6*1000000+C37*'E Balans VL '!N15/100/3.6*1000000</f>
        <v>0.46260829718135188</v>
      </c>
      <c r="G15" s="34"/>
      <c r="H15" s="33"/>
      <c r="I15" s="33"/>
      <c r="J15" s="40">
        <f>C37*'E Balans VL '!D15/100/3.6*1000000+C37*'E Balans VL '!E15/100/3.6*1000000</f>
        <v>2.1495677537449097E-2</v>
      </c>
      <c r="K15" s="33"/>
      <c r="L15" s="33"/>
      <c r="M15" s="33"/>
      <c r="N15" s="33">
        <f>C37*'E Balans VL '!Y15/100/3.6*1000000</f>
        <v>0.1022528351315402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6728.5096380000005</v>
      </c>
      <c r="C18" s="21">
        <f>C5+C16</f>
        <v>0</v>
      </c>
      <c r="D18" s="21">
        <f>MAX((D5+D16),0)</f>
        <v>3169.7568957999997</v>
      </c>
      <c r="E18" s="21">
        <f>MAX((E5+E16),0)</f>
        <v>521.31304241537623</v>
      </c>
      <c r="F18" s="21">
        <f>MAX((F5+F16),0)</f>
        <v>1791.2663658046627</v>
      </c>
      <c r="G18" s="21"/>
      <c r="H18" s="21"/>
      <c r="I18" s="21"/>
      <c r="J18" s="21">
        <f>MAX((J5+J16),0)</f>
        <v>8.1921112638642821</v>
      </c>
      <c r="K18" s="21"/>
      <c r="L18" s="21">
        <f>MAX((L5+L16),0)</f>
        <v>0</v>
      </c>
      <c r="M18" s="21"/>
      <c r="N18" s="21">
        <f>MAX((N5+N16),0)</f>
        <v>364.72019719533387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0.19744191737274561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1328.4898439877186</v>
      </c>
      <c r="C22" s="23">
        <f ca="1">C18*C20</f>
        <v>0</v>
      </c>
      <c r="D22" s="23">
        <f>D18*D20</f>
        <v>640.29089295159997</v>
      </c>
      <c r="E22" s="23">
        <f>E18*E20</f>
        <v>118.33806062829041</v>
      </c>
      <c r="F22" s="23">
        <f>F18*F20</f>
        <v>478.26811966984496</v>
      </c>
      <c r="G22" s="23"/>
      <c r="H22" s="23"/>
      <c r="I22" s="23"/>
      <c r="J22" s="23">
        <f>J18*J20</f>
        <v>2.9000073874079559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867.01417200000003</v>
      </c>
      <c r="C30" s="39">
        <f>IF(ISERROR(B30*3.6/1000000/'E Balans VL '!Z18*100),0,B30*3.6/1000000/'E Balans VL '!Z18*100)</f>
        <v>5.0051375306018775E-2</v>
      </c>
      <c r="D30" s="237" t="s">
        <v>708</v>
      </c>
    </row>
    <row r="31" spans="1:18">
      <c r="A31" s="6" t="s">
        <v>32</v>
      </c>
      <c r="B31" s="37">
        <f>IF( ISERROR(IND_ander_ele_kWh/1000),0,IND_ander_ele_kWh/1000)</f>
        <v>1821.694328</v>
      </c>
      <c r="C31" s="39">
        <f>IF(ISERROR(B31*3.6/1000000/'E Balans VL '!Z19*100),0,B31*3.6/1000000/'E Balans VL '!Z19*100)</f>
        <v>9.1625319904875158E-2</v>
      </c>
      <c r="D31" s="237" t="s">
        <v>708</v>
      </c>
    </row>
    <row r="32" spans="1:18">
      <c r="A32" s="171" t="s">
        <v>40</v>
      </c>
      <c r="B32" s="37">
        <f>IF( ISERROR(IND_voed_ele_kWh/1000),0,IND_voed_ele_kWh/1000)</f>
        <v>2906.777</v>
      </c>
      <c r="C32" s="39">
        <f>IF(ISERROR(B32*3.6/1000000/'E Balans VL '!Z20*100),0,B32*3.6/1000000/'E Balans VL '!Z20*100)</f>
        <v>9.6812935262954841E-2</v>
      </c>
      <c r="D32" s="237" t="s">
        <v>708</v>
      </c>
    </row>
    <row r="33" spans="1:5">
      <c r="A33" s="171" t="s">
        <v>39</v>
      </c>
      <c r="B33" s="37">
        <f>IF( ISERROR(IND_textiel_ele_kWh/1000),0,IND_textiel_ele_kWh/1000)</f>
        <v>1036.01</v>
      </c>
      <c r="C33" s="39">
        <f>IF(ISERROR(B33*3.6/1000000/'E Balans VL '!Z21*100),0,B33*3.6/1000000/'E Balans VL '!Z21*100)</f>
        <v>0.1615271447463342</v>
      </c>
      <c r="D33" s="237" t="s">
        <v>708</v>
      </c>
    </row>
    <row r="34" spans="1:5">
      <c r="A34" s="171" t="s">
        <v>36</v>
      </c>
      <c r="B34" s="37">
        <f>IF( ISERROR(IND_min_ele_kWh/1000),0,IND_min_ele_kWh/1000)</f>
        <v>27.778137999999998</v>
      </c>
      <c r="C34" s="39">
        <f>IF(ISERROR(B34*3.6/1000000/'E Balans VL '!Z22*100),0,B34*3.6/1000000/'E Balans VL '!Z22*100)</f>
        <v>5.1815609813412435E-3</v>
      </c>
      <c r="D34" s="237" t="s">
        <v>708</v>
      </c>
    </row>
    <row r="35" spans="1:5">
      <c r="A35" s="171" t="s">
        <v>38</v>
      </c>
      <c r="B35" s="37">
        <f>IF( ISERROR(IND_papier_ele_kWh/1000),0,IND_papier_ele_kWh/1000)</f>
        <v>66.634</v>
      </c>
      <c r="C35" s="39">
        <f>IF(ISERROR(B35*3.6/1000000/'E Balans VL '!Z22*100),0,B35*3.6/1000000/'E Balans VL '!Z22*100)</f>
        <v>1.2429491653857162E-2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2.6019999999999999</v>
      </c>
      <c r="C37" s="39">
        <f>IF(ISERROR(B37*3.6/1000000/'E Balans VL '!Z15*100),0,B37*3.6/1000000/'E Balans VL '!Z15*100)</f>
        <v>2.0302715510364475E-5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2142.3574279999998</v>
      </c>
      <c r="C5" s="17">
        <f>'Eigen informatie GS &amp; warmtenet'!B62</f>
        <v>0</v>
      </c>
      <c r="D5" s="30">
        <f>IF(ISERROR(SUM(LB_lb_gas_kWh,LB_rest_gas_kWh)/1000),0,SUM(LB_lb_gas_kWh,LB_rest_gas_kWh)/1000)*0.902</f>
        <v>537.31869400000005</v>
      </c>
      <c r="E5" s="17">
        <f>B17*'E Balans VL '!I25/3.6*1000000/100</f>
        <v>66.862268865554995</v>
      </c>
      <c r="F5" s="17">
        <f>B17*('E Balans VL '!L25/3.6*1000000+'E Balans VL '!N25/3.6*1000000)/100</f>
        <v>7571.3284745058218</v>
      </c>
      <c r="G5" s="18"/>
      <c r="H5" s="17"/>
      <c r="I5" s="17"/>
      <c r="J5" s="17">
        <f>('E Balans VL '!D25+'E Balans VL '!E25)/3.6*1000000*landbouw!B17/100</f>
        <v>590.23432853255622</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2142.3574279999998</v>
      </c>
      <c r="C8" s="21">
        <f>C5+C6</f>
        <v>62.357142857142847</v>
      </c>
      <c r="D8" s="21">
        <f>MAX((D5+D6),0)</f>
        <v>537.31869400000005</v>
      </c>
      <c r="E8" s="21">
        <f>MAX((E5+E6),0)</f>
        <v>66.862268865554995</v>
      </c>
      <c r="F8" s="21">
        <f>MAX((F5+F6),0)</f>
        <v>7571.3284745058218</v>
      </c>
      <c r="G8" s="21"/>
      <c r="H8" s="21"/>
      <c r="I8" s="21"/>
      <c r="J8" s="21">
        <f>MAX((J5+J6),0)</f>
        <v>590.23432853255622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0.19744191737274561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422.99115828206374</v>
      </c>
      <c r="C12" s="23">
        <f ca="1">C8*C10</f>
        <v>0</v>
      </c>
      <c r="D12" s="23">
        <f>D8*D10</f>
        <v>108.53837618800002</v>
      </c>
      <c r="E12" s="23">
        <f>E8*E10</f>
        <v>15.177735032480985</v>
      </c>
      <c r="F12" s="23">
        <f>F8*F10</f>
        <v>2021.5447026930544</v>
      </c>
      <c r="G12" s="23"/>
      <c r="H12" s="23"/>
      <c r="I12" s="23"/>
      <c r="J12" s="23">
        <f>J8*J10</f>
        <v>208.94295230052489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0.31847678954497499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297.35875428250188</v>
      </c>
      <c r="C26" s="247">
        <f>B26*'GWP N2O_CH4'!B5</f>
        <v>6244.5338399325392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172.6940035978958</v>
      </c>
      <c r="C27" s="247">
        <f>B27*'GWP N2O_CH4'!B5</f>
        <v>3626.5740755558118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4.3480186424168217</v>
      </c>
      <c r="C28" s="247">
        <f>B28*'GWP N2O_CH4'!B4</f>
        <v>1347.8857791492146</v>
      </c>
      <c r="D28" s="50"/>
    </row>
    <row r="29" spans="1:4">
      <c r="A29" s="41" t="s">
        <v>276</v>
      </c>
      <c r="B29" s="247">
        <f>B34*'ha_N2O bodem landbouw'!B4</f>
        <v>11.167506655887289</v>
      </c>
      <c r="C29" s="247">
        <f>B29*'GWP N2O_CH4'!B4</f>
        <v>3461.9270633250594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2.4488331431996848E-3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1.8137377425949286E-4</v>
      </c>
      <c r="C5" s="437" t="s">
        <v>210</v>
      </c>
      <c r="D5" s="422">
        <f>SUM(D6:D11)</f>
        <v>7.1137490096921684E-4</v>
      </c>
      <c r="E5" s="422">
        <f>SUM(E6:E11)</f>
        <v>6.6791355300662813E-4</v>
      </c>
      <c r="F5" s="435" t="s">
        <v>210</v>
      </c>
      <c r="G5" s="422">
        <f>SUM(G6:G11)</f>
        <v>0.312691376021833</v>
      </c>
      <c r="H5" s="422">
        <f>SUM(H6:H11)</f>
        <v>6.756569388391602E-2</v>
      </c>
      <c r="I5" s="437" t="s">
        <v>210</v>
      </c>
      <c r="J5" s="437" t="s">
        <v>210</v>
      </c>
      <c r="K5" s="437" t="s">
        <v>210</v>
      </c>
      <c r="L5" s="437" t="s">
        <v>210</v>
      </c>
      <c r="M5" s="422">
        <f>SUM(M6:M11)</f>
        <v>2.2497630109705433E-2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1.7916205574701053E-5</v>
      </c>
      <c r="C6" s="423"/>
      <c r="D6" s="890">
        <f>vkm_GW_PW*SUMIFS(TableVerdeelsleutelVkm[CNG],TableVerdeelsleutelVkm[Voertuigtype],"Lichte voertuigen")*SUMIFS(TableECFTransport[EnergieConsumptieFactor (PJ per km)],TableECFTransport[Index],CONCATENATE($A6,"_CNG_CNG"))</f>
        <v>5.7715307718327448E-5</v>
      </c>
      <c r="E6" s="890">
        <f>vkm_GW_PW*SUMIFS(TableVerdeelsleutelVkm[LPG],TableVerdeelsleutelVkm[Voertuigtype],"Lichte voertuigen")*SUMIFS(TableECFTransport[EnergieConsumptieFactor (PJ per km)],TableECFTransport[Index],CONCATENATE($A6,"_LPG_LPG"))</f>
        <v>4.9356781049126579E-5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1.5944680445745422E-2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5.4067433502342482E-3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1.2770645900211364E-3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9.3637104414441962E-3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1.3389265175847464E-7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5.3974680187034391E-4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5.6462749430338197E-5</v>
      </c>
      <c r="C8" s="423"/>
      <c r="D8" s="425">
        <f>vkm_NGW_PW*SUMIFS(TableVerdeelsleutelVkm[CNG],TableVerdeelsleutelVkm[Voertuigtype],"Lichte voertuigen")*SUMIFS(TableECFTransport[EnergieConsumptieFactor (PJ per km)],TableECFTransport[Index],CONCATENATE($A8,"_CNG_CNG"))</f>
        <v>3.0817175841536408E-4</v>
      </c>
      <c r="E8" s="425">
        <f>vkm_NGW_PW*SUMIFS(TableVerdeelsleutelVkm[LPG],TableVerdeelsleutelVkm[Voertuigtype],"Lichte voertuigen")*SUMIFS(TableECFTransport[EnergieConsumptieFactor (PJ per km)],TableECFTransport[Index],CONCATENATE($A8,"_LPG_LPG"))</f>
        <v>2.5040769730592054E-4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7.5590599631842587E-2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2.8386884725609452E-2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6.2366977955716184E-3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7.52582205166487E-3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1.3644207738216204E-7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4.3380840140419118E-4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1.069948192544536E-4</v>
      </c>
      <c r="C10" s="423"/>
      <c r="D10" s="425">
        <f>vkm_SW_PW*SUMIFS(TableVerdeelsleutelVkm[CNG],TableVerdeelsleutelVkm[Voertuigtype],"Lichte voertuigen")*SUMIFS(TableECFTransport[EnergieConsumptieFactor (PJ per km)],TableECFTransport[Index],CONCATENATE($A10,"_CNG_CNG"))</f>
        <v>3.4548783483552537E-4</v>
      </c>
      <c r="E10" s="425">
        <f>vkm_SW_PW*SUMIFS(TableVerdeelsleutelVkm[LPG],TableVerdeelsleutelVkm[Voertuigtype],"Lichte voertuigen")*SUMIFS(TableECFTransport[EnergieConsumptieFactor (PJ per km)],TableECFTransport[Index],CONCATENATE($A10,"_LPG_LPG"))</f>
        <v>3.6814907465158105E-4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0.10596617562418427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3.3770293578812699E-2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8.3440352495673872E-3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9.8300387826951663E-2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1.5018945304828939E-6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5.6662772712707567E-3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50.381603960970239</v>
      </c>
      <c r="C14" s="21"/>
      <c r="D14" s="21">
        <f t="shared" ref="D14:M14" si="0">((D5)*10^9/3600)+D12</f>
        <v>197.6041391581158</v>
      </c>
      <c r="E14" s="21">
        <f t="shared" si="0"/>
        <v>185.53154250184116</v>
      </c>
      <c r="F14" s="21"/>
      <c r="G14" s="21">
        <f t="shared" si="0"/>
        <v>86858.71556162028</v>
      </c>
      <c r="H14" s="21">
        <f t="shared" si="0"/>
        <v>18768.248301087784</v>
      </c>
      <c r="I14" s="21"/>
      <c r="J14" s="21"/>
      <c r="K14" s="21"/>
      <c r="L14" s="21"/>
      <c r="M14" s="21">
        <f t="shared" si="0"/>
        <v>6249.3416971403985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0.19744191737274561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9.9474404863682793</v>
      </c>
      <c r="C18" s="23"/>
      <c r="D18" s="23">
        <f t="shared" ref="D18:M18" si="1">D14*D16</f>
        <v>39.916036109939391</v>
      </c>
      <c r="E18" s="23">
        <f t="shared" si="1"/>
        <v>42.115660147917943</v>
      </c>
      <c r="F18" s="23"/>
      <c r="G18" s="23">
        <f t="shared" si="1"/>
        <v>23191.277054952618</v>
      </c>
      <c r="H18" s="23">
        <f t="shared" si="1"/>
        <v>4673.2938269708584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2.1120350942847145E-3</v>
      </c>
      <c r="H50" s="319">
        <f t="shared" si="2"/>
        <v>0</v>
      </c>
      <c r="I50" s="319">
        <f t="shared" si="2"/>
        <v>0</v>
      </c>
      <c r="J50" s="319">
        <f t="shared" si="2"/>
        <v>0</v>
      </c>
      <c r="K50" s="319">
        <f t="shared" si="2"/>
        <v>0</v>
      </c>
      <c r="L50" s="319">
        <f t="shared" si="2"/>
        <v>0</v>
      </c>
      <c r="M50" s="319">
        <f t="shared" si="2"/>
        <v>1.173686757475236E-4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2.1120350942847145E-3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1.173686757475236E-4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586.67641507908741</v>
      </c>
      <c r="H54" s="21">
        <f t="shared" si="3"/>
        <v>0</v>
      </c>
      <c r="I54" s="21">
        <f t="shared" si="3"/>
        <v>0</v>
      </c>
      <c r="J54" s="21">
        <f t="shared" si="3"/>
        <v>0</v>
      </c>
      <c r="K54" s="21">
        <f t="shared" si="3"/>
        <v>0</v>
      </c>
      <c r="L54" s="21">
        <f t="shared" si="3"/>
        <v>0</v>
      </c>
      <c r="M54" s="21">
        <f t="shared" si="3"/>
        <v>32.602409929867669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0.19744191737274561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156.64260282611636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7929.1793350000007</v>
      </c>
      <c r="D10" s="686">
        <f ca="1">tertiair!C16</f>
        <v>0</v>
      </c>
      <c r="E10" s="686">
        <f ca="1">tertiair!D16</f>
        <v>8379.1599196579991</v>
      </c>
      <c r="F10" s="686">
        <f>tertiair!E16</f>
        <v>111.43959873956928</v>
      </c>
      <c r="G10" s="686">
        <f ca="1">tertiair!F16</f>
        <v>785.40402059497012</v>
      </c>
      <c r="H10" s="686">
        <f>tertiair!G16</f>
        <v>0</v>
      </c>
      <c r="I10" s="686">
        <f>tertiair!H16</f>
        <v>0</v>
      </c>
      <c r="J10" s="686">
        <f>tertiair!I16</f>
        <v>0</v>
      </c>
      <c r="K10" s="686">
        <f>tertiair!J16</f>
        <v>1.0692910033878289E-2</v>
      </c>
      <c r="L10" s="686">
        <f>tertiair!K16</f>
        <v>0</v>
      </c>
      <c r="M10" s="686">
        <f ca="1">tertiair!L16</f>
        <v>0</v>
      </c>
      <c r="N10" s="686">
        <f>tertiair!M16</f>
        <v>0</v>
      </c>
      <c r="O10" s="686">
        <f ca="1">tertiair!N16</f>
        <v>425.84639286116862</v>
      </c>
      <c r="P10" s="686">
        <f>tertiair!O16</f>
        <v>0</v>
      </c>
      <c r="Q10" s="687">
        <f>tertiair!P16</f>
        <v>105.07827661299004</v>
      </c>
      <c r="R10" s="689">
        <f ca="1">SUM(C10:Q10)</f>
        <v>17736.118236376729</v>
      </c>
      <c r="S10" s="67"/>
    </row>
    <row r="11" spans="1:19" s="448" customFormat="1">
      <c r="A11" s="808" t="s">
        <v>224</v>
      </c>
      <c r="B11" s="813"/>
      <c r="C11" s="686">
        <f>huishoudens!B8</f>
        <v>15488.748576217338</v>
      </c>
      <c r="D11" s="686">
        <f>huishoudens!C8</f>
        <v>0</v>
      </c>
      <c r="E11" s="686">
        <f>huishoudens!D8</f>
        <v>35809.230959788001</v>
      </c>
      <c r="F11" s="686">
        <f>huishoudens!E8</f>
        <v>6083.3512773045204</v>
      </c>
      <c r="G11" s="686">
        <f>huishoudens!F8</f>
        <v>5371.1035943592069</v>
      </c>
      <c r="H11" s="686">
        <f>huishoudens!G8</f>
        <v>0</v>
      </c>
      <c r="I11" s="686">
        <f>huishoudens!H8</f>
        <v>0</v>
      </c>
      <c r="J11" s="686">
        <f>huishoudens!I8</f>
        <v>0</v>
      </c>
      <c r="K11" s="686">
        <f>huishoudens!J8</f>
        <v>331.86141270152939</v>
      </c>
      <c r="L11" s="686">
        <f>huishoudens!K8</f>
        <v>0</v>
      </c>
      <c r="M11" s="686">
        <f>huishoudens!L8</f>
        <v>0</v>
      </c>
      <c r="N11" s="686">
        <f>huishoudens!M8</f>
        <v>0</v>
      </c>
      <c r="O11" s="686">
        <f>huishoudens!N8</f>
        <v>12082.425093532447</v>
      </c>
      <c r="P11" s="686">
        <f>huishoudens!O8</f>
        <v>271.80227605602335</v>
      </c>
      <c r="Q11" s="687">
        <f>huishoudens!P8</f>
        <v>316.01877923055071</v>
      </c>
      <c r="R11" s="689">
        <f>SUM(C11:Q11)</f>
        <v>75754.541969189624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6728.5096380000005</v>
      </c>
      <c r="D13" s="686">
        <f>industrie!C18</f>
        <v>0</v>
      </c>
      <c r="E13" s="686">
        <f>industrie!D18</f>
        <v>3169.7568957999997</v>
      </c>
      <c r="F13" s="686">
        <f>industrie!E18</f>
        <v>521.31304241537623</v>
      </c>
      <c r="G13" s="686">
        <f>industrie!F18</f>
        <v>1791.2663658046627</v>
      </c>
      <c r="H13" s="686">
        <f>industrie!G18</f>
        <v>0</v>
      </c>
      <c r="I13" s="686">
        <f>industrie!H18</f>
        <v>0</v>
      </c>
      <c r="J13" s="686">
        <f>industrie!I18</f>
        <v>0</v>
      </c>
      <c r="K13" s="686">
        <f>industrie!J18</f>
        <v>8.1921112638642821</v>
      </c>
      <c r="L13" s="686">
        <f>industrie!K18</f>
        <v>0</v>
      </c>
      <c r="M13" s="686">
        <f>industrie!L18</f>
        <v>0</v>
      </c>
      <c r="N13" s="686">
        <f>industrie!M18</f>
        <v>0</v>
      </c>
      <c r="O13" s="686">
        <f>industrie!N18</f>
        <v>364.72019719533387</v>
      </c>
      <c r="P13" s="686">
        <f>industrie!O18</f>
        <v>0</v>
      </c>
      <c r="Q13" s="687">
        <f>industrie!P18</f>
        <v>0</v>
      </c>
      <c r="R13" s="689">
        <f>SUM(C13:Q13)</f>
        <v>12583.758250479239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30146.437549217339</v>
      </c>
      <c r="D16" s="722">
        <f t="shared" ref="D16:R16" ca="1" si="0">SUM(D9:D15)</f>
        <v>0</v>
      </c>
      <c r="E16" s="722">
        <f t="shared" ca="1" si="0"/>
        <v>47358.147775245998</v>
      </c>
      <c r="F16" s="722">
        <f t="shared" si="0"/>
        <v>6716.1039184594656</v>
      </c>
      <c r="G16" s="722">
        <f t="shared" ca="1" si="0"/>
        <v>7947.7739807588405</v>
      </c>
      <c r="H16" s="722">
        <f t="shared" si="0"/>
        <v>0</v>
      </c>
      <c r="I16" s="722">
        <f t="shared" si="0"/>
        <v>0</v>
      </c>
      <c r="J16" s="722">
        <f t="shared" si="0"/>
        <v>0</v>
      </c>
      <c r="K16" s="722">
        <f t="shared" si="0"/>
        <v>340.06421687542752</v>
      </c>
      <c r="L16" s="722">
        <f t="shared" si="0"/>
        <v>0</v>
      </c>
      <c r="M16" s="722">
        <f t="shared" ca="1" si="0"/>
        <v>0</v>
      </c>
      <c r="N16" s="722">
        <f t="shared" si="0"/>
        <v>0</v>
      </c>
      <c r="O16" s="722">
        <f t="shared" ca="1" si="0"/>
        <v>12872.991683588951</v>
      </c>
      <c r="P16" s="722">
        <f t="shared" si="0"/>
        <v>271.80227605602335</v>
      </c>
      <c r="Q16" s="722">
        <f t="shared" si="0"/>
        <v>421.09705584354072</v>
      </c>
      <c r="R16" s="722">
        <f t="shared" ca="1" si="0"/>
        <v>106074.41845604559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586.67641507908741</v>
      </c>
      <c r="I19" s="686">
        <f>transport!H54</f>
        <v>0</v>
      </c>
      <c r="J19" s="686">
        <f>transport!I54</f>
        <v>0</v>
      </c>
      <c r="K19" s="686">
        <f>transport!J54</f>
        <v>0</v>
      </c>
      <c r="L19" s="686">
        <f>transport!K54</f>
        <v>0</v>
      </c>
      <c r="M19" s="686">
        <f>transport!L54</f>
        <v>0</v>
      </c>
      <c r="N19" s="686">
        <f>transport!M54</f>
        <v>32.602409929867669</v>
      </c>
      <c r="O19" s="686">
        <f>transport!N54</f>
        <v>0</v>
      </c>
      <c r="P19" s="686">
        <f>transport!O54</f>
        <v>0</v>
      </c>
      <c r="Q19" s="687">
        <f>transport!P54</f>
        <v>0</v>
      </c>
      <c r="R19" s="689">
        <f>SUM(C19:Q19)</f>
        <v>619.2788250089551</v>
      </c>
      <c r="S19" s="67"/>
    </row>
    <row r="20" spans="1:19" s="448" customFormat="1">
      <c r="A20" s="808" t="s">
        <v>306</v>
      </c>
      <c r="B20" s="813"/>
      <c r="C20" s="686">
        <f>transport!B14</f>
        <v>50.381603960970239</v>
      </c>
      <c r="D20" s="686">
        <f>transport!C14</f>
        <v>0</v>
      </c>
      <c r="E20" s="686">
        <f>transport!D14</f>
        <v>197.6041391581158</v>
      </c>
      <c r="F20" s="686">
        <f>transport!E14</f>
        <v>185.53154250184116</v>
      </c>
      <c r="G20" s="686">
        <f>transport!F14</f>
        <v>0</v>
      </c>
      <c r="H20" s="686">
        <f>transport!G14</f>
        <v>86858.71556162028</v>
      </c>
      <c r="I20" s="686">
        <f>transport!H14</f>
        <v>18768.248301087784</v>
      </c>
      <c r="J20" s="686">
        <f>transport!I14</f>
        <v>0</v>
      </c>
      <c r="K20" s="686">
        <f>transport!J14</f>
        <v>0</v>
      </c>
      <c r="L20" s="686">
        <f>transport!K14</f>
        <v>0</v>
      </c>
      <c r="M20" s="686">
        <f>transport!L14</f>
        <v>0</v>
      </c>
      <c r="N20" s="686">
        <f>transport!M14</f>
        <v>6249.3416971403985</v>
      </c>
      <c r="O20" s="686">
        <f>transport!N14</f>
        <v>0</v>
      </c>
      <c r="P20" s="686">
        <f>transport!O14</f>
        <v>0</v>
      </c>
      <c r="Q20" s="687">
        <f>transport!P14</f>
        <v>0</v>
      </c>
      <c r="R20" s="689">
        <f>SUM(C20:Q20)</f>
        <v>112309.82284546937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50.381603960970239</v>
      </c>
      <c r="D22" s="811">
        <f t="shared" ref="D22:R22" si="1">SUM(D18:D21)</f>
        <v>0</v>
      </c>
      <c r="E22" s="811">
        <f t="shared" si="1"/>
        <v>197.6041391581158</v>
      </c>
      <c r="F22" s="811">
        <f t="shared" si="1"/>
        <v>185.53154250184116</v>
      </c>
      <c r="G22" s="811">
        <f t="shared" si="1"/>
        <v>0</v>
      </c>
      <c r="H22" s="811">
        <f t="shared" si="1"/>
        <v>87445.391976699364</v>
      </c>
      <c r="I22" s="811">
        <f t="shared" si="1"/>
        <v>18768.248301087784</v>
      </c>
      <c r="J22" s="811">
        <f t="shared" si="1"/>
        <v>0</v>
      </c>
      <c r="K22" s="811">
        <f t="shared" si="1"/>
        <v>0</v>
      </c>
      <c r="L22" s="811">
        <f t="shared" si="1"/>
        <v>0</v>
      </c>
      <c r="M22" s="811">
        <f t="shared" si="1"/>
        <v>0</v>
      </c>
      <c r="N22" s="811">
        <f t="shared" si="1"/>
        <v>6281.944107070266</v>
      </c>
      <c r="O22" s="811">
        <f t="shared" si="1"/>
        <v>0</v>
      </c>
      <c r="P22" s="811">
        <f t="shared" si="1"/>
        <v>0</v>
      </c>
      <c r="Q22" s="811">
        <f t="shared" si="1"/>
        <v>0</v>
      </c>
      <c r="R22" s="811">
        <f t="shared" si="1"/>
        <v>112929.10167047833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2142.3574279999998</v>
      </c>
      <c r="D24" s="686">
        <f>+landbouw!C8</f>
        <v>62.357142857142847</v>
      </c>
      <c r="E24" s="686">
        <f>+landbouw!D8</f>
        <v>537.31869400000005</v>
      </c>
      <c r="F24" s="686">
        <f>+landbouw!E8</f>
        <v>66.862268865554995</v>
      </c>
      <c r="G24" s="686">
        <f>+landbouw!F8</f>
        <v>7571.3284745058218</v>
      </c>
      <c r="H24" s="686">
        <f>+landbouw!G8</f>
        <v>0</v>
      </c>
      <c r="I24" s="686">
        <f>+landbouw!H8</f>
        <v>0</v>
      </c>
      <c r="J24" s="686">
        <f>+landbouw!I8</f>
        <v>0</v>
      </c>
      <c r="K24" s="686">
        <f>+landbouw!J8</f>
        <v>590.23432853255622</v>
      </c>
      <c r="L24" s="686">
        <f>+landbouw!K8</f>
        <v>0</v>
      </c>
      <c r="M24" s="686">
        <f>+landbouw!L8</f>
        <v>0</v>
      </c>
      <c r="N24" s="686">
        <f>+landbouw!M8</f>
        <v>0</v>
      </c>
      <c r="O24" s="686">
        <f>+landbouw!N8</f>
        <v>0</v>
      </c>
      <c r="P24" s="686">
        <f>+landbouw!O8</f>
        <v>0</v>
      </c>
      <c r="Q24" s="687">
        <f>+landbouw!P8</f>
        <v>0</v>
      </c>
      <c r="R24" s="689">
        <f>SUM(C24:Q24)</f>
        <v>10970.458336761076</v>
      </c>
      <c r="S24" s="67"/>
    </row>
    <row r="25" spans="1:19" s="448" customFormat="1" ht="15" thickBot="1">
      <c r="A25" s="830" t="s">
        <v>724</v>
      </c>
      <c r="B25" s="949"/>
      <c r="C25" s="950">
        <f>IF(Onbekend_ele_kWh="---",0,Onbekend_ele_kWh)/1000+IF(REST_rest_ele_kWh="---",0,REST_rest_ele_kWh)/1000</f>
        <v>278.70019300000001</v>
      </c>
      <c r="D25" s="950"/>
      <c r="E25" s="950">
        <f>IF(onbekend_gas_kWh="---",0,onbekend_gas_kWh)/1000+IF(REST_rest_gas_kWh="---",0,REST_rest_gas_kWh)/1000</f>
        <v>806.78069999999991</v>
      </c>
      <c r="F25" s="950"/>
      <c r="G25" s="950"/>
      <c r="H25" s="950"/>
      <c r="I25" s="950"/>
      <c r="J25" s="950"/>
      <c r="K25" s="950"/>
      <c r="L25" s="950"/>
      <c r="M25" s="950"/>
      <c r="N25" s="950"/>
      <c r="O25" s="950"/>
      <c r="P25" s="950"/>
      <c r="Q25" s="951"/>
      <c r="R25" s="689">
        <f>SUM(C25:Q25)</f>
        <v>1085.4808929999999</v>
      </c>
      <c r="S25" s="67"/>
    </row>
    <row r="26" spans="1:19" s="448" customFormat="1" ht="15.75" thickBot="1">
      <c r="A26" s="694" t="s">
        <v>725</v>
      </c>
      <c r="B26" s="816"/>
      <c r="C26" s="811">
        <f>SUM(C24:C25)</f>
        <v>2421.0576209999999</v>
      </c>
      <c r="D26" s="811">
        <f t="shared" ref="D26:R26" si="2">SUM(D24:D25)</f>
        <v>62.357142857142847</v>
      </c>
      <c r="E26" s="811">
        <f t="shared" si="2"/>
        <v>1344.0993939999998</v>
      </c>
      <c r="F26" s="811">
        <f t="shared" si="2"/>
        <v>66.862268865554995</v>
      </c>
      <c r="G26" s="811">
        <f t="shared" si="2"/>
        <v>7571.3284745058218</v>
      </c>
      <c r="H26" s="811">
        <f t="shared" si="2"/>
        <v>0</v>
      </c>
      <c r="I26" s="811">
        <f t="shared" si="2"/>
        <v>0</v>
      </c>
      <c r="J26" s="811">
        <f t="shared" si="2"/>
        <v>0</v>
      </c>
      <c r="K26" s="811">
        <f t="shared" si="2"/>
        <v>590.23432853255622</v>
      </c>
      <c r="L26" s="811">
        <f t="shared" si="2"/>
        <v>0</v>
      </c>
      <c r="M26" s="811">
        <f t="shared" si="2"/>
        <v>0</v>
      </c>
      <c r="N26" s="811">
        <f t="shared" si="2"/>
        <v>0</v>
      </c>
      <c r="O26" s="811">
        <f t="shared" si="2"/>
        <v>0</v>
      </c>
      <c r="P26" s="811">
        <f t="shared" si="2"/>
        <v>0</v>
      </c>
      <c r="Q26" s="811">
        <f t="shared" si="2"/>
        <v>0</v>
      </c>
      <c r="R26" s="811">
        <f t="shared" si="2"/>
        <v>12055.939229761076</v>
      </c>
      <c r="S26" s="67"/>
    </row>
    <row r="27" spans="1:19" s="448" customFormat="1" ht="17.25" thickTop="1" thickBot="1">
      <c r="A27" s="695" t="s">
        <v>115</v>
      </c>
      <c r="B27" s="803"/>
      <c r="C27" s="696">
        <f ca="1">C22+C16+C26</f>
        <v>32617.876774178309</v>
      </c>
      <c r="D27" s="696">
        <f t="shared" ref="D27:R27" ca="1" si="3">D22+D16+D26</f>
        <v>62.357142857142847</v>
      </c>
      <c r="E27" s="696">
        <f t="shared" ca="1" si="3"/>
        <v>48899.851308404111</v>
      </c>
      <c r="F27" s="696">
        <f t="shared" si="3"/>
        <v>6968.4977298268614</v>
      </c>
      <c r="G27" s="696">
        <f t="shared" ca="1" si="3"/>
        <v>15519.102455264663</v>
      </c>
      <c r="H27" s="696">
        <f t="shared" si="3"/>
        <v>87445.391976699364</v>
      </c>
      <c r="I27" s="696">
        <f t="shared" si="3"/>
        <v>18768.248301087784</v>
      </c>
      <c r="J27" s="696">
        <f t="shared" si="3"/>
        <v>0</v>
      </c>
      <c r="K27" s="696">
        <f t="shared" si="3"/>
        <v>930.29854540798374</v>
      </c>
      <c r="L27" s="696">
        <f t="shared" si="3"/>
        <v>0</v>
      </c>
      <c r="M27" s="696">
        <f t="shared" ca="1" si="3"/>
        <v>0</v>
      </c>
      <c r="N27" s="696">
        <f t="shared" si="3"/>
        <v>6281.944107070266</v>
      </c>
      <c r="O27" s="696">
        <f t="shared" ca="1" si="3"/>
        <v>12872.991683588951</v>
      </c>
      <c r="P27" s="696">
        <f t="shared" si="3"/>
        <v>271.80227605602335</v>
      </c>
      <c r="Q27" s="696">
        <f t="shared" si="3"/>
        <v>421.09705584354072</v>
      </c>
      <c r="R27" s="696">
        <f t="shared" ca="1" si="3"/>
        <v>231059.45935628499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1565.5523710947521</v>
      </c>
      <c r="D40" s="686">
        <f ca="1">tertiair!C20</f>
        <v>0</v>
      </c>
      <c r="E40" s="686">
        <f ca="1">tertiair!D20</f>
        <v>1692.5903037709159</v>
      </c>
      <c r="F40" s="686">
        <f>tertiair!E20</f>
        <v>25.296788913882228</v>
      </c>
      <c r="G40" s="686">
        <f ca="1">tertiair!F20</f>
        <v>209.70287349885703</v>
      </c>
      <c r="H40" s="686">
        <f>tertiair!G20</f>
        <v>0</v>
      </c>
      <c r="I40" s="686">
        <f>tertiair!H20</f>
        <v>0</v>
      </c>
      <c r="J40" s="686">
        <f>tertiair!I20</f>
        <v>0</v>
      </c>
      <c r="K40" s="686">
        <f>tertiair!J20</f>
        <v>3.7852901519929141E-3</v>
      </c>
      <c r="L40" s="686">
        <f>tertiair!K20</f>
        <v>0</v>
      </c>
      <c r="M40" s="686">
        <f ca="1">tertiair!L20</f>
        <v>0</v>
      </c>
      <c r="N40" s="686">
        <f>tertiair!M20</f>
        <v>0</v>
      </c>
      <c r="O40" s="686">
        <f ca="1">tertiair!N20</f>
        <v>0</v>
      </c>
      <c r="P40" s="686">
        <f>tertiair!O20</f>
        <v>0</v>
      </c>
      <c r="Q40" s="769">
        <f>tertiair!P20</f>
        <v>0</v>
      </c>
      <c r="R40" s="849">
        <f t="shared" ca="1" si="4"/>
        <v>3493.1461225685589</v>
      </c>
    </row>
    <row r="41" spans="1:18">
      <c r="A41" s="821" t="s">
        <v>224</v>
      </c>
      <c r="B41" s="828"/>
      <c r="C41" s="686">
        <f ca="1">huishoudens!B12</f>
        <v>3058.128216592735</v>
      </c>
      <c r="D41" s="686">
        <f ca="1">huishoudens!C12</f>
        <v>0</v>
      </c>
      <c r="E41" s="686">
        <f>huishoudens!D12</f>
        <v>7233.4646538771767</v>
      </c>
      <c r="F41" s="686">
        <f>huishoudens!E12</f>
        <v>1380.9207399481261</v>
      </c>
      <c r="G41" s="686">
        <f>huishoudens!F12</f>
        <v>1434.0846596939084</v>
      </c>
      <c r="H41" s="686">
        <f>huishoudens!G12</f>
        <v>0</v>
      </c>
      <c r="I41" s="686">
        <f>huishoudens!H12</f>
        <v>0</v>
      </c>
      <c r="J41" s="686">
        <f>huishoudens!I12</f>
        <v>0</v>
      </c>
      <c r="K41" s="686">
        <f>huishoudens!J12</f>
        <v>117.4789400963414</v>
      </c>
      <c r="L41" s="686">
        <f>huishoudens!K12</f>
        <v>0</v>
      </c>
      <c r="M41" s="686">
        <f>huishoudens!L12</f>
        <v>0</v>
      </c>
      <c r="N41" s="686">
        <f>huishoudens!M12</f>
        <v>0</v>
      </c>
      <c r="O41" s="686">
        <f>huishoudens!N12</f>
        <v>0</v>
      </c>
      <c r="P41" s="686">
        <f>huishoudens!O12</f>
        <v>0</v>
      </c>
      <c r="Q41" s="769">
        <f>huishoudens!P12</f>
        <v>0</v>
      </c>
      <c r="R41" s="849">
        <f t="shared" ca="1" si="4"/>
        <v>13224.077210208286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1328.4898439877186</v>
      </c>
      <c r="D43" s="686">
        <f ca="1">industrie!C22</f>
        <v>0</v>
      </c>
      <c r="E43" s="686">
        <f>industrie!D22</f>
        <v>640.29089295159997</v>
      </c>
      <c r="F43" s="686">
        <f>industrie!E22</f>
        <v>118.33806062829041</v>
      </c>
      <c r="G43" s="686">
        <f>industrie!F22</f>
        <v>478.26811966984496</v>
      </c>
      <c r="H43" s="686">
        <f>industrie!G22</f>
        <v>0</v>
      </c>
      <c r="I43" s="686">
        <f>industrie!H22</f>
        <v>0</v>
      </c>
      <c r="J43" s="686">
        <f>industrie!I22</f>
        <v>0</v>
      </c>
      <c r="K43" s="686">
        <f>industrie!J22</f>
        <v>2.9000073874079559</v>
      </c>
      <c r="L43" s="686">
        <f>industrie!K22</f>
        <v>0</v>
      </c>
      <c r="M43" s="686">
        <f>industrie!L22</f>
        <v>0</v>
      </c>
      <c r="N43" s="686">
        <f>industrie!M22</f>
        <v>0</v>
      </c>
      <c r="O43" s="686">
        <f>industrie!N22</f>
        <v>0</v>
      </c>
      <c r="P43" s="686">
        <f>industrie!O22</f>
        <v>0</v>
      </c>
      <c r="Q43" s="769">
        <f>industrie!P22</f>
        <v>0</v>
      </c>
      <c r="R43" s="848">
        <f t="shared" ca="1" si="4"/>
        <v>2568.286924624862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5952.1704316752057</v>
      </c>
      <c r="D46" s="722">
        <f t="shared" ref="D46:Q46" ca="1" si="5">SUM(D39:D45)</f>
        <v>0</v>
      </c>
      <c r="E46" s="722">
        <f t="shared" ca="1" si="5"/>
        <v>9566.3458505996914</v>
      </c>
      <c r="F46" s="722">
        <f t="shared" si="5"/>
        <v>1524.5555894902986</v>
      </c>
      <c r="G46" s="722">
        <f t="shared" ca="1" si="5"/>
        <v>2122.0556528626103</v>
      </c>
      <c r="H46" s="722">
        <f t="shared" si="5"/>
        <v>0</v>
      </c>
      <c r="I46" s="722">
        <f t="shared" si="5"/>
        <v>0</v>
      </c>
      <c r="J46" s="722">
        <f t="shared" si="5"/>
        <v>0</v>
      </c>
      <c r="K46" s="722">
        <f t="shared" si="5"/>
        <v>120.38273277390135</v>
      </c>
      <c r="L46" s="722">
        <f t="shared" si="5"/>
        <v>0</v>
      </c>
      <c r="M46" s="722">
        <f t="shared" ca="1" si="5"/>
        <v>0</v>
      </c>
      <c r="N46" s="722">
        <f t="shared" si="5"/>
        <v>0</v>
      </c>
      <c r="O46" s="722">
        <f t="shared" ca="1" si="5"/>
        <v>0</v>
      </c>
      <c r="P46" s="722">
        <f t="shared" si="5"/>
        <v>0</v>
      </c>
      <c r="Q46" s="722">
        <f t="shared" si="5"/>
        <v>0</v>
      </c>
      <c r="R46" s="722">
        <f ca="1">SUM(R39:R45)</f>
        <v>19285.510257401707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156.64260282611636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156.64260282611636</v>
      </c>
    </row>
    <row r="50" spans="1:18">
      <c r="A50" s="824" t="s">
        <v>306</v>
      </c>
      <c r="B50" s="834"/>
      <c r="C50" s="692">
        <f ca="1">transport!B18</f>
        <v>9.9474404863682793</v>
      </c>
      <c r="D50" s="692">
        <f>transport!C18</f>
        <v>0</v>
      </c>
      <c r="E50" s="692">
        <f>transport!D18</f>
        <v>39.916036109939391</v>
      </c>
      <c r="F50" s="692">
        <f>transport!E18</f>
        <v>42.115660147917943</v>
      </c>
      <c r="G50" s="692">
        <f>transport!F18</f>
        <v>0</v>
      </c>
      <c r="H50" s="692">
        <f>transport!G18</f>
        <v>23191.277054952618</v>
      </c>
      <c r="I50" s="692">
        <f>transport!H18</f>
        <v>4673.2938269708584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27956.550018667702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9.9474404863682793</v>
      </c>
      <c r="D52" s="722">
        <f t="shared" ref="D52:Q52" ca="1" si="6">SUM(D48:D51)</f>
        <v>0</v>
      </c>
      <c r="E52" s="722">
        <f t="shared" si="6"/>
        <v>39.916036109939391</v>
      </c>
      <c r="F52" s="722">
        <f t="shared" si="6"/>
        <v>42.115660147917943</v>
      </c>
      <c r="G52" s="722">
        <f t="shared" si="6"/>
        <v>0</v>
      </c>
      <c r="H52" s="722">
        <f t="shared" si="6"/>
        <v>23347.919657778733</v>
      </c>
      <c r="I52" s="722">
        <f t="shared" si="6"/>
        <v>4673.2938269708584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28113.192621493818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422.99115828206374</v>
      </c>
      <c r="D54" s="692">
        <f ca="1">+landbouw!C12</f>
        <v>0</v>
      </c>
      <c r="E54" s="692">
        <f>+landbouw!D12</f>
        <v>108.53837618800002</v>
      </c>
      <c r="F54" s="692">
        <f>+landbouw!E12</f>
        <v>15.177735032480985</v>
      </c>
      <c r="G54" s="692">
        <f>+landbouw!F12</f>
        <v>2021.5447026930544</v>
      </c>
      <c r="H54" s="692">
        <f>+landbouw!G12</f>
        <v>0</v>
      </c>
      <c r="I54" s="692">
        <f>+landbouw!H12</f>
        <v>0</v>
      </c>
      <c r="J54" s="692">
        <f>+landbouw!I12</f>
        <v>0</v>
      </c>
      <c r="K54" s="692">
        <f>+landbouw!J12</f>
        <v>208.94295230052489</v>
      </c>
      <c r="L54" s="692">
        <f>+landbouw!K12</f>
        <v>0</v>
      </c>
      <c r="M54" s="692">
        <f>+landbouw!L12</f>
        <v>0</v>
      </c>
      <c r="N54" s="692">
        <f>+landbouw!M12</f>
        <v>0</v>
      </c>
      <c r="O54" s="692">
        <f>+landbouw!N12</f>
        <v>0</v>
      </c>
      <c r="P54" s="692">
        <f>+landbouw!O12</f>
        <v>0</v>
      </c>
      <c r="Q54" s="693">
        <f>+landbouw!P12</f>
        <v>0</v>
      </c>
      <c r="R54" s="721">
        <f ca="1">SUM(C54:Q54)</f>
        <v>2777.1949244961243</v>
      </c>
    </row>
    <row r="55" spans="1:18" ht="15" thickBot="1">
      <c r="A55" s="824" t="s">
        <v>724</v>
      </c>
      <c r="B55" s="834"/>
      <c r="C55" s="692">
        <f ca="1">C25*'EF ele_warmte'!B12</f>
        <v>55.027100478074253</v>
      </c>
      <c r="D55" s="692"/>
      <c r="E55" s="692">
        <f>E25*EF_CO2_aardgas</f>
        <v>162.96970139999999</v>
      </c>
      <c r="F55" s="692"/>
      <c r="G55" s="692"/>
      <c r="H55" s="692"/>
      <c r="I55" s="692"/>
      <c r="J55" s="692"/>
      <c r="K55" s="692"/>
      <c r="L55" s="692"/>
      <c r="M55" s="692"/>
      <c r="N55" s="692"/>
      <c r="O55" s="692"/>
      <c r="P55" s="692"/>
      <c r="Q55" s="693"/>
      <c r="R55" s="721">
        <f ca="1">SUM(C55:Q55)</f>
        <v>217.99680187807425</v>
      </c>
    </row>
    <row r="56" spans="1:18" ht="15.75" thickBot="1">
      <c r="A56" s="822" t="s">
        <v>725</v>
      </c>
      <c r="B56" s="835"/>
      <c r="C56" s="722">
        <f ca="1">SUM(C54:C55)</f>
        <v>478.018258760138</v>
      </c>
      <c r="D56" s="722">
        <f t="shared" ref="D56:Q56" ca="1" si="7">SUM(D54:D55)</f>
        <v>0</v>
      </c>
      <c r="E56" s="722">
        <f t="shared" si="7"/>
        <v>271.50807758799999</v>
      </c>
      <c r="F56" s="722">
        <f t="shared" si="7"/>
        <v>15.177735032480985</v>
      </c>
      <c r="G56" s="722">
        <f t="shared" si="7"/>
        <v>2021.5447026930544</v>
      </c>
      <c r="H56" s="722">
        <f t="shared" si="7"/>
        <v>0</v>
      </c>
      <c r="I56" s="722">
        <f t="shared" si="7"/>
        <v>0</v>
      </c>
      <c r="J56" s="722">
        <f t="shared" si="7"/>
        <v>0</v>
      </c>
      <c r="K56" s="722">
        <f t="shared" si="7"/>
        <v>208.94295230052489</v>
      </c>
      <c r="L56" s="722">
        <f t="shared" si="7"/>
        <v>0</v>
      </c>
      <c r="M56" s="722">
        <f t="shared" si="7"/>
        <v>0</v>
      </c>
      <c r="N56" s="722">
        <f t="shared" si="7"/>
        <v>0</v>
      </c>
      <c r="O56" s="722">
        <f t="shared" si="7"/>
        <v>0</v>
      </c>
      <c r="P56" s="722">
        <f t="shared" si="7"/>
        <v>0</v>
      </c>
      <c r="Q56" s="723">
        <f t="shared" si="7"/>
        <v>0</v>
      </c>
      <c r="R56" s="724">
        <f ca="1">SUM(R54:R55)</f>
        <v>2995.1917263741984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6440.1361309217118</v>
      </c>
      <c r="D61" s="730">
        <f t="shared" ref="D61:Q61" ca="1" si="8">D46+D52+D56</f>
        <v>0</v>
      </c>
      <c r="E61" s="730">
        <f t="shared" ca="1" si="8"/>
        <v>9877.7699642976313</v>
      </c>
      <c r="F61" s="730">
        <f t="shared" si="8"/>
        <v>1581.8489846706975</v>
      </c>
      <c r="G61" s="730">
        <f t="shared" ca="1" si="8"/>
        <v>4143.6003555556645</v>
      </c>
      <c r="H61" s="730">
        <f t="shared" si="8"/>
        <v>23347.919657778733</v>
      </c>
      <c r="I61" s="730">
        <f t="shared" si="8"/>
        <v>4673.2938269708584</v>
      </c>
      <c r="J61" s="730">
        <f t="shared" si="8"/>
        <v>0</v>
      </c>
      <c r="K61" s="730">
        <f t="shared" si="8"/>
        <v>329.32568507442625</v>
      </c>
      <c r="L61" s="730">
        <f t="shared" si="8"/>
        <v>0</v>
      </c>
      <c r="M61" s="730">
        <f t="shared" ca="1" si="8"/>
        <v>0</v>
      </c>
      <c r="N61" s="730">
        <f t="shared" si="8"/>
        <v>0</v>
      </c>
      <c r="O61" s="730">
        <f t="shared" ca="1" si="8"/>
        <v>0</v>
      </c>
      <c r="P61" s="730">
        <f t="shared" si="8"/>
        <v>0</v>
      </c>
      <c r="Q61" s="730">
        <f t="shared" si="8"/>
        <v>0</v>
      </c>
      <c r="R61" s="730">
        <f ca="1">R46+R52+R56</f>
        <v>50393.894605269721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0.19744191737274561</v>
      </c>
      <c r="D63" s="776">
        <f t="shared" ca="1" si="9"/>
        <v>0</v>
      </c>
      <c r="E63" s="975">
        <f t="shared" ca="1" si="9"/>
        <v>0.20200000000000001</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3433.339303944319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3476.9893039443191</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3433.339303944319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3476.9893039443191</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36010</v>
      </c>
      <c r="C28" s="791">
        <v>8880</v>
      </c>
      <c r="D28" s="640" t="s">
        <v>888</v>
      </c>
      <c r="E28" s="639" t="s">
        <v>889</v>
      </c>
      <c r="F28" s="639" t="s">
        <v>890</v>
      </c>
      <c r="G28" s="639" t="s">
        <v>891</v>
      </c>
      <c r="H28" s="639" t="s">
        <v>892</v>
      </c>
      <c r="I28" s="639" t="s">
        <v>889</v>
      </c>
      <c r="J28" s="790">
        <v>41890</v>
      </c>
      <c r="K28" s="790">
        <v>41890</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15488.748576217338</v>
      </c>
      <c r="C4" s="452">
        <f>huishoudens!C8</f>
        <v>0</v>
      </c>
      <c r="D4" s="452">
        <f>huishoudens!D8</f>
        <v>35809.230959788001</v>
      </c>
      <c r="E4" s="452">
        <f>huishoudens!E8</f>
        <v>6083.3512773045204</v>
      </c>
      <c r="F4" s="452">
        <f>huishoudens!F8</f>
        <v>5371.1035943592069</v>
      </c>
      <c r="G4" s="452">
        <f>huishoudens!G8</f>
        <v>0</v>
      </c>
      <c r="H4" s="452">
        <f>huishoudens!H8</f>
        <v>0</v>
      </c>
      <c r="I4" s="452">
        <f>huishoudens!I8</f>
        <v>0</v>
      </c>
      <c r="J4" s="452">
        <f>huishoudens!J8</f>
        <v>331.86141270152939</v>
      </c>
      <c r="K4" s="452">
        <f>huishoudens!K8</f>
        <v>0</v>
      </c>
      <c r="L4" s="452">
        <f>huishoudens!L8</f>
        <v>0</v>
      </c>
      <c r="M4" s="452">
        <f>huishoudens!M8</f>
        <v>0</v>
      </c>
      <c r="N4" s="452">
        <f>huishoudens!N8</f>
        <v>12082.425093532447</v>
      </c>
      <c r="O4" s="452">
        <f>huishoudens!O8</f>
        <v>271.80227605602335</v>
      </c>
      <c r="P4" s="453">
        <f>huishoudens!P8</f>
        <v>316.01877923055071</v>
      </c>
      <c r="Q4" s="454">
        <f>SUM(B4:P4)</f>
        <v>75754.541969189624</v>
      </c>
    </row>
    <row r="5" spans="1:17">
      <c r="A5" s="451" t="s">
        <v>155</v>
      </c>
      <c r="B5" s="452">
        <f ca="1">tertiair!B16</f>
        <v>7232.7663350000003</v>
      </c>
      <c r="C5" s="452">
        <f ca="1">tertiair!C16</f>
        <v>0</v>
      </c>
      <c r="D5" s="452">
        <f ca="1">tertiair!D16</f>
        <v>8379.1599196579991</v>
      </c>
      <c r="E5" s="452">
        <f>tertiair!E16</f>
        <v>111.43959873956928</v>
      </c>
      <c r="F5" s="452">
        <f ca="1">tertiair!F16</f>
        <v>785.40402059497012</v>
      </c>
      <c r="G5" s="452">
        <f>tertiair!G16</f>
        <v>0</v>
      </c>
      <c r="H5" s="452">
        <f>tertiair!H16</f>
        <v>0</v>
      </c>
      <c r="I5" s="452">
        <f>tertiair!I16</f>
        <v>0</v>
      </c>
      <c r="J5" s="452">
        <f>tertiair!J16</f>
        <v>1.0692910033878289E-2</v>
      </c>
      <c r="K5" s="452">
        <f>tertiair!K16</f>
        <v>0</v>
      </c>
      <c r="L5" s="452">
        <f ca="1">tertiair!L16</f>
        <v>0</v>
      </c>
      <c r="M5" s="452">
        <f>tertiair!M16</f>
        <v>0</v>
      </c>
      <c r="N5" s="452">
        <f ca="1">tertiair!N16</f>
        <v>425.84639286116862</v>
      </c>
      <c r="O5" s="452">
        <f>tertiair!O16</f>
        <v>0</v>
      </c>
      <c r="P5" s="453">
        <f>tertiair!P16</f>
        <v>105.07827661299004</v>
      </c>
      <c r="Q5" s="451">
        <f t="shared" ref="Q5:Q14" ca="1" si="0">SUM(B5:P5)</f>
        <v>17039.705236376729</v>
      </c>
    </row>
    <row r="6" spans="1:17">
      <c r="A6" s="451" t="s">
        <v>193</v>
      </c>
      <c r="B6" s="452">
        <f>'openbare verlichting'!B8</f>
        <v>696.41300000000001</v>
      </c>
      <c r="C6" s="452"/>
      <c r="D6" s="452"/>
      <c r="E6" s="452"/>
      <c r="F6" s="452"/>
      <c r="G6" s="452"/>
      <c r="H6" s="452"/>
      <c r="I6" s="452"/>
      <c r="J6" s="452"/>
      <c r="K6" s="452"/>
      <c r="L6" s="452"/>
      <c r="M6" s="452"/>
      <c r="N6" s="452"/>
      <c r="O6" s="452"/>
      <c r="P6" s="453"/>
      <c r="Q6" s="451">
        <f t="shared" si="0"/>
        <v>696.41300000000001</v>
      </c>
    </row>
    <row r="7" spans="1:17">
      <c r="A7" s="451" t="s">
        <v>111</v>
      </c>
      <c r="B7" s="452">
        <f>landbouw!B8</f>
        <v>2142.3574279999998</v>
      </c>
      <c r="C7" s="452">
        <f>landbouw!C8</f>
        <v>62.357142857142847</v>
      </c>
      <c r="D7" s="452">
        <f>landbouw!D8</f>
        <v>537.31869400000005</v>
      </c>
      <c r="E7" s="452">
        <f>landbouw!E8</f>
        <v>66.862268865554995</v>
      </c>
      <c r="F7" s="452">
        <f>landbouw!F8</f>
        <v>7571.3284745058218</v>
      </c>
      <c r="G7" s="452">
        <f>landbouw!G8</f>
        <v>0</v>
      </c>
      <c r="H7" s="452">
        <f>landbouw!H8</f>
        <v>0</v>
      </c>
      <c r="I7" s="452">
        <f>landbouw!I8</f>
        <v>0</v>
      </c>
      <c r="J7" s="452">
        <f>landbouw!J8</f>
        <v>590.23432853255622</v>
      </c>
      <c r="K7" s="452">
        <f>landbouw!K8</f>
        <v>0</v>
      </c>
      <c r="L7" s="452">
        <f>landbouw!L8</f>
        <v>0</v>
      </c>
      <c r="M7" s="452">
        <f>landbouw!M8</f>
        <v>0</v>
      </c>
      <c r="N7" s="452">
        <f>landbouw!N8</f>
        <v>0</v>
      </c>
      <c r="O7" s="452">
        <f>landbouw!O8</f>
        <v>0</v>
      </c>
      <c r="P7" s="453">
        <f>landbouw!P8</f>
        <v>0</v>
      </c>
      <c r="Q7" s="451">
        <f t="shared" si="0"/>
        <v>10970.458336761076</v>
      </c>
    </row>
    <row r="8" spans="1:17">
      <c r="A8" s="451" t="s">
        <v>625</v>
      </c>
      <c r="B8" s="452">
        <f>industrie!B18</f>
        <v>6728.5096380000005</v>
      </c>
      <c r="C8" s="452">
        <f>industrie!C18</f>
        <v>0</v>
      </c>
      <c r="D8" s="452">
        <f>industrie!D18</f>
        <v>3169.7568957999997</v>
      </c>
      <c r="E8" s="452">
        <f>industrie!E18</f>
        <v>521.31304241537623</v>
      </c>
      <c r="F8" s="452">
        <f>industrie!F18</f>
        <v>1791.2663658046627</v>
      </c>
      <c r="G8" s="452">
        <f>industrie!G18</f>
        <v>0</v>
      </c>
      <c r="H8" s="452">
        <f>industrie!H18</f>
        <v>0</v>
      </c>
      <c r="I8" s="452">
        <f>industrie!I18</f>
        <v>0</v>
      </c>
      <c r="J8" s="452">
        <f>industrie!J18</f>
        <v>8.1921112638642821</v>
      </c>
      <c r="K8" s="452">
        <f>industrie!K18</f>
        <v>0</v>
      </c>
      <c r="L8" s="452">
        <f>industrie!L18</f>
        <v>0</v>
      </c>
      <c r="M8" s="452">
        <f>industrie!M18</f>
        <v>0</v>
      </c>
      <c r="N8" s="452">
        <f>industrie!N18</f>
        <v>364.72019719533387</v>
      </c>
      <c r="O8" s="452">
        <f>industrie!O18</f>
        <v>0</v>
      </c>
      <c r="P8" s="453">
        <f>industrie!P18</f>
        <v>0</v>
      </c>
      <c r="Q8" s="451">
        <f t="shared" si="0"/>
        <v>12583.758250479239</v>
      </c>
    </row>
    <row r="9" spans="1:17" s="457" customFormat="1">
      <c r="A9" s="455" t="s">
        <v>551</v>
      </c>
      <c r="B9" s="456">
        <f>transport!B14</f>
        <v>50.381603960970239</v>
      </c>
      <c r="C9" s="456">
        <f>transport!C14</f>
        <v>0</v>
      </c>
      <c r="D9" s="456">
        <f>transport!D14</f>
        <v>197.6041391581158</v>
      </c>
      <c r="E9" s="456">
        <f>transport!E14</f>
        <v>185.53154250184116</v>
      </c>
      <c r="F9" s="456">
        <f>transport!F14</f>
        <v>0</v>
      </c>
      <c r="G9" s="456">
        <f>transport!G14</f>
        <v>86858.71556162028</v>
      </c>
      <c r="H9" s="456">
        <f>transport!H14</f>
        <v>18768.248301087784</v>
      </c>
      <c r="I9" s="456">
        <f>transport!I14</f>
        <v>0</v>
      </c>
      <c r="J9" s="456">
        <f>transport!J14</f>
        <v>0</v>
      </c>
      <c r="K9" s="456">
        <f>transport!K14</f>
        <v>0</v>
      </c>
      <c r="L9" s="456">
        <f>transport!L14</f>
        <v>0</v>
      </c>
      <c r="M9" s="456">
        <f>transport!M14</f>
        <v>6249.3416971403985</v>
      </c>
      <c r="N9" s="456">
        <f>transport!N14</f>
        <v>0</v>
      </c>
      <c r="O9" s="456">
        <f>transport!O14</f>
        <v>0</v>
      </c>
      <c r="P9" s="456">
        <f>transport!P14</f>
        <v>0</v>
      </c>
      <c r="Q9" s="455">
        <f>SUM(B9:P9)</f>
        <v>112309.82284546937</v>
      </c>
    </row>
    <row r="10" spans="1:17">
      <c r="A10" s="451" t="s">
        <v>541</v>
      </c>
      <c r="B10" s="452">
        <f>transport!B54</f>
        <v>0</v>
      </c>
      <c r="C10" s="452">
        <f>transport!C54</f>
        <v>0</v>
      </c>
      <c r="D10" s="452">
        <f>transport!D54</f>
        <v>0</v>
      </c>
      <c r="E10" s="452">
        <f>transport!E54</f>
        <v>0</v>
      </c>
      <c r="F10" s="452">
        <f>transport!F54</f>
        <v>0</v>
      </c>
      <c r="G10" s="452">
        <f>transport!G54</f>
        <v>586.67641507908741</v>
      </c>
      <c r="H10" s="452">
        <f>transport!H54</f>
        <v>0</v>
      </c>
      <c r="I10" s="452">
        <f>transport!I54</f>
        <v>0</v>
      </c>
      <c r="J10" s="452">
        <f>transport!J54</f>
        <v>0</v>
      </c>
      <c r="K10" s="452">
        <f>transport!K54</f>
        <v>0</v>
      </c>
      <c r="L10" s="452">
        <f>transport!L54</f>
        <v>0</v>
      </c>
      <c r="M10" s="452">
        <f>transport!M54</f>
        <v>32.602409929867669</v>
      </c>
      <c r="N10" s="452">
        <f>transport!N54</f>
        <v>0</v>
      </c>
      <c r="O10" s="452">
        <f>transport!O54</f>
        <v>0</v>
      </c>
      <c r="P10" s="453">
        <f>transport!P54</f>
        <v>0</v>
      </c>
      <c r="Q10" s="451">
        <f t="shared" si="0"/>
        <v>619.2788250089551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278.70019300000001</v>
      </c>
      <c r="C14" s="459"/>
      <c r="D14" s="459">
        <f>'SEAP template'!E25</f>
        <v>806.78069999999991</v>
      </c>
      <c r="E14" s="459"/>
      <c r="F14" s="459"/>
      <c r="G14" s="459"/>
      <c r="H14" s="459"/>
      <c r="I14" s="459"/>
      <c r="J14" s="459"/>
      <c r="K14" s="459"/>
      <c r="L14" s="459"/>
      <c r="M14" s="459"/>
      <c r="N14" s="459"/>
      <c r="O14" s="459"/>
      <c r="P14" s="460"/>
      <c r="Q14" s="451">
        <f t="shared" si="0"/>
        <v>1085.4808929999999</v>
      </c>
    </row>
    <row r="15" spans="1:17" s="463" customFormat="1">
      <c r="A15" s="461" t="s">
        <v>545</v>
      </c>
      <c r="B15" s="462">
        <f ca="1">SUM(B4:B14)</f>
        <v>32617.876774178309</v>
      </c>
      <c r="C15" s="462">
        <f t="shared" ref="C15:Q15" ca="1" si="1">SUM(C4:C14)</f>
        <v>62.357142857142847</v>
      </c>
      <c r="D15" s="462">
        <f t="shared" ca="1" si="1"/>
        <v>48899.851308404119</v>
      </c>
      <c r="E15" s="462">
        <f t="shared" si="1"/>
        <v>6968.4977298268623</v>
      </c>
      <c r="F15" s="462">
        <f t="shared" ca="1" si="1"/>
        <v>15519.102455264661</v>
      </c>
      <c r="G15" s="462">
        <f t="shared" si="1"/>
        <v>87445.391976699364</v>
      </c>
      <c r="H15" s="462">
        <f t="shared" si="1"/>
        <v>18768.248301087784</v>
      </c>
      <c r="I15" s="462">
        <f t="shared" si="1"/>
        <v>0</v>
      </c>
      <c r="J15" s="462">
        <f t="shared" si="1"/>
        <v>930.29854540798374</v>
      </c>
      <c r="K15" s="462">
        <f t="shared" si="1"/>
        <v>0</v>
      </c>
      <c r="L15" s="462">
        <f t="shared" ca="1" si="1"/>
        <v>0</v>
      </c>
      <c r="M15" s="462">
        <f t="shared" si="1"/>
        <v>6281.944107070266</v>
      </c>
      <c r="N15" s="462">
        <f t="shared" ca="1" si="1"/>
        <v>12872.991683588951</v>
      </c>
      <c r="O15" s="462">
        <f t="shared" si="1"/>
        <v>271.80227605602335</v>
      </c>
      <c r="P15" s="462">
        <f t="shared" si="1"/>
        <v>421.09705584354072</v>
      </c>
      <c r="Q15" s="462">
        <f t="shared" ca="1" si="1"/>
        <v>231059.45935628499</v>
      </c>
    </row>
    <row r="17" spans="1:17">
      <c r="A17" s="464" t="s">
        <v>546</v>
      </c>
      <c r="B17" s="781">
        <f ca="1">huishoudens!B10</f>
        <v>0.19744191737274561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3058.128216592735</v>
      </c>
      <c r="C22" s="452">
        <f t="shared" ref="C22:C32" ca="1" si="3">C4*$C$17</f>
        <v>0</v>
      </c>
      <c r="D22" s="452">
        <f t="shared" ref="D22:D32" si="4">D4*$D$17</f>
        <v>7233.4646538771767</v>
      </c>
      <c r="E22" s="452">
        <f t="shared" ref="E22:E32" si="5">E4*$E$17</f>
        <v>1380.9207399481261</v>
      </c>
      <c r="F22" s="452">
        <f t="shared" ref="F22:F32" si="6">F4*$F$17</f>
        <v>1434.0846596939084</v>
      </c>
      <c r="G22" s="452">
        <f t="shared" ref="G22:G32" si="7">G4*$G$17</f>
        <v>0</v>
      </c>
      <c r="H22" s="452">
        <f t="shared" ref="H22:H32" si="8">H4*$H$17</f>
        <v>0</v>
      </c>
      <c r="I22" s="452">
        <f t="shared" ref="I22:I32" si="9">I4*$I$17</f>
        <v>0</v>
      </c>
      <c r="J22" s="452">
        <f t="shared" ref="J22:J32" si="10">J4*$J$17</f>
        <v>117.4789400963414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13224.077210208286</v>
      </c>
    </row>
    <row r="23" spans="1:17">
      <c r="A23" s="451" t="s">
        <v>155</v>
      </c>
      <c r="B23" s="452">
        <f t="shared" ca="1" si="2"/>
        <v>1428.0512530914461</v>
      </c>
      <c r="C23" s="452">
        <f t="shared" ca="1" si="3"/>
        <v>0</v>
      </c>
      <c r="D23" s="452">
        <f t="shared" ca="1" si="4"/>
        <v>1692.5903037709159</v>
      </c>
      <c r="E23" s="452">
        <f t="shared" si="5"/>
        <v>25.296788913882228</v>
      </c>
      <c r="F23" s="452">
        <f t="shared" ca="1" si="6"/>
        <v>209.70287349885703</v>
      </c>
      <c r="G23" s="452">
        <f t="shared" si="7"/>
        <v>0</v>
      </c>
      <c r="H23" s="452">
        <f t="shared" si="8"/>
        <v>0</v>
      </c>
      <c r="I23" s="452">
        <f t="shared" si="9"/>
        <v>0</v>
      </c>
      <c r="J23" s="452">
        <f t="shared" si="10"/>
        <v>3.7852901519929141E-3</v>
      </c>
      <c r="K23" s="452">
        <f t="shared" si="11"/>
        <v>0</v>
      </c>
      <c r="L23" s="452">
        <f t="shared" ca="1" si="12"/>
        <v>0</v>
      </c>
      <c r="M23" s="452">
        <f t="shared" si="13"/>
        <v>0</v>
      </c>
      <c r="N23" s="452">
        <f t="shared" ca="1" si="14"/>
        <v>0</v>
      </c>
      <c r="O23" s="452">
        <f t="shared" si="15"/>
        <v>0</v>
      </c>
      <c r="P23" s="453">
        <f t="shared" si="16"/>
        <v>0</v>
      </c>
      <c r="Q23" s="451">
        <f t="shared" ref="Q23:Q31" ca="1" si="17">SUM(B23:P23)</f>
        <v>3355.6450045652532</v>
      </c>
    </row>
    <row r="24" spans="1:17">
      <c r="A24" s="451" t="s">
        <v>193</v>
      </c>
      <c r="B24" s="452">
        <f t="shared" ca="1" si="2"/>
        <v>137.50111800330589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137.50111800330589</v>
      </c>
    </row>
    <row r="25" spans="1:17">
      <c r="A25" s="451" t="s">
        <v>111</v>
      </c>
      <c r="B25" s="452">
        <f t="shared" ca="1" si="2"/>
        <v>422.99115828206374</v>
      </c>
      <c r="C25" s="452">
        <f t="shared" ca="1" si="3"/>
        <v>0</v>
      </c>
      <c r="D25" s="452">
        <f t="shared" si="4"/>
        <v>108.53837618800002</v>
      </c>
      <c r="E25" s="452">
        <f t="shared" si="5"/>
        <v>15.177735032480985</v>
      </c>
      <c r="F25" s="452">
        <f t="shared" si="6"/>
        <v>2021.5447026930544</v>
      </c>
      <c r="G25" s="452">
        <f t="shared" si="7"/>
        <v>0</v>
      </c>
      <c r="H25" s="452">
        <f t="shared" si="8"/>
        <v>0</v>
      </c>
      <c r="I25" s="452">
        <f t="shared" si="9"/>
        <v>0</v>
      </c>
      <c r="J25" s="452">
        <f t="shared" si="10"/>
        <v>208.94295230052489</v>
      </c>
      <c r="K25" s="452">
        <f t="shared" si="11"/>
        <v>0</v>
      </c>
      <c r="L25" s="452">
        <f t="shared" si="12"/>
        <v>0</v>
      </c>
      <c r="M25" s="452">
        <f t="shared" si="13"/>
        <v>0</v>
      </c>
      <c r="N25" s="452">
        <f t="shared" si="14"/>
        <v>0</v>
      </c>
      <c r="O25" s="452">
        <f t="shared" si="15"/>
        <v>0</v>
      </c>
      <c r="P25" s="453">
        <f t="shared" si="16"/>
        <v>0</v>
      </c>
      <c r="Q25" s="451">
        <f t="shared" ca="1" si="17"/>
        <v>2777.1949244961243</v>
      </c>
    </row>
    <row r="26" spans="1:17">
      <c r="A26" s="451" t="s">
        <v>625</v>
      </c>
      <c r="B26" s="452">
        <f t="shared" ca="1" si="2"/>
        <v>1328.4898439877186</v>
      </c>
      <c r="C26" s="452">
        <f t="shared" ca="1" si="3"/>
        <v>0</v>
      </c>
      <c r="D26" s="452">
        <f t="shared" si="4"/>
        <v>640.29089295159997</v>
      </c>
      <c r="E26" s="452">
        <f t="shared" si="5"/>
        <v>118.33806062829041</v>
      </c>
      <c r="F26" s="452">
        <f t="shared" si="6"/>
        <v>478.26811966984496</v>
      </c>
      <c r="G26" s="452">
        <f t="shared" si="7"/>
        <v>0</v>
      </c>
      <c r="H26" s="452">
        <f t="shared" si="8"/>
        <v>0</v>
      </c>
      <c r="I26" s="452">
        <f t="shared" si="9"/>
        <v>0</v>
      </c>
      <c r="J26" s="452">
        <f t="shared" si="10"/>
        <v>2.9000073874079559</v>
      </c>
      <c r="K26" s="452">
        <f t="shared" si="11"/>
        <v>0</v>
      </c>
      <c r="L26" s="452">
        <f t="shared" si="12"/>
        <v>0</v>
      </c>
      <c r="M26" s="452">
        <f t="shared" si="13"/>
        <v>0</v>
      </c>
      <c r="N26" s="452">
        <f t="shared" si="14"/>
        <v>0</v>
      </c>
      <c r="O26" s="452">
        <f t="shared" si="15"/>
        <v>0</v>
      </c>
      <c r="P26" s="453">
        <f t="shared" si="16"/>
        <v>0</v>
      </c>
      <c r="Q26" s="451">
        <f t="shared" ca="1" si="17"/>
        <v>2568.286924624862</v>
      </c>
    </row>
    <row r="27" spans="1:17" s="457" customFormat="1">
      <c r="A27" s="455" t="s">
        <v>551</v>
      </c>
      <c r="B27" s="775">
        <f t="shared" ca="1" si="2"/>
        <v>9.9474404863682793</v>
      </c>
      <c r="C27" s="456">
        <f t="shared" ca="1" si="3"/>
        <v>0</v>
      </c>
      <c r="D27" s="456">
        <f t="shared" si="4"/>
        <v>39.916036109939391</v>
      </c>
      <c r="E27" s="456">
        <f t="shared" si="5"/>
        <v>42.115660147917943</v>
      </c>
      <c r="F27" s="456">
        <f t="shared" si="6"/>
        <v>0</v>
      </c>
      <c r="G27" s="456">
        <f t="shared" si="7"/>
        <v>23191.277054952618</v>
      </c>
      <c r="H27" s="456">
        <f t="shared" si="8"/>
        <v>4673.2938269708584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27956.550018667702</v>
      </c>
    </row>
    <row r="28" spans="1:17" ht="16.5" customHeight="1">
      <c r="A28" s="451" t="s">
        <v>541</v>
      </c>
      <c r="B28" s="452">
        <f t="shared" ca="1" si="2"/>
        <v>0</v>
      </c>
      <c r="C28" s="452">
        <f t="shared" ca="1" si="3"/>
        <v>0</v>
      </c>
      <c r="D28" s="452">
        <f t="shared" si="4"/>
        <v>0</v>
      </c>
      <c r="E28" s="452">
        <f t="shared" si="5"/>
        <v>0</v>
      </c>
      <c r="F28" s="452">
        <f t="shared" si="6"/>
        <v>0</v>
      </c>
      <c r="G28" s="452">
        <f t="shared" si="7"/>
        <v>156.64260282611636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156.64260282611636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55.027100478074253</v>
      </c>
      <c r="C32" s="452">
        <f t="shared" ca="1" si="3"/>
        <v>0</v>
      </c>
      <c r="D32" s="452">
        <f t="shared" si="4"/>
        <v>162.96970139999999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217.99680187807425</v>
      </c>
    </row>
    <row r="33" spans="1:17" s="463" customFormat="1">
      <c r="A33" s="461" t="s">
        <v>545</v>
      </c>
      <c r="B33" s="462">
        <f ca="1">SUM(B22:B32)</f>
        <v>6440.1361309217127</v>
      </c>
      <c r="C33" s="462">
        <f t="shared" ref="C33:Q33" ca="1" si="19">SUM(C22:C32)</f>
        <v>0</v>
      </c>
      <c r="D33" s="462">
        <f t="shared" ca="1" si="19"/>
        <v>9877.7699642976313</v>
      </c>
      <c r="E33" s="462">
        <f t="shared" si="19"/>
        <v>1581.8489846706975</v>
      </c>
      <c r="F33" s="462">
        <f t="shared" ca="1" si="19"/>
        <v>4143.6003555556654</v>
      </c>
      <c r="G33" s="462">
        <f t="shared" si="19"/>
        <v>23347.919657778733</v>
      </c>
      <c r="H33" s="462">
        <f t="shared" si="19"/>
        <v>4673.2938269708584</v>
      </c>
      <c r="I33" s="462">
        <f t="shared" si="19"/>
        <v>0</v>
      </c>
      <c r="J33" s="462">
        <f t="shared" si="19"/>
        <v>329.32568507442625</v>
      </c>
      <c r="K33" s="462">
        <f t="shared" si="19"/>
        <v>0</v>
      </c>
      <c r="L33" s="462">
        <f t="shared" ca="1" si="19"/>
        <v>0</v>
      </c>
      <c r="M33" s="462">
        <f t="shared" si="19"/>
        <v>0</v>
      </c>
      <c r="N33" s="462">
        <f t="shared" ca="1" si="19"/>
        <v>0</v>
      </c>
      <c r="O33" s="462">
        <f t="shared" si="19"/>
        <v>0</v>
      </c>
      <c r="P33" s="462">
        <f t="shared" si="19"/>
        <v>0</v>
      </c>
      <c r="Q33" s="462">
        <f t="shared" ca="1" si="19"/>
        <v>50393.894605269728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3433.339303944319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3476.9893039443191</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0.19744191737274561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0.19744191737274561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2020-06-20T15:33:58Z</dcterms:modified>
</cp:coreProperties>
</file>