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E27" i="14"/>
  <c r="B15"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2" i="59"/>
  <c r="C20" i="16"/>
  <c r="C22" i="16" s="1"/>
  <c r="D43" i="14" s="1"/>
  <c r="C10" i="17"/>
  <c r="C12" i="17" s="1"/>
  <c r="D54" i="14" s="1"/>
  <c r="D56" i="14" s="1"/>
  <c r="C29" i="20"/>
  <c r="C17" i="49"/>
  <c r="C18" i="15"/>
  <c r="C20" i="15" s="1"/>
  <c r="D40" i="14" s="1"/>
  <c r="C10" i="13"/>
  <c r="C12" i="13" s="1"/>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<sst xmlns="http://schemas.openxmlformats.org/spreadsheetml/2006/main" count="2411" uniqueCount="895">
  <si>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</si>
  <si>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</si>
  <si>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</si>
  <si>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</si>
  <si>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</si>
  <si>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</si>
  <si>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</si>
  <si>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</si>
  <si>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</si>
  <si>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</si>
  <si>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</si>
  <si>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</si>
  <si>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</si>
  <si>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</si>
  <si>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</si>
  <si>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</si>
  <si>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</si>
  <si>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</si>
  <si>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</si>
  <si>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</si>
  <si>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</si>
  <si>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</si>
  <si>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</si>
  <si>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</si>
  <si>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</si>
  <si>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</si>
  <si>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</si>
  <si>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</si>
  <si>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</si>
  <si>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</si>
  <si>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</si>
  <si>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</si>
  <si>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</si>
  <si>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</si>
  <si>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</si>
  <si>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</si>
  <si>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</si>
  <si>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</si>
  <si>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</si>
  <si>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</si>
  <si>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</si>
  <si>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</si>
  <si>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</si>
  <si>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</si>
  <si>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</si>
  <si>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</si>
  <si>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</si>
  <si>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</si>
  <si>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</si>
  <si>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</si>
  <si>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</si>
  <si>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</si>
  <si>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</si>
  <si>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</si>
  <si>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</si>
  <si>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</si>
  <si>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</si>
  <si>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</si>
  <si>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</si>
  <si>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</si>
  <si>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</si>
  <si>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</si>
  <si>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</si>
  <si>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</si>
  <si>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</si>
  <si>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</si>
  <si>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</si>
  <si>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</si>
  <si>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</si>
  <si>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</si>
  <si>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</si>
  <si>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</si>
  <si>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</si>
  <si>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</si>
  <si>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</si>
  <si>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</si>
  <si>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</si>
  <si>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</si>
  <si>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</si>
  <si>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</si>
  <si>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</si>
  <si>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</si>
  <si>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</si>
  <si>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</si>
  <si>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</si>
  <si>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</si>
  <si>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</si>
  <si>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</si>
  <si>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</si>
  <si>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</si>
  <si>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</si>
  <si>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</si>
  <si>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</si>
  <si>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</si>
  <si>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</si>
  <si>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</si>
  <si>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</si>
  <si>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</si>
  <si>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</si>
  <si>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</si>
  <si>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</si>
  <si>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</si>
  <si>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</si>
  <si>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</si>
  <si>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</si>
  <si>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</si>
  <si>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</si>
  <si>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</si>
  <si>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</si>
  <si>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</si>
  <si>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</si>
  <si>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</si>
  <si>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</si>
  <si>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</si>
  <si>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</si>
  <si>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</si>
  <si>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</si>
  <si>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</si>
  <si>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</si>
  <si>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</si>
  <si>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</si>
  <si>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</si>
  <si>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</si>
  <si>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</si>
  <si>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</si>
  <si>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</si>
  <si>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</si>
  <si>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</si>
  <si>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</si>
  <si>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</si>
  <si>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</si>
  <si>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</si>
  <si>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</si>
  <si>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</si>
  <si>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</si>
  <si>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</si>
  <si>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</si>
  <si>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</si>
  <si>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</si>
  <si>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</si>
  <si>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</si>
  <si>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</si>
  <si>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</si>
  <si>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</si>
  <si>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</si>
  <si>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</si>
  <si>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</si>
  <si>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</si>
  <si>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</si>
  <si>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</si>
  <si>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</si>
  <si>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</si>
  <si>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</si>
  <si>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</si>
  <si>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</si>
  <si>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</si>
  <si>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</si>
  <si>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</si>
  <si>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</si>
  <si>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</si>
  <si>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</si>
  <si>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</si>
  <si>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</si>
  <si>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</si>
  <si>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</si>
  <si>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</si>
  <si>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</si>
  <si>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</si>
  <si>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</si>
  <si>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</si>
  <si>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</si>
  <si>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</si>
  <si>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</si>
  <si>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</si>
  <si>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</si>
  <si>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</si>
  <si>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</si>
  <si>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</si>
  <si>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</si>
  <si>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</si>
  <si>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</si>
  <si>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</si>
  <si>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</si>
  <si>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</si>
  <si>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</si>
  <si>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</si>
  <si>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</si>
  <si>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</si>
  <si>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</si>
  <si>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</si>
  <si>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</si>
  <si>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</si>
  <si>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</si>
  <si>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</si>
  <si>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</si>
  <si>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</si>
  <si>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</si>
  <si>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</si>
  <si>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</si>
  <si>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</si>
  <si>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</si>
  <si>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</si>
  <si>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</si>
  <si>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</si>
  <si>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</si>
  <si>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</si>
  <si>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</si>
  <si>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</si>
  <si>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</si>
  <si>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</si>
  <si>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</si>
  <si>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</si>
  <si>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</si>
  <si>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</si>
  <si>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</si>
  <si>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</si>
  <si>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</si>
  <si>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</si>
  <si>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</si>
  <si>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</si>
  <si>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</si>
  <si>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</si>
  <si>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</si>
  <si>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</si>
  <si>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</si>
  <si>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</si>
  <si>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</si>
  <si>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</si>
  <si>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</si>
  <si>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</si>
  <si>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</si>
  <si>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</si>
  <si>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</si>
  <si>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</si>
  <si>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</si>
  <si>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</si>
  <si>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</si>
  <si>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</si>
  <si>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</si>
  <si>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</si>
  <si>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</si>
  <si>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</si>
  <si>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</si>
  <si>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</si>
  <si>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</si>
  <si>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</si>
  <si>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</si>
  <si>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</si>
  <si>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</si>
  <si>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</si>
  <si>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</si>
  <si>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</si>
  <si>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</si>
  <si>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</si>
  <si>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</si>
  <si>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</si>
  <si>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</si>
  <si>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</si>
  <si>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</si>
  <si>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</si>
  <si>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</si>
  <si>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</si>
  <si>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</si>
  <si>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</si>
  <si>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</si>
  <si>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</si>
  <si>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</si>
  <si>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</si>
  <si>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</si>
  <si>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</si>
  <si>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</si>
  <si>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</si>
  <si>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</si>
  <si>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</si>
  <si>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</si>
  <si>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</si>
  <si>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</si>
  <si>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</si>
  <si>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</si>
  <si>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</si>
  <si>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</si>
  <si>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</si>
  <si>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</si>
  <si>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</si>
  <si>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</si>
  <si>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</si>
  <si>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</si>
  <si>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</si>
  <si>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</si>
  <si>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</si>
  <si>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</si>
  <si>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</si>
  <si>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</si>
  <si>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</si>
  <si>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</si>
  <si>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</si>
  <si>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</si>
  <si>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</si>
  <si>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</si>
  <si>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</si>
  <si>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</si>
  <si>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</si>
  <si>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</si>
  <si>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</si>
  <si>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</si>
  <si>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</si>
  <si>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</si>
  <si>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</si>
  <si>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</si>
  <si>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</si>
  <si>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</si>
  <si>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</si>
  <si>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</si>
  <si>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</si>
  <si>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</si>
  <si>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</si>
  <si>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</si>
  <si>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</si>
  <si>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</si>
  <si>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</si>
  <si>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</si>
  <si>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</si>
  <si>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</si>
  <si>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</si>
  <si>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</si>
  <si>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</si>
  <si>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</si>
  <si>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</si>
  <si>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</si>
  <si>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</si>
  <si>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</si>
  <si>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</si>
  <si>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</si>
  <si>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</si>
  <si>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</si>
  <si>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</si>
  <si>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</si>
  <si>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</si>
  <si>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</si>
  <si>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</si>
  <si>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</si>
  <si>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</si>
  <si>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</si>
  <si>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</si>
  <si>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</si>
  <si>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</si>
  <si>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</si>
  <si>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</si>
  <si>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</si>
  <si>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</si>
  <si>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</si>
  <si>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</si>
  <si>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</si>
  <si>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</si>
  <si>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</si>
  <si>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</si>
  <si>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</si>
  <si>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</si>
  <si>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</si>
  <si>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</si>
  <si>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</si>
  <si>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</si>
  <si>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</si>
  <si>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</si>
  <si>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</si>
  <si>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</si>
  <si>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</si>
  <si>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</si>
  <si>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</si>
  <si>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</si>
  <si>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</si>
  <si>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</si>
  <si>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</si>
  <si>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</si>
  <si>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</si>
  <si>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</si>
  <si>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</si>
  <si>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</si>
  <si>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</si>
  <si>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</si>
  <si>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</si>
  <si>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</si>
  <si>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</si>
  <si>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</si>
  <si>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</si>
  <si>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</si>
  <si>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</si>
  <si>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</si>
  <si>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</si>
  <si>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</si>
  <si>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</si>
  <si>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</si>
  <si>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</si>
  <si>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</si>
  <si>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</si>
  <si>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</si>
  <si>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</si>
  <si>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</si>
  <si>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</si>
  <si>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</si>
  <si>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</si>
  <si>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</si>
  <si>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</si>
  <si>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</si>
  <si>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</si>
  <si>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</si>
  <si>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</si>
  <si>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</si>
  <si>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</si>
  <si>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</si>
  <si>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</si>
  <si>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</si>
  <si>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</si>
  <si>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</si>
  <si>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</si>
  <si>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</si>
  <si>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</si>
  <si>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</si>
  <si>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</si>
  <si>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</si>
  <si>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</si>
  <si>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</si>
  <si>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</si>
  <si>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</si>
  <si>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</si>
  <si>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</si>
  <si>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</si>
  <si>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</si>
  <si>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</si>
  <si>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</si>
  <si>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</si>
  <si>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</si>
  <si>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</si>
  <si>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</si>
  <si>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</si>
  <si>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</si>
  <si>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</si>
  <si>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</si>
  <si>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</si>
  <si>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</si>
  <si>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</si>
  <si>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</si>
  <si>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</si>
  <si>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</si>
  <si>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</si>
  <si>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</si>
  <si>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</si>
  <si>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</si>
  <si>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</si>
  <si>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</si>
  <si>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</si>
  <si>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</si>
  <si>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</si>
  <si>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</si>
  <si>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</si>
  <si>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</si>
  <si>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</si>
  <si>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</si>
  <si>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</si>
  <si>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</si>
  <si>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</si>
  <si>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</si>
  <si>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</si>
  <si>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</si>
  <si>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</si>
  <si>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</si>
  <si>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</si>
  <si>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</si>
  <si>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</si>
  <si>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</si>
  <si>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</si>
  <si>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</si>
  <si>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</si>
  <si>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</si>
  <si>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</si>
  <si>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</si>
  <si>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</si>
  <si>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</si>
  <si>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</si>
  <si>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</si>
  <si>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</si>
  <si>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</si>
  <si>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</si>
  <si>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</si>
  <si>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</si>
  <si>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</si>
  <si>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</si>
  <si>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</si>
  <si>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</si>
  <si>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</si>
  <si>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</si>
  <si>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</si>
  <si>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</si>
  <si>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</si>
  <si>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</si>
  <si>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</si>
  <si>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</si>
  <si>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</si>
  <si>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</si>
  <si>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</si>
  <si>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</si>
  <si>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</si>
  <si>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</si>
  <si>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</si>
  <si>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</si>
  <si>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</si>
  <si>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</si>
  <si>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</si>
  <si>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</si>
  <si>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</si>
  <si>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</si>
  <si>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</si>
  <si>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</si>
  <si>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</si>
  <si>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</si>
  <si>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</si>
  <si>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</si>
  <si>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</si>
  <si>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</si>
  <si>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</si>
  <si>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</si>
  <si>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</si>
  <si>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</si>
  <si>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</si>
  <si>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</si>
  <si>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</si>
  <si>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</si>
  <si>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</si>
  <si>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</si>
  <si>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</si>
  <si>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</si>
  <si>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</si>
  <si>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</si>
  <si>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</si>
  <si>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</si>
  <si>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</si>
  <si>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</si>
  <si>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</si>
  <si>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</si>
  <si>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</si>
  <si>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</si>
  <si>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</si>
  <si>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</si>
  <si>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</si>
  <si>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</si>
  <si>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</si>
  <si>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</si>
  <si>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</si>
  <si>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</si>
  <si>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</si>
  <si>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</si>
  <si>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</si>
  <si>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</si>
  <si>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</si>
  <si>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</si>
  <si>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</si>
  <si>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</si>
  <si>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</si>
  <si>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</si>
  <si>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</si>
  <si>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</si>
  <si>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</si>
  <si>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</si>
  <si>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</si>
  <si>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</si>
  <si>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</si>
  <si>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</si>
  <si>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</si>
  <si>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</si>
  <si>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</si>
  <si>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</si>
  <si>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</si>
  <si>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</si>
  <si>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</si>
  <si>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</si>
  <si>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</si>
  <si>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</si>
  <si>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</si>
  <si>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</si>
  <si>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</si>
  <si>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</si>
  <si>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</si>
  <si>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</si>
  <si>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</si>
  <si>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</si>
  <si>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</si>
  <si>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</si>
  <si>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</si>
  <si>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</si>
  <si>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</si>
  <si>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</si>
  <si>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</si>
  <si>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</si>
  <si>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</si>
  <si>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</si>
  <si>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</si>
  <si>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</si>
  <si>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</si>
  <si>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</si>
  <si>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</si>
  <si>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</si>
  <si>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</si>
  <si>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</si>
  <si>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</si>
  <si>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</si>
  <si>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</si>
  <si>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</si>
  <si>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</si>
  <si>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</si>
  <si>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</si>
  <si>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</si>
  <si>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</si>
  <si>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</si>
  <si>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</si>
  <si>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</si>
  <si>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</si>
  <si>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</si>
  <si>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</si>
  <si>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</si>
  <si>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</si>
  <si>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</si>
  <si>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</si>
  <si>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</si>
  <si>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</si>
  <si>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</si>
  <si>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</si>
  <si>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</si>
  <si>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</si>
  <si>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</si>
  <si>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</si>
  <si>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</si>
  <si>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</si>
  <si>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</si>
  <si>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</si>
  <si>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</si>
  <si>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</si>
  <si>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</si>
  <si>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</si>
  <si>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</si>
  <si>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</si>
  <si>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</si>
  <si>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</si>
  <si>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</si>
  <si>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</si>
  <si>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</si>
  <si>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</si>
  <si>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</si>
  <si>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</si>
  <si>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</si>
  <si>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</si>
  <si>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</si>
  <si>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</si>
  <si>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</si>
  <si>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</si>
  <si>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</si>
  <si>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</si>
  <si>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</si>
  <si>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</si>
  <si>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</si>
  <si>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</si>
  <si>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</si>
  <si>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</si>
  <si>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</si>
  <si>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</si>
  <si>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</si>
  <si>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</si>
  <si>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</si>
  <si>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</si>
  <si>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</si>
  <si>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</si>
  <si>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</si>
  <si>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</si>
  <si>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</si>
  <si>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</si>
  <si>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</si>
  <si>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</si>
  <si>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</si>
  <si>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</si>
  <si>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</si>
  <si>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</si>
  <si>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</si>
  <si>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</si>
  <si>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</si>
  <si>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</si>
  <si>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</si>
  <si>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</si>
  <si>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</si>
  <si>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</si>
  <si>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</si>
  <si>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</si>
  <si>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</si>
  <si>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</si>
  <si>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</si>
  <si>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</si>
  <si>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</si>
  <si>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</si>
  <si>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</si>
  <si>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</si>
  <si>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</si>
  <si>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</si>
  <si>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</si>
  <si>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</si>
  <si>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</si>
  <si>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</si>
  <si>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</si>
  <si>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</si>
  <si>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</si>
  <si>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</si>
  <si>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</si>
  <si>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</si>
  <si>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</si>
  <si>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</si>
  <si>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</si>
  <si>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</si>
  <si>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</si>
  <si>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</si>
  <si>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</si>
  <si>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</si>
  <si>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</si>
  <si>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</si>
  <si>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</si>
  <si>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</si>
  <si>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</si>
  <si>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</si>
  <si>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</si>
  <si>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</si>
  <si>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</si>
  <si>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</si>
  <si>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</si>
  <si>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</si>
  <si>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</si>
  <si>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</si>
  <si>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</si>
  <si>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</si>
  <si>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</si>
  <si>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</si>
  <si>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</si>
  <si>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</si>
  <si>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</si>
  <si>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</si>
  <si>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</si>
  <si>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</si>
  <si>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</si>
  <si>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</si>
  <si>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</si>
  <si>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</si>
  <si>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</si>
  <si>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</si>
  <si>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</si>
  <si>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</si>
  <si>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</si>
  <si>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</si>
  <si>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</si>
  <si>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</si>
  <si>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</si>
  <si>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</si>
  <si>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</si>
  <si>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</si>
  <si>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</si>
  <si>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</si>
  <si>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</si>
  <si>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</si>
  <si>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</si>
  <si>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</si>
  <si>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</si>
  <si>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</si>
  <si>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</si>
  <si>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</si>
  <si>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</si>
  <si>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</si>
  <si>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</si>
  <si>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</si>
  <si>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</si>
  <si>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</si>
  <si>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</si>
  <si>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</si>
  <si>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</si>
  <si>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</si>
  <si>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</si>
  <si>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</si>
  <si>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</si>
  <si>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</si>
  <si>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</si>
  <si>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</si>
  <si>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</si>
  <si>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</si>
  <si>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</si>
  <si>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</si>
  <si>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</si>
  <si>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</si>
  <si>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</si>
  <si>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</si>
  <si>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</si>
  <si>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</si>
  <si>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</si>
  <si>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</si>
  <si>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</si>
  <si>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</si>
  <si>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</si>
  <si>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</si>
  <si>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</si>
  <si>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</si>
  <si>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</si>
  <si>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</si>
  <si>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</si>
  <si>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</si>
  <si>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</si>
  <si>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</si>
  <si>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</si>
  <si>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</si>
  <si>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</si>
  <si>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</si>
  <si>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</si>
  <si>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</si>
  <si>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</si>
  <si>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</si>
  <si>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</si>
  <si>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</si>
  <si>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</si>
  <si>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</si>
  <si>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</si>
  <si>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</si>
  <si>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</si>
  <si>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</si>
  <si>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</si>
  <si>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</si>
  <si>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</si>
  <si>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</si>
  <si>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</si>
  <si>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</si>
  <si>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</si>
  <si>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</si>
  <si>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</si>
  <si>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</si>
  <si>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</si>
  <si>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</si>
  <si>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</si>
  <si>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</si>
  <si>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</si>
  <si>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</si>
  <si>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</si>
  <si>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</si>
  <si>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</si>
  <si>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</si>
  <si>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</si>
  <si>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</si>
  <si>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</si>
  <si>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</si>
  <si>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</si>
  <si>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</si>
  <si>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</si>
  <si>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</si>
  <si>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</si>
  <si>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</si>
  <si>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</si>
  <si>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</si>
  <si>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</si>
  <si>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</si>
  <si>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</si>
  <si>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</si>
  <si>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</si>
  <si>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</si>
  <si>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</si>
  <si>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</si>
  <si>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</si>
  <si>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</si>
  <si>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</si>
  <si>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</si>
  <si>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</si>
  <si>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</si>
  <si>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</si>
  <si>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</si>
  <si>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</si>
  <si>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</si>
  <si>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</si>
  <si>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</si>
  <si>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</si>
  <si>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</si>
  <si>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</si>
  <si>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</si>
  <si>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</si>
  <si>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</si>
  <si>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</si>
  <si>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</si>
  <si>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</si>
  <si>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36008</t>
  </si>
  <si>
    <t>IZEGEM</t>
  </si>
  <si>
    <t>referentietaak LNE (2017); Jaarverslag De Lijn</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</si>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</sst>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213696.54279769736</c:v>
                </c:pt>
                <c:pt idx="1">
                  <c:v>78312.576630622076</c:v>
                </c:pt>
                <c:pt idx="2">
                  <c:v>2530.0630000000001</c:v>
                </c:pt>
                <c:pt idx="3">
                  <c:v>16816.969898736752</c:v>
                </c:pt>
                <c:pt idx="4">
                  <c:v>149763.775263266</c:v>
                </c:pt>
                <c:pt idx="5">
                  <c:v>208628.02330779843</c:v>
                </c:pt>
                <c:pt idx="6">
                  <c:v>652.24689718864693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213696.54279769736</c:v>
                </c:pt>
                <c:pt idx="1">
                  <c:v>78312.576630622076</c:v>
                </c:pt>
                <c:pt idx="2">
                  <c:v>2530.0630000000001</c:v>
                </c:pt>
                <c:pt idx="3">
                  <c:v>16816.969898736752</c:v>
                </c:pt>
                <c:pt idx="4">
                  <c:v>149763.775263266</c:v>
                </c:pt>
                <c:pt idx="5">
                  <c:v>208628.02330779843</c:v>
                </c:pt>
                <c:pt idx="6">
                  <c:v>652.24689718864693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36458.819977731451</c:v>
                </c:pt>
                <c:pt idx="1">
                  <c:v>14830.161826837286</c:v>
                </c:pt>
                <c:pt idx="2">
                  <c:v>452.6032319666499</c:v>
                </c:pt>
                <c:pt idx="3">
                  <c:v>4178.0175083709673</c:v>
                </c:pt>
                <c:pt idx="4">
                  <c:v>28848.35996384723</c:v>
                </c:pt>
                <c:pt idx="5">
                  <c:v>51900.016261760742</c:v>
                </c:pt>
                <c:pt idx="6">
                  <c:v>164.98166501883949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36458.819977731451</c:v>
                </c:pt>
                <c:pt idx="1">
                  <c:v>14830.161826837286</c:v>
                </c:pt>
                <c:pt idx="2">
                  <c:v>452.6032319666499</c:v>
                </c:pt>
                <c:pt idx="3">
                  <c:v>4178.0175083709673</c:v>
                </c:pt>
                <c:pt idx="4">
                  <c:v>28848.35996384723</c:v>
                </c:pt>
                <c:pt idx="5">
                  <c:v>51900.016261760742</c:v>
                </c:pt>
                <c:pt idx="6">
                  <c:v>164.98166501883949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36008</v>
      </c>
      <c r="B6" s="390"/>
      <c r="C6" s="391"/>
    </row>
    <row r="7" spans="1:7" s="388" customFormat="1" ht="15.75" customHeight="1">
      <c r="A7" s="392" t="str">
        <f>txtMunicipality</f>
        <v>IZEGEM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0.17889010351388479</v>
      </c>
      <c r="C17" s="501">
        <f ca="1">'EF ele_warmte'!B22</f>
        <v>0.23764705882352941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0.17889010351388479</v>
      </c>
      <c r="C29" s="502">
        <f ca="1">'EF ele_warmte'!B22</f>
        <v>0.23764705882352941</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12138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880.56000000000097</v>
      </c>
      <c r="C14" s="330"/>
      <c r="D14" s="330"/>
      <c r="E14" s="330"/>
      <c r="F14" s="330"/>
    </row>
    <row r="15" spans="1:6">
      <c r="A15" s="1298" t="s">
        <v>183</v>
      </c>
      <c r="B15" s="1299">
        <v>3</v>
      </c>
      <c r="C15" s="330"/>
      <c r="D15" s="330"/>
      <c r="E15" s="330"/>
      <c r="F15" s="330"/>
    </row>
    <row r="16" spans="1:6">
      <c r="A16" s="1298" t="s">
        <v>6</v>
      </c>
      <c r="B16" s="1299">
        <v>26</v>
      </c>
      <c r="C16" s="330"/>
      <c r="D16" s="330"/>
      <c r="E16" s="330"/>
      <c r="F16" s="330"/>
    </row>
    <row r="17" spans="1:6">
      <c r="A17" s="1298" t="s">
        <v>7</v>
      </c>
      <c r="B17" s="1299">
        <v>170</v>
      </c>
      <c r="C17" s="330"/>
      <c r="D17" s="330"/>
      <c r="E17" s="330"/>
      <c r="F17" s="330"/>
    </row>
    <row r="18" spans="1:6">
      <c r="A18" s="1298" t="s">
        <v>8</v>
      </c>
      <c r="B18" s="1299">
        <v>176</v>
      </c>
      <c r="C18" s="330"/>
      <c r="D18" s="330"/>
      <c r="E18" s="330"/>
      <c r="F18" s="330"/>
    </row>
    <row r="19" spans="1:6">
      <c r="A19" s="1298" t="s">
        <v>9</v>
      </c>
      <c r="B19" s="1299">
        <v>152</v>
      </c>
      <c r="C19" s="330"/>
      <c r="D19" s="330"/>
      <c r="E19" s="330"/>
      <c r="F19" s="330"/>
    </row>
    <row r="20" spans="1:6">
      <c r="A20" s="1298" t="s">
        <v>10</v>
      </c>
      <c r="B20" s="1299">
        <v>110</v>
      </c>
      <c r="C20" s="330"/>
      <c r="D20" s="330"/>
      <c r="E20" s="330"/>
      <c r="F20" s="330"/>
    </row>
    <row r="21" spans="1:6">
      <c r="A21" s="1298" t="s">
        <v>11</v>
      </c>
      <c r="B21" s="1299">
        <v>2939</v>
      </c>
      <c r="C21" s="330"/>
      <c r="D21" s="330"/>
      <c r="E21" s="330"/>
      <c r="F21" s="330"/>
    </row>
    <row r="22" spans="1:6">
      <c r="A22" s="1298" t="s">
        <v>12</v>
      </c>
      <c r="B22" s="1299">
        <v>16392</v>
      </c>
      <c r="C22" s="330"/>
      <c r="D22" s="330"/>
      <c r="E22" s="330"/>
      <c r="F22" s="330"/>
    </row>
    <row r="23" spans="1:6">
      <c r="A23" s="1298" t="s">
        <v>13</v>
      </c>
      <c r="B23" s="1299">
        <v>104</v>
      </c>
      <c r="C23" s="330"/>
      <c r="D23" s="330"/>
      <c r="E23" s="330"/>
      <c r="F23" s="330"/>
    </row>
    <row r="24" spans="1:6">
      <c r="A24" s="1298" t="s">
        <v>14</v>
      </c>
      <c r="B24" s="1299">
        <v>3</v>
      </c>
      <c r="C24" s="330"/>
      <c r="D24" s="330"/>
      <c r="E24" s="330"/>
      <c r="F24" s="330"/>
    </row>
    <row r="25" spans="1:6">
      <c r="A25" s="1298" t="s">
        <v>15</v>
      </c>
      <c r="B25" s="1299">
        <v>645</v>
      </c>
      <c r="C25" s="330"/>
      <c r="D25" s="330"/>
      <c r="E25" s="330"/>
      <c r="F25" s="330"/>
    </row>
    <row r="26" spans="1:6">
      <c r="A26" s="1298" t="s">
        <v>16</v>
      </c>
      <c r="B26" s="1299">
        <v>205</v>
      </c>
      <c r="C26" s="330"/>
      <c r="D26" s="330"/>
      <c r="E26" s="330"/>
      <c r="F26" s="330"/>
    </row>
    <row r="27" spans="1:6">
      <c r="A27" s="1298" t="s">
        <v>17</v>
      </c>
      <c r="B27" s="1299">
        <v>6</v>
      </c>
      <c r="C27" s="330"/>
      <c r="D27" s="330"/>
      <c r="E27" s="330"/>
      <c r="F27" s="330"/>
    </row>
    <row r="28" spans="1:6" s="43" customFormat="1">
      <c r="A28" s="1300" t="s">
        <v>18</v>
      </c>
      <c r="B28" s="1301">
        <v>70450</v>
      </c>
      <c r="C28" s="336"/>
      <c r="D28" s="336"/>
      <c r="E28" s="336"/>
      <c r="F28" s="336"/>
    </row>
    <row r="29" spans="1:6">
      <c r="A29" s="1300" t="s">
        <v>705</v>
      </c>
      <c r="B29" s="1301">
        <v>35</v>
      </c>
      <c r="C29" s="336"/>
      <c r="D29" s="336"/>
      <c r="E29" s="336"/>
      <c r="F29" s="336"/>
    </row>
    <row r="30" spans="1:6">
      <c r="A30" s="1293" t="s">
        <v>706</v>
      </c>
      <c r="B30" s="1302">
        <v>25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12</v>
      </c>
      <c r="F36" s="1299">
        <v>153039</v>
      </c>
    </row>
    <row r="37" spans="1:6">
      <c r="A37" s="1298" t="s">
        <v>24</v>
      </c>
      <c r="B37" s="1298" t="s">
        <v>27</v>
      </c>
      <c r="C37" s="1299">
        <v>0</v>
      </c>
      <c r="D37" s="1299">
        <v>0</v>
      </c>
      <c r="E37" s="1299">
        <v>0</v>
      </c>
      <c r="F37" s="1299">
        <v>0</v>
      </c>
    </row>
    <row r="38" spans="1:6">
      <c r="A38" s="1298" t="s">
        <v>24</v>
      </c>
      <c r="B38" s="1298" t="s">
        <v>28</v>
      </c>
      <c r="C38" s="1299">
        <v>1</v>
      </c>
      <c r="D38" s="1299">
        <v>115933.802</v>
      </c>
      <c r="E38" s="1299">
        <v>0</v>
      </c>
      <c r="F38" s="1299">
        <v>0</v>
      </c>
    </row>
    <row r="39" spans="1:6">
      <c r="A39" s="1298" t="s">
        <v>29</v>
      </c>
      <c r="B39" s="1298" t="s">
        <v>30</v>
      </c>
      <c r="C39" s="1299">
        <v>9624</v>
      </c>
      <c r="D39" s="1299">
        <v>138569757.80000001</v>
      </c>
      <c r="E39" s="1299">
        <v>11993</v>
      </c>
      <c r="F39" s="1299">
        <v>36177604.100000001</v>
      </c>
    </row>
    <row r="40" spans="1:6">
      <c r="A40" s="1298" t="s">
        <v>29</v>
      </c>
      <c r="B40" s="1298" t="s">
        <v>28</v>
      </c>
      <c r="C40" s="1299">
        <v>1</v>
      </c>
      <c r="D40" s="1299">
        <v>27691.855</v>
      </c>
      <c r="E40" s="1299">
        <v>1</v>
      </c>
      <c r="F40" s="1299">
        <v>10889</v>
      </c>
    </row>
    <row r="41" spans="1:6">
      <c r="A41" s="1298" t="s">
        <v>31</v>
      </c>
      <c r="B41" s="1298" t="s">
        <v>32</v>
      </c>
      <c r="C41" s="1299">
        <v>226</v>
      </c>
      <c r="D41" s="1299">
        <v>8971850.7190000005</v>
      </c>
      <c r="E41" s="1299">
        <v>474</v>
      </c>
      <c r="F41" s="1299">
        <v>15553254.138</v>
      </c>
    </row>
    <row r="42" spans="1:6">
      <c r="A42" s="1298" t="s">
        <v>31</v>
      </c>
      <c r="B42" s="1298" t="s">
        <v>33</v>
      </c>
      <c r="C42" s="1299">
        <v>0</v>
      </c>
      <c r="D42" s="1299">
        <v>0</v>
      </c>
      <c r="E42" s="1299">
        <v>0</v>
      </c>
      <c r="F42" s="1299">
        <v>0</v>
      </c>
    </row>
    <row r="43" spans="1:6">
      <c r="A43" s="1298" t="s">
        <v>31</v>
      </c>
      <c r="B43" s="1298" t="s">
        <v>34</v>
      </c>
      <c r="C43" s="1299">
        <v>0</v>
      </c>
      <c r="D43" s="1299">
        <v>0</v>
      </c>
      <c r="E43" s="1299">
        <v>5</v>
      </c>
      <c r="F43" s="1299">
        <v>146233</v>
      </c>
    </row>
    <row r="44" spans="1:6">
      <c r="A44" s="1298" t="s">
        <v>31</v>
      </c>
      <c r="B44" s="1298" t="s">
        <v>35</v>
      </c>
      <c r="C44" s="1299">
        <v>18</v>
      </c>
      <c r="D44" s="1299">
        <v>1080205.9569999999</v>
      </c>
      <c r="E44" s="1299">
        <v>82</v>
      </c>
      <c r="F44" s="1299">
        <v>16478709</v>
      </c>
    </row>
    <row r="45" spans="1:6">
      <c r="A45" s="1298" t="s">
        <v>31</v>
      </c>
      <c r="B45" s="1298" t="s">
        <v>36</v>
      </c>
      <c r="C45" s="1299">
        <v>0</v>
      </c>
      <c r="D45" s="1299">
        <v>0</v>
      </c>
      <c r="E45" s="1299">
        <v>7</v>
      </c>
      <c r="F45" s="1299">
        <v>196273.33300000001</v>
      </c>
    </row>
    <row r="46" spans="1:6">
      <c r="A46" s="1298" t="s">
        <v>31</v>
      </c>
      <c r="B46" s="1298" t="s">
        <v>37</v>
      </c>
      <c r="C46" s="1299">
        <v>0</v>
      </c>
      <c r="D46" s="1299">
        <v>0</v>
      </c>
      <c r="E46" s="1299">
        <v>0</v>
      </c>
      <c r="F46" s="1299">
        <v>0</v>
      </c>
    </row>
    <row r="47" spans="1:6">
      <c r="A47" s="1298" t="s">
        <v>31</v>
      </c>
      <c r="B47" s="1298" t="s">
        <v>38</v>
      </c>
      <c r="C47" s="1299">
        <v>5</v>
      </c>
      <c r="D47" s="1299">
        <v>250416.826</v>
      </c>
      <c r="E47" s="1299">
        <v>8</v>
      </c>
      <c r="F47" s="1299">
        <v>101144</v>
      </c>
    </row>
    <row r="48" spans="1:6">
      <c r="A48" s="1298" t="s">
        <v>31</v>
      </c>
      <c r="B48" s="1298" t="s">
        <v>28</v>
      </c>
      <c r="C48" s="1299">
        <v>56</v>
      </c>
      <c r="D48" s="1299">
        <v>32023418.920000002</v>
      </c>
      <c r="E48" s="1299">
        <v>2</v>
      </c>
      <c r="F48" s="1299">
        <v>14571</v>
      </c>
    </row>
    <row r="49" spans="1:6">
      <c r="A49" s="1298" t="s">
        <v>31</v>
      </c>
      <c r="B49" s="1298" t="s">
        <v>39</v>
      </c>
      <c r="C49" s="1299">
        <v>3</v>
      </c>
      <c r="D49" s="1299">
        <v>144608.454</v>
      </c>
      <c r="E49" s="1299">
        <v>18</v>
      </c>
      <c r="F49" s="1299">
        <v>5849115</v>
      </c>
    </row>
    <row r="50" spans="1:6">
      <c r="A50" s="1298" t="s">
        <v>31</v>
      </c>
      <c r="B50" s="1298" t="s">
        <v>40</v>
      </c>
      <c r="C50" s="1299">
        <v>18</v>
      </c>
      <c r="D50" s="1299">
        <v>8356501.7340000002</v>
      </c>
      <c r="E50" s="1299">
        <v>44</v>
      </c>
      <c r="F50" s="1299">
        <v>40171315.25</v>
      </c>
    </row>
    <row r="51" spans="1:6">
      <c r="A51" s="1298" t="s">
        <v>41</v>
      </c>
      <c r="B51" s="1298" t="s">
        <v>42</v>
      </c>
      <c r="C51" s="1299">
        <v>17</v>
      </c>
      <c r="D51" s="1299">
        <v>11379075.630000001</v>
      </c>
      <c r="E51" s="1299">
        <v>90</v>
      </c>
      <c r="F51" s="1299">
        <v>2366442.8459999999</v>
      </c>
    </row>
    <row r="52" spans="1:6">
      <c r="A52" s="1298" t="s">
        <v>41</v>
      </c>
      <c r="B52" s="1298" t="s">
        <v>28</v>
      </c>
      <c r="C52" s="1299">
        <v>6</v>
      </c>
      <c r="D52" s="1299">
        <v>392780.99300000002</v>
      </c>
      <c r="E52" s="1299">
        <v>0</v>
      </c>
      <c r="F52" s="1299">
        <v>0</v>
      </c>
    </row>
    <row r="53" spans="1:6">
      <c r="A53" s="1298" t="s">
        <v>43</v>
      </c>
      <c r="B53" s="1298" t="s">
        <v>44</v>
      </c>
      <c r="C53" s="1299">
        <v>190</v>
      </c>
      <c r="D53" s="1299">
        <v>2949417.66</v>
      </c>
      <c r="E53" s="1299">
        <v>250</v>
      </c>
      <c r="F53" s="1299">
        <v>1059545.905</v>
      </c>
    </row>
    <row r="54" spans="1:6">
      <c r="A54" s="1298" t="s">
        <v>45</v>
      </c>
      <c r="B54" s="1298" t="s">
        <v>46</v>
      </c>
      <c r="C54" s="1299">
        <v>0</v>
      </c>
      <c r="D54" s="1299">
        <v>0</v>
      </c>
      <c r="E54" s="1299">
        <v>1</v>
      </c>
      <c r="F54" s="1299">
        <v>2530063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88</v>
      </c>
      <c r="D57" s="1299">
        <v>4736839.7290000003</v>
      </c>
      <c r="E57" s="1299">
        <v>173</v>
      </c>
      <c r="F57" s="1299">
        <v>2835234.909</v>
      </c>
    </row>
    <row r="58" spans="1:6">
      <c r="A58" s="1298" t="s">
        <v>48</v>
      </c>
      <c r="B58" s="1298" t="s">
        <v>50</v>
      </c>
      <c r="C58" s="1299">
        <v>71</v>
      </c>
      <c r="D58" s="1299">
        <v>8100951.6859999998</v>
      </c>
      <c r="E58" s="1299">
        <v>103</v>
      </c>
      <c r="F58" s="1299">
        <v>5033258</v>
      </c>
    </row>
    <row r="59" spans="1:6">
      <c r="A59" s="1298" t="s">
        <v>48</v>
      </c>
      <c r="B59" s="1298" t="s">
        <v>51</v>
      </c>
      <c r="C59" s="1299">
        <v>219</v>
      </c>
      <c r="D59" s="1299">
        <v>8936614.2420000006</v>
      </c>
      <c r="E59" s="1299">
        <v>467</v>
      </c>
      <c r="F59" s="1299">
        <v>16591452.796</v>
      </c>
    </row>
    <row r="60" spans="1:6">
      <c r="A60" s="1298" t="s">
        <v>48</v>
      </c>
      <c r="B60" s="1298" t="s">
        <v>52</v>
      </c>
      <c r="C60" s="1299">
        <v>111</v>
      </c>
      <c r="D60" s="1299">
        <v>4268716.66</v>
      </c>
      <c r="E60" s="1299">
        <v>150</v>
      </c>
      <c r="F60" s="1299">
        <v>3221239.2689999999</v>
      </c>
    </row>
    <row r="61" spans="1:6">
      <c r="A61" s="1298" t="s">
        <v>48</v>
      </c>
      <c r="B61" s="1298" t="s">
        <v>53</v>
      </c>
      <c r="C61" s="1299">
        <v>256</v>
      </c>
      <c r="D61" s="1299">
        <v>7699444.824</v>
      </c>
      <c r="E61" s="1299">
        <v>473</v>
      </c>
      <c r="F61" s="1299">
        <v>4668101.8990000002</v>
      </c>
    </row>
    <row r="62" spans="1:6">
      <c r="A62" s="1298" t="s">
        <v>48</v>
      </c>
      <c r="B62" s="1298" t="s">
        <v>54</v>
      </c>
      <c r="C62" s="1299">
        <v>34</v>
      </c>
      <c r="D62" s="1299">
        <v>4910801.801</v>
      </c>
      <c r="E62" s="1299">
        <v>35</v>
      </c>
      <c r="F62" s="1299">
        <v>1127719.162</v>
      </c>
    </row>
    <row r="63" spans="1:6">
      <c r="A63" s="1298" t="s">
        <v>48</v>
      </c>
      <c r="B63" s="1298" t="s">
        <v>28</v>
      </c>
      <c r="C63" s="1299">
        <v>84</v>
      </c>
      <c r="D63" s="1299">
        <v>3999528.3029999998</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124565.351</v>
      </c>
      <c r="E65" s="1299">
        <v>0</v>
      </c>
      <c r="F65" s="1299">
        <v>0</v>
      </c>
    </row>
    <row r="66" spans="1:6">
      <c r="A66" s="1298" t="s">
        <v>55</v>
      </c>
      <c r="B66" s="1298" t="s">
        <v>57</v>
      </c>
      <c r="C66" s="1299">
        <v>0</v>
      </c>
      <c r="D66" s="1299">
        <v>0</v>
      </c>
      <c r="E66" s="1299">
        <v>11</v>
      </c>
      <c r="F66" s="1299">
        <v>530914.30700000003</v>
      </c>
    </row>
    <row r="67" spans="1:6">
      <c r="A67" s="1300" t="s">
        <v>55</v>
      </c>
      <c r="B67" s="1300" t="s">
        <v>58</v>
      </c>
      <c r="C67" s="1299">
        <v>43</v>
      </c>
      <c r="D67" s="1299">
        <v>5191820.3660000004</v>
      </c>
      <c r="E67" s="1299">
        <v>96</v>
      </c>
      <c r="F67" s="1299">
        <v>1747238</v>
      </c>
    </row>
    <row r="68" spans="1:6">
      <c r="A68" s="1293" t="s">
        <v>55</v>
      </c>
      <c r="B68" s="1293" t="s">
        <v>59</v>
      </c>
      <c r="C68" s="1302">
        <v>11</v>
      </c>
      <c r="D68" s="1302">
        <v>753782.21</v>
      </c>
      <c r="E68" s="1302">
        <v>26</v>
      </c>
      <c r="F68" s="1302">
        <v>554940.9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82993497</v>
      </c>
      <c r="E73" s="450"/>
      <c r="F73" s="330"/>
    </row>
    <row r="74" spans="1:6">
      <c r="A74" s="1298" t="s">
        <v>63</v>
      </c>
      <c r="B74" s="1298" t="s">
        <v>647</v>
      </c>
      <c r="C74" s="1312" t="s">
        <v>649</v>
      </c>
      <c r="D74" s="1313">
        <v>8242596.5</v>
      </c>
      <c r="E74" s="450"/>
      <c r="F74" s="330"/>
    </row>
    <row r="75" spans="1:6">
      <c r="A75" s="1298" t="s">
        <v>64</v>
      </c>
      <c r="B75" s="1298" t="s">
        <v>646</v>
      </c>
      <c r="C75" s="1312" t="s">
        <v>650</v>
      </c>
      <c r="D75" s="1313">
        <v>72995881</v>
      </c>
      <c r="E75" s="450"/>
      <c r="F75" s="330"/>
    </row>
    <row r="76" spans="1:6">
      <c r="A76" s="1298" t="s">
        <v>64</v>
      </c>
      <c r="B76" s="1298" t="s">
        <v>647</v>
      </c>
      <c r="C76" s="1312" t="s">
        <v>651</v>
      </c>
      <c r="D76" s="1313">
        <v>4698273.5</v>
      </c>
      <c r="E76" s="450"/>
      <c r="F76" s="330"/>
    </row>
    <row r="77" spans="1:6">
      <c r="A77" s="1298" t="s">
        <v>65</v>
      </c>
      <c r="B77" s="1298" t="s">
        <v>646</v>
      </c>
      <c r="C77" s="1312" t="s">
        <v>652</v>
      </c>
      <c r="D77" s="1313">
        <v>45047123</v>
      </c>
      <c r="E77" s="450"/>
      <c r="F77" s="330"/>
    </row>
    <row r="78" spans="1:6">
      <c r="A78" s="1293" t="s">
        <v>65</v>
      </c>
      <c r="B78" s="1293" t="s">
        <v>647</v>
      </c>
      <c r="C78" s="1293" t="s">
        <v>653</v>
      </c>
      <c r="D78" s="1314">
        <v>7506605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179047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22287.904640975485</v>
      </c>
      <c r="C90" s="330"/>
      <c r="D90" s="330"/>
      <c r="E90" s="330"/>
      <c r="F90" s="330"/>
    </row>
    <row r="91" spans="1:6">
      <c r="A91" s="1298" t="s">
        <v>67</v>
      </c>
      <c r="B91" s="1299">
        <v>5691.8668173148953</v>
      </c>
      <c r="C91" s="330"/>
      <c r="D91" s="330"/>
      <c r="E91" s="330"/>
      <c r="F91" s="330"/>
    </row>
    <row r="92" spans="1:6">
      <c r="A92" s="1293" t="s">
        <v>68</v>
      </c>
      <c r="B92" s="1294">
        <v>2774.5210938340224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6493</v>
      </c>
      <c r="C97" s="330"/>
      <c r="D97" s="330"/>
      <c r="E97" s="330"/>
      <c r="F97" s="330"/>
    </row>
    <row r="98" spans="1:6">
      <c r="A98" s="1298" t="s">
        <v>71</v>
      </c>
      <c r="B98" s="1299">
        <v>1</v>
      </c>
      <c r="C98" s="330"/>
      <c r="D98" s="330"/>
      <c r="E98" s="330"/>
      <c r="F98" s="330"/>
    </row>
    <row r="99" spans="1:6">
      <c r="A99" s="1298" t="s">
        <v>72</v>
      </c>
      <c r="B99" s="1299">
        <v>111</v>
      </c>
      <c r="C99" s="330"/>
      <c r="D99" s="330"/>
      <c r="E99" s="330"/>
      <c r="F99" s="330"/>
    </row>
    <row r="100" spans="1:6">
      <c r="A100" s="1298" t="s">
        <v>73</v>
      </c>
      <c r="B100" s="1299">
        <v>642</v>
      </c>
      <c r="C100" s="330"/>
      <c r="D100" s="330"/>
      <c r="E100" s="330"/>
      <c r="F100" s="330"/>
    </row>
    <row r="101" spans="1:6">
      <c r="A101" s="1298" t="s">
        <v>74</v>
      </c>
      <c r="B101" s="1299">
        <v>159</v>
      </c>
      <c r="C101" s="330"/>
      <c r="D101" s="330"/>
      <c r="E101" s="330"/>
      <c r="F101" s="330"/>
    </row>
    <row r="102" spans="1:6">
      <c r="A102" s="1298" t="s">
        <v>75</v>
      </c>
      <c r="B102" s="1299">
        <v>177</v>
      </c>
      <c r="C102" s="330"/>
      <c r="D102" s="330"/>
      <c r="E102" s="330"/>
      <c r="F102" s="330"/>
    </row>
    <row r="103" spans="1:6">
      <c r="A103" s="1298" t="s">
        <v>76</v>
      </c>
      <c r="B103" s="1299">
        <v>221</v>
      </c>
      <c r="C103" s="330"/>
      <c r="D103" s="330"/>
      <c r="E103" s="330"/>
      <c r="F103" s="330"/>
    </row>
    <row r="104" spans="1:6">
      <c r="A104" s="1298" t="s">
        <v>77</v>
      </c>
      <c r="B104" s="1299">
        <v>2623</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0</v>
      </c>
      <c r="C122" s="1299">
        <v>0</v>
      </c>
      <c r="D122" s="330"/>
      <c r="E122" s="330"/>
      <c r="F122" s="330"/>
    </row>
    <row r="123" spans="1:6">
      <c r="A123" s="1298" t="s">
        <v>87</v>
      </c>
      <c r="B123" s="1299">
        <v>24</v>
      </c>
      <c r="C123" s="1299">
        <v>35</v>
      </c>
      <c r="D123" s="330"/>
      <c r="E123" s="330"/>
      <c r="F123" s="330"/>
    </row>
    <row r="124" spans="1:6" s="43" customFormat="1">
      <c r="A124" s="1300" t="s">
        <v>88</v>
      </c>
      <c r="B124" s="1321">
        <v>0</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359</v>
      </c>
      <c r="C129" s="330"/>
      <c r="D129" s="330"/>
      <c r="E129" s="330"/>
      <c r="F129" s="330"/>
    </row>
    <row r="130" spans="1:6">
      <c r="A130" s="1298" t="s">
        <v>294</v>
      </c>
      <c r="B130" s="1299">
        <v>6</v>
      </c>
      <c r="C130" s="330"/>
      <c r="D130" s="330"/>
      <c r="E130" s="330"/>
      <c r="F130" s="330"/>
    </row>
    <row r="131" spans="1:6">
      <c r="A131" s="1298" t="s">
        <v>295</v>
      </c>
      <c r="B131" s="1299">
        <v>3</v>
      </c>
      <c r="C131" s="330"/>
      <c r="D131" s="330"/>
      <c r="E131" s="330"/>
      <c r="F131" s="330"/>
    </row>
    <row r="132" spans="1:6">
      <c r="A132" s="1293" t="s">
        <v>296</v>
      </c>
      <c r="B132" s="1294">
        <v>15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159920.18038978663</v>
      </c>
      <c r="C3" s="43" t="s">
        <v>169</v>
      </c>
      <c r="D3" s="43"/>
      <c r="E3" s="154"/>
      <c r="F3" s="43"/>
      <c r="G3" s="43"/>
      <c r="H3" s="43"/>
      <c r="I3" s="43"/>
      <c r="J3" s="43"/>
      <c r="K3" s="96"/>
    </row>
    <row r="4" spans="1:11">
      <c r="A4" s="358" t="s">
        <v>170</v>
      </c>
      <c r="B4" s="49">
        <f>IF(ISERROR('SEAP template'!B78+'SEAP template'!C78),0,'SEAP template'!B78+'SEAP template'!C78)</f>
        <v>34507.292552124403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891.88941176470587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0.17889010351388479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1274.127731092437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5361.4285714285716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2530.0630000000001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2530.0630000000001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0.17889010351388479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452.6032319666499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36188.4931</v>
      </c>
      <c r="C5" s="17">
        <f>IF(ISERROR('Eigen informatie GS &amp; warmtenet'!B59),0,'Eigen informatie GS &amp; warmtenet'!B59)</f>
        <v>0</v>
      </c>
      <c r="D5" s="30">
        <f>(SUM(HH_hh_gas_kWh,HH_rest_gas_kWh)/1000)*0.902</f>
        <v>125014.89958881</v>
      </c>
      <c r="E5" s="17">
        <f>B46*B57</f>
        <v>16360.477268654711</v>
      </c>
      <c r="F5" s="17">
        <f>B51*B62</f>
        <v>0</v>
      </c>
      <c r="G5" s="18"/>
      <c r="H5" s="17"/>
      <c r="I5" s="17"/>
      <c r="J5" s="17">
        <f>B50*B61+C50*C61</f>
        <v>0</v>
      </c>
      <c r="K5" s="17"/>
      <c r="L5" s="17"/>
      <c r="M5" s="17"/>
      <c r="N5" s="17">
        <f>B48*B59+C48*C59</f>
        <v>29240.366238602022</v>
      </c>
      <c r="O5" s="17">
        <f>B69*B70*B71</f>
        <v>789.6153713160387</v>
      </c>
      <c r="P5" s="17">
        <f>B77*B78*B79/1000-B77*B78*B79/1000/B80</f>
        <v>410.82441299971589</v>
      </c>
    </row>
    <row r="6" spans="1:16">
      <c r="A6" s="16" t="s">
        <v>611</v>
      </c>
      <c r="B6" s="783">
        <f>kWh_PV_kleiner_dan_10kW</f>
        <v>5691.8668173148953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41880.359917314898</v>
      </c>
      <c r="C8" s="21">
        <f>C5</f>
        <v>0</v>
      </c>
      <c r="D8" s="21">
        <f>D5</f>
        <v>125014.89958881</v>
      </c>
      <c r="E8" s="21">
        <f>E5</f>
        <v>16360.477268654711</v>
      </c>
      <c r="F8" s="21">
        <f>F5</f>
        <v>0</v>
      </c>
      <c r="G8" s="21"/>
      <c r="H8" s="21"/>
      <c r="I8" s="21"/>
      <c r="J8" s="21">
        <f>J5</f>
        <v>0</v>
      </c>
      <c r="K8" s="21"/>
      <c r="L8" s="21">
        <f>L5</f>
        <v>0</v>
      </c>
      <c r="M8" s="21">
        <f>M5</f>
        <v>0</v>
      </c>
      <c r="N8" s="21">
        <f>N5</f>
        <v>29240.366238602022</v>
      </c>
      <c r="O8" s="21">
        <f>O5</f>
        <v>789.6153713160387</v>
      </c>
      <c r="P8" s="21">
        <f>P5</f>
        <v>410.82441299971589</v>
      </c>
    </row>
    <row r="9" spans="1:16">
      <c r="B9" s="19"/>
      <c r="C9" s="19"/>
      <c r="D9" s="258"/>
      <c r="E9" s="19"/>
      <c r="F9" s="19"/>
      <c r="G9" s="19"/>
      <c r="H9" s="19"/>
      <c r="I9" s="19"/>
      <c r="J9" s="19"/>
      <c r="K9" s="19"/>
      <c r="L9" s="19"/>
      <c r="M9" s="19"/>
      <c r="N9" s="19"/>
      <c r="O9" s="19"/>
      <c r="P9" s="19"/>
    </row>
    <row r="10" spans="1:16">
      <c r="A10" s="24" t="s">
        <v>213</v>
      </c>
      <c r="B10" s="25">
        <f ca="1">'EF ele_warmte'!B12</f>
        <v>0.17889010351388479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7491.9819208072131</v>
      </c>
      <c r="C12" s="23">
        <f ca="1">C10*C8</f>
        <v>0</v>
      </c>
      <c r="D12" s="23">
        <f>D8*D10</f>
        <v>25253.009716939621</v>
      </c>
      <c r="E12" s="23">
        <f>E10*E8</f>
        <v>3713.8283399846196</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6493</v>
      </c>
      <c r="C18" s="166" t="s">
        <v>110</v>
      </c>
      <c r="D18" s="228"/>
      <c r="E18" s="15"/>
    </row>
    <row r="19" spans="1:7">
      <c r="A19" s="171" t="s">
        <v>71</v>
      </c>
      <c r="B19" s="37">
        <f>aantalw2001_ander</f>
        <v>1</v>
      </c>
      <c r="C19" s="166" t="s">
        <v>110</v>
      </c>
      <c r="D19" s="229"/>
      <c r="E19" s="15"/>
    </row>
    <row r="20" spans="1:7">
      <c r="A20" s="171" t="s">
        <v>72</v>
      </c>
      <c r="B20" s="37">
        <f>aantalw2001_propaan</f>
        <v>111</v>
      </c>
      <c r="C20" s="167">
        <f>IF(ISERROR(B20/SUM($B$20,$B$21,$B$22)*100),0,B20/SUM($B$20,$B$21,$B$22)*100)</f>
        <v>12.171052631578947</v>
      </c>
      <c r="D20" s="229"/>
      <c r="E20" s="15"/>
    </row>
    <row r="21" spans="1:7">
      <c r="A21" s="171" t="s">
        <v>73</v>
      </c>
      <c r="B21" s="37">
        <f>aantalw2001_elektriciteit</f>
        <v>642</v>
      </c>
      <c r="C21" s="167">
        <f>IF(ISERROR(B21/SUM($B$20,$B$21,$B$22)*100),0,B21/SUM($B$20,$B$21,$B$22)*100)</f>
        <v>70.39473684210526</v>
      </c>
      <c r="D21" s="229"/>
      <c r="E21" s="15"/>
    </row>
    <row r="22" spans="1:7">
      <c r="A22" s="171" t="s">
        <v>74</v>
      </c>
      <c r="B22" s="37">
        <f>aantalw2001_hout</f>
        <v>159</v>
      </c>
      <c r="C22" s="167">
        <f>IF(ISERROR(B22/SUM($B$20,$B$21,$B$22)*100),0,B22/SUM($B$20,$B$21,$B$22)*100)</f>
        <v>17.434210526315788</v>
      </c>
      <c r="D22" s="229"/>
      <c r="E22" s="15"/>
    </row>
    <row r="23" spans="1:7">
      <c r="A23" s="171" t="s">
        <v>75</v>
      </c>
      <c r="B23" s="37">
        <f>aantalw2001_niet_gespec</f>
        <v>177</v>
      </c>
      <c r="C23" s="166" t="s">
        <v>110</v>
      </c>
      <c r="D23" s="228"/>
      <c r="E23" s="15"/>
    </row>
    <row r="24" spans="1:7">
      <c r="A24" s="171" t="s">
        <v>76</v>
      </c>
      <c r="B24" s="37">
        <f>aantalw2001_steenkool</f>
        <v>221</v>
      </c>
      <c r="C24" s="166" t="s">
        <v>110</v>
      </c>
      <c r="D24" s="229"/>
      <c r="E24" s="15"/>
    </row>
    <row r="25" spans="1:7">
      <c r="A25" s="171" t="s">
        <v>77</v>
      </c>
      <c r="B25" s="37">
        <f>aantalw2001_stookolie</f>
        <v>2623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12138</v>
      </c>
      <c r="C28" s="36"/>
      <c r="D28" s="228"/>
    </row>
    <row r="29" spans="1:7" s="15" customFormat="1">
      <c r="A29" s="230" t="s">
        <v>819</v>
      </c>
      <c r="B29" s="37">
        <f>SUM(HH_hh_gas_aantal,HH_rest_gas_aantal)</f>
        <v>9625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9625</v>
      </c>
      <c r="C32" s="167">
        <f>IF(ISERROR(B32/SUM($B$32,$B$34,$B$35,$B$36,$B$38,$B$39)*100),0,B32/SUM($B$32,$B$34,$B$35,$B$36,$B$38,$B$39)*100)</f>
        <v>79.552029093313493</v>
      </c>
      <c r="D32" s="233"/>
      <c r="G32" s="15"/>
    </row>
    <row r="33" spans="1:7">
      <c r="A33" s="171" t="s">
        <v>71</v>
      </c>
      <c r="B33" s="34" t="s">
        <v>110</v>
      </c>
      <c r="C33" s="167"/>
      <c r="D33" s="233"/>
      <c r="G33" s="15"/>
    </row>
    <row r="34" spans="1:7">
      <c r="A34" s="171" t="s">
        <v>72</v>
      </c>
      <c r="B34" s="33">
        <f>IF((($B$28-$B$32-$B$39-$B$77-$B$38)*C20/100)&lt;0,0,($B$28-$B$32-$B$39-$B$77-$B$38)*C20/100)</f>
        <v>301.11184210526312</v>
      </c>
      <c r="C34" s="167">
        <f>IF(ISERROR(B34/SUM($B$32,$B$34,$B$35,$B$36,$B$38,$B$39)*100),0,B34/SUM($B$32,$B$34,$B$35,$B$36,$B$38,$B$39)*100)</f>
        <v>2.4887333011427648</v>
      </c>
      <c r="D34" s="233"/>
      <c r="G34" s="15"/>
    </row>
    <row r="35" spans="1:7">
      <c r="A35" s="171" t="s">
        <v>73</v>
      </c>
      <c r="B35" s="33">
        <f>IF((($B$28-$B$32-$B$39-$B$77-$B$38)*C21/100)&lt;0,0,($B$28-$B$32-$B$39-$B$77-$B$38)*C21/100)</f>
        <v>1741.5657894736842</v>
      </c>
      <c r="C35" s="167">
        <f>IF(ISERROR(B35/SUM($B$32,$B$34,$B$35,$B$36,$B$38,$B$39)*100),0,B35/SUM($B$32,$B$34,$B$35,$B$36,$B$38,$B$39)*100)</f>
        <v>14.394295309312207</v>
      </c>
      <c r="D35" s="233"/>
      <c r="G35" s="15"/>
    </row>
    <row r="36" spans="1:7">
      <c r="A36" s="171" t="s">
        <v>74</v>
      </c>
      <c r="B36" s="33">
        <f>IF((($B$28-$B$32-$B$39-$B$77-$B$38)*C22/100)&lt;0,0,($B$28-$B$32-$B$39-$B$77-$B$38)*C22/100)</f>
        <v>431.3223684210526</v>
      </c>
      <c r="C36" s="167">
        <f>IF(ISERROR(B36/SUM($B$32,$B$34,$B$35,$B$36,$B$38,$B$39)*100),0,B36/SUM($B$32,$B$34,$B$35,$B$36,$B$38,$B$39)*100)</f>
        <v>3.5649422962315285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9625</v>
      </c>
      <c r="C44" s="34" t="s">
        <v>110</v>
      </c>
      <c r="D44" s="174"/>
    </row>
    <row r="45" spans="1:7">
      <c r="A45" s="171" t="s">
        <v>71</v>
      </c>
      <c r="B45" s="33" t="str">
        <f t="shared" si="0"/>
        <v>-</v>
      </c>
      <c r="C45" s="34" t="s">
        <v>110</v>
      </c>
      <c r="D45" s="174"/>
    </row>
    <row r="46" spans="1:7">
      <c r="A46" s="171" t="s">
        <v>72</v>
      </c>
      <c r="B46" s="33">
        <f t="shared" si="0"/>
        <v>301.11184210526312</v>
      </c>
      <c r="C46" s="34" t="s">
        <v>110</v>
      </c>
      <c r="D46" s="174"/>
    </row>
    <row r="47" spans="1:7">
      <c r="A47" s="171" t="s">
        <v>73</v>
      </c>
      <c r="B47" s="33">
        <f t="shared" si="0"/>
        <v>1741.5657894736842</v>
      </c>
      <c r="C47" s="34" t="s">
        <v>110</v>
      </c>
      <c r="D47" s="174"/>
    </row>
    <row r="48" spans="1:7">
      <c r="A48" s="171" t="s">
        <v>74</v>
      </c>
      <c r="B48" s="33">
        <f t="shared" si="0"/>
        <v>431.3223684210526</v>
      </c>
      <c r="C48" s="33">
        <f>B48*10</f>
        <v>4313.2236842105258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398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33477.006034999999</v>
      </c>
      <c r="C5" s="17">
        <f>IF(ISERROR('Eigen informatie GS &amp; warmtenet'!B60),0,'Eigen informatie GS &amp; warmtenet'!B60)</f>
        <v>0</v>
      </c>
      <c r="D5" s="30">
        <f>SUM(D6:D12)</f>
        <v>38472.913314990001</v>
      </c>
      <c r="E5" s="17">
        <f>SUM(E6:E12)</f>
        <v>559.9837665925271</v>
      </c>
      <c r="F5" s="17">
        <f>SUM(F6:F12)</f>
        <v>3531.0670743309115</v>
      </c>
      <c r="G5" s="18"/>
      <c r="H5" s="17"/>
      <c r="I5" s="17"/>
      <c r="J5" s="17">
        <f>SUM(J6:J12)</f>
        <v>4.8131102689323385E-2</v>
      </c>
      <c r="K5" s="17"/>
      <c r="L5" s="17"/>
      <c r="M5" s="17"/>
      <c r="N5" s="17">
        <f>SUM(N6:N12)</f>
        <v>1926.9399141719127</v>
      </c>
      <c r="O5" s="17">
        <f>B38*B39*B40</f>
        <v>29.383564595046927</v>
      </c>
      <c r="P5" s="17">
        <f>B46*B47*B48/1000-B46*B47*B48/1000/B49</f>
        <v>315.23482983897009</v>
      </c>
      <c r="R5" s="32"/>
    </row>
    <row r="6" spans="1:18">
      <c r="A6" s="32" t="s">
        <v>53</v>
      </c>
      <c r="B6" s="37">
        <f>B26</f>
        <v>4668.1018990000002</v>
      </c>
      <c r="C6" s="33"/>
      <c r="D6" s="37">
        <f>IF(ISERROR(TER_kantoor_gas_kWh/1000),0,TER_kantoor_gas_kWh/1000)*0.902</f>
        <v>6944.8992312480004</v>
      </c>
      <c r="E6" s="33">
        <f>$C$26*'E Balans VL '!I12/100/3.6*1000000</f>
        <v>37.562719269869675</v>
      </c>
      <c r="F6" s="33">
        <f>$C$26*('E Balans VL '!L12+'E Balans VL '!N12)/100/3.6*1000000</f>
        <v>570.72456401253919</v>
      </c>
      <c r="G6" s="34"/>
      <c r="H6" s="33"/>
      <c r="I6" s="33"/>
      <c r="J6" s="33">
        <f>$C$26*('E Balans VL '!D12+'E Balans VL '!E12)/100/3.6*1000000</f>
        <v>0</v>
      </c>
      <c r="K6" s="33"/>
      <c r="L6" s="33"/>
      <c r="M6" s="33"/>
      <c r="N6" s="33">
        <f>$C$26*'E Balans VL '!Y12/100/3.6*1000000</f>
        <v>2.5088748915748273</v>
      </c>
      <c r="O6" s="33"/>
      <c r="P6" s="33"/>
      <c r="R6" s="32"/>
    </row>
    <row r="7" spans="1:18">
      <c r="A7" s="32" t="s">
        <v>52</v>
      </c>
      <c r="B7" s="37">
        <f t="shared" ref="B7:B12" si="0">B27</f>
        <v>3221.2392689999997</v>
      </c>
      <c r="C7" s="33"/>
      <c r="D7" s="37">
        <f>IF(ISERROR(TER_horeca_gas_kWh/1000),0,TER_horeca_gas_kWh/1000)*0.902</f>
        <v>3850.3824273200003</v>
      </c>
      <c r="E7" s="33">
        <f>$C$27*'E Balans VL '!I9/100/3.6*1000000</f>
        <v>34.588199768303575</v>
      </c>
      <c r="F7" s="33">
        <f>$C$27*('E Balans VL '!L9+'E Balans VL '!N9)/100/3.6*1000000</f>
        <v>387.43697321953528</v>
      </c>
      <c r="G7" s="34"/>
      <c r="H7" s="33"/>
      <c r="I7" s="33"/>
      <c r="J7" s="33">
        <f>$C$27*('E Balans VL '!D9+'E Balans VL '!E9)/100/3.6*1000000</f>
        <v>0</v>
      </c>
      <c r="K7" s="33"/>
      <c r="L7" s="33"/>
      <c r="M7" s="33"/>
      <c r="N7" s="33">
        <f>$C$27*'E Balans VL '!Y9/100/3.6*1000000</f>
        <v>0.48292905336336456</v>
      </c>
      <c r="O7" s="33"/>
      <c r="P7" s="33"/>
      <c r="R7" s="32"/>
    </row>
    <row r="8" spans="1:18">
      <c r="A8" s="6" t="s">
        <v>51</v>
      </c>
      <c r="B8" s="37">
        <f t="shared" si="0"/>
        <v>16591.452796000001</v>
      </c>
      <c r="C8" s="33"/>
      <c r="D8" s="37">
        <f>IF(ISERROR(TER_handel_gas_kWh/1000),0,TER_handel_gas_kWh/1000)*0.902</f>
        <v>8060.8260462839999</v>
      </c>
      <c r="E8" s="33">
        <f>$C$28*'E Balans VL '!I13/100/3.6*1000000</f>
        <v>445.26379880464953</v>
      </c>
      <c r="F8" s="33">
        <f>$C$28*('E Balans VL '!L13+'E Balans VL '!N13)/100/3.6*1000000</f>
        <v>1583.3359584989098</v>
      </c>
      <c r="G8" s="34"/>
      <c r="H8" s="33"/>
      <c r="I8" s="33"/>
      <c r="J8" s="33">
        <f>$C$28*('E Balans VL '!D13+'E Balans VL '!E13)/100/3.6*1000000</f>
        <v>0</v>
      </c>
      <c r="K8" s="33"/>
      <c r="L8" s="33"/>
      <c r="M8" s="33"/>
      <c r="N8" s="33">
        <f>$C$28*'E Balans VL '!Y13/100/3.6*1000000</f>
        <v>6.577040539548376</v>
      </c>
      <c r="O8" s="33"/>
      <c r="P8" s="33"/>
      <c r="R8" s="32"/>
    </row>
    <row r="9" spans="1:18">
      <c r="A9" s="32" t="s">
        <v>50</v>
      </c>
      <c r="B9" s="37">
        <f t="shared" si="0"/>
        <v>5033.2579999999998</v>
      </c>
      <c r="C9" s="33"/>
      <c r="D9" s="37">
        <f>IF(ISERROR(TER_gezond_gas_kWh/1000),0,TER_gezond_gas_kWh/1000)*0.902</f>
        <v>7307.0584207719994</v>
      </c>
      <c r="E9" s="33">
        <f>$C$29*'E Balans VL '!I10/100/3.6*1000000</f>
        <v>9.4339643919720615</v>
      </c>
      <c r="F9" s="33">
        <f>$C$29*('E Balans VL '!L10+'E Balans VL '!N10)/100/3.6*1000000</f>
        <v>413.77973254058122</v>
      </c>
      <c r="G9" s="34"/>
      <c r="H9" s="33"/>
      <c r="I9" s="33"/>
      <c r="J9" s="33">
        <f>$C$29*('E Balans VL '!D10+'E Balans VL '!E10)/100/3.6*1000000</f>
        <v>0</v>
      </c>
      <c r="K9" s="33"/>
      <c r="L9" s="33"/>
      <c r="M9" s="33"/>
      <c r="N9" s="33">
        <f>$C$29*'E Balans VL '!Y10/100/3.6*1000000</f>
        <v>39.162502590062815</v>
      </c>
      <c r="O9" s="33"/>
      <c r="P9" s="33"/>
      <c r="R9" s="32"/>
    </row>
    <row r="10" spans="1:18">
      <c r="A10" s="32" t="s">
        <v>49</v>
      </c>
      <c r="B10" s="37">
        <f t="shared" si="0"/>
        <v>2835.2349089999998</v>
      </c>
      <c r="C10" s="33"/>
      <c r="D10" s="37">
        <f>IF(ISERROR(TER_ander_gas_kWh/1000),0,TER_ander_gas_kWh/1000)*0.902</f>
        <v>4272.6294355580003</v>
      </c>
      <c r="E10" s="33">
        <f>$C$30*'E Balans VL '!I14/100/3.6*1000000</f>
        <v>4.3705433412149324</v>
      </c>
      <c r="F10" s="33">
        <f>$C$30*('E Balans VL '!L14+'E Balans VL '!N14)/100/3.6*1000000</f>
        <v>440.17100233187904</v>
      </c>
      <c r="G10" s="34"/>
      <c r="H10" s="33"/>
      <c r="I10" s="33"/>
      <c r="J10" s="33">
        <f>$C$30*('E Balans VL '!D14+'E Balans VL '!E14)/100/3.6*1000000</f>
        <v>4.8131102689323385E-2</v>
      </c>
      <c r="K10" s="33"/>
      <c r="L10" s="33"/>
      <c r="M10" s="33"/>
      <c r="N10" s="33">
        <f>$C$30*'E Balans VL '!Y14/100/3.6*1000000</f>
        <v>1875.7005471976599</v>
      </c>
      <c r="O10" s="33"/>
      <c r="P10" s="33"/>
      <c r="R10" s="32"/>
    </row>
    <row r="11" spans="1:18">
      <c r="A11" s="32" t="s">
        <v>54</v>
      </c>
      <c r="B11" s="37">
        <f t="shared" si="0"/>
        <v>1127.7191620000001</v>
      </c>
      <c r="C11" s="33"/>
      <c r="D11" s="37">
        <f>IF(ISERROR(TER_onderwijs_gas_kWh/1000),0,TER_onderwijs_gas_kWh/1000)*0.902</f>
        <v>4429.5432245020002</v>
      </c>
      <c r="E11" s="33">
        <f>$C$31*'E Balans VL '!I11/100/3.6*1000000</f>
        <v>28.764541016517427</v>
      </c>
      <c r="F11" s="33">
        <f>$C$31*('E Balans VL '!L11+'E Balans VL '!N11)/100/3.6*1000000</f>
        <v>135.61884372746692</v>
      </c>
      <c r="G11" s="34"/>
      <c r="H11" s="33"/>
      <c r="I11" s="33"/>
      <c r="J11" s="33">
        <f>$C$31*('E Balans VL '!D11+'E Balans VL '!E11)/100/3.6*1000000</f>
        <v>0</v>
      </c>
      <c r="K11" s="33"/>
      <c r="L11" s="33"/>
      <c r="M11" s="33"/>
      <c r="N11" s="33">
        <f>$C$31*'E Balans VL '!Y11/100/3.6*1000000</f>
        <v>2.5080198997033456</v>
      </c>
      <c r="O11" s="33"/>
      <c r="P11" s="33"/>
      <c r="R11" s="32"/>
    </row>
    <row r="12" spans="1:18">
      <c r="A12" s="32" t="s">
        <v>259</v>
      </c>
      <c r="B12" s="37">
        <f t="shared" si="0"/>
        <v>0</v>
      </c>
      <c r="C12" s="33"/>
      <c r="D12" s="37">
        <f>IF(ISERROR(TER_rest_gas_kWh/1000),0,TER_rest_gas_kWh/1000)*0.902</f>
        <v>3607.5745293059999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33477.006034999999</v>
      </c>
      <c r="C16" s="21">
        <f t="shared" ca="1" si="1"/>
        <v>0</v>
      </c>
      <c r="D16" s="21">
        <f t="shared" ca="1" si="1"/>
        <v>38472.913314990001</v>
      </c>
      <c r="E16" s="21">
        <f t="shared" si="1"/>
        <v>559.9837665925271</v>
      </c>
      <c r="F16" s="21">
        <f t="shared" ca="1" si="1"/>
        <v>3531.0670743309115</v>
      </c>
      <c r="G16" s="21">
        <f t="shared" si="1"/>
        <v>0</v>
      </c>
      <c r="H16" s="21">
        <f t="shared" si="1"/>
        <v>0</v>
      </c>
      <c r="I16" s="21">
        <f t="shared" si="1"/>
        <v>0</v>
      </c>
      <c r="J16" s="21">
        <f t="shared" si="1"/>
        <v>4.8131102689323385E-2</v>
      </c>
      <c r="K16" s="21">
        <f t="shared" si="1"/>
        <v>0</v>
      </c>
      <c r="L16" s="21">
        <f t="shared" ca="1" si="1"/>
        <v>0</v>
      </c>
      <c r="M16" s="21">
        <f t="shared" si="1"/>
        <v>0</v>
      </c>
      <c r="N16" s="21">
        <f t="shared" ca="1" si="1"/>
        <v>1926.9399141719127</v>
      </c>
      <c r="O16" s="21">
        <f>O5</f>
        <v>29.383564595046927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0.17889010351388479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5988.705074936096</v>
      </c>
      <c r="C20" s="23">
        <f t="shared" ref="C20:P20" ca="1" si="2">C16*C18</f>
        <v>0</v>
      </c>
      <c r="D20" s="23">
        <f t="shared" ca="1" si="2"/>
        <v>7771.5284896279809</v>
      </c>
      <c r="E20" s="23">
        <f t="shared" si="2"/>
        <v>127.11631501650366</v>
      </c>
      <c r="F20" s="23">
        <f t="shared" ca="1" si="2"/>
        <v>942.79490884635345</v>
      </c>
      <c r="G20" s="23">
        <f t="shared" si="2"/>
        <v>0</v>
      </c>
      <c r="H20" s="23">
        <f t="shared" si="2"/>
        <v>0</v>
      </c>
      <c r="I20" s="23">
        <f t="shared" si="2"/>
        <v>0</v>
      </c>
      <c r="J20" s="23">
        <f t="shared" si="2"/>
        <v>1.7038410352020479E-2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4668.1018990000002</v>
      </c>
      <c r="C26" s="39">
        <f>IF(ISERROR(B26*3.6/1000000/'E Balans VL '!Z12*100),0,B26*3.6/1000000/'E Balans VL '!Z12*100)</f>
        <v>9.9029510964481662E-2</v>
      </c>
      <c r="D26" s="237" t="s">
        <v>708</v>
      </c>
      <c r="F26" s="6"/>
    </row>
    <row r="27" spans="1:18">
      <c r="A27" s="231" t="s">
        <v>52</v>
      </c>
      <c r="B27" s="33">
        <f>IF(ISERROR(TER_horeca_ele_kWh/1000),0,TER_horeca_ele_kWh/1000)</f>
        <v>3221.2392689999997</v>
      </c>
      <c r="C27" s="39">
        <f>IF(ISERROR(B27*3.6/1000000/'E Balans VL '!Z9*100),0,B27*3.6/1000000/'E Balans VL '!Z9*100)</f>
        <v>0.24258785232488797</v>
      </c>
      <c r="D27" s="237" t="s">
        <v>708</v>
      </c>
      <c r="F27" s="6"/>
    </row>
    <row r="28" spans="1:18">
      <c r="A28" s="171" t="s">
        <v>51</v>
      </c>
      <c r="B28" s="33">
        <f>IF(ISERROR(TER_handel_ele_kWh/1000),0,TER_handel_ele_kWh/1000)</f>
        <v>16591.452796000001</v>
      </c>
      <c r="C28" s="39">
        <f>IF(ISERROR(B28*3.6/1000000/'E Balans VL '!Z13*100),0,B28*3.6/1000000/'E Balans VL '!Z13*100)</f>
        <v>0.48159108656386995</v>
      </c>
      <c r="D28" s="237" t="s">
        <v>708</v>
      </c>
      <c r="F28" s="6"/>
    </row>
    <row r="29" spans="1:18">
      <c r="A29" s="231" t="s">
        <v>50</v>
      </c>
      <c r="B29" s="33">
        <f>IF(ISERROR(TER_gezond_ele_kWh/1000),0,TER_gezond_ele_kWh/1000)</f>
        <v>5033.2579999999998</v>
      </c>
      <c r="C29" s="39">
        <f>IF(ISERROR(B29*3.6/1000000/'E Balans VL '!Z10*100),0,B29*3.6/1000000/'E Balans VL '!Z10*100)</f>
        <v>0.50761007170463768</v>
      </c>
      <c r="D29" s="237" t="s">
        <v>708</v>
      </c>
      <c r="F29" s="6"/>
    </row>
    <row r="30" spans="1:18">
      <c r="A30" s="231" t="s">
        <v>49</v>
      </c>
      <c r="B30" s="33">
        <f>IF(ISERROR(TER_ander_ele_kWh/1000),0,TER_ander_ele_kWh/1000)</f>
        <v>2835.2349089999998</v>
      </c>
      <c r="C30" s="39">
        <f>IF(ISERROR(B30*3.6/1000000/'E Balans VL '!Z14*100),0,B30*3.6/1000000/'E Balans VL '!Z14*100)</f>
        <v>0.20573497234422769</v>
      </c>
      <c r="D30" s="237" t="s">
        <v>708</v>
      </c>
      <c r="F30" s="6"/>
    </row>
    <row r="31" spans="1:18">
      <c r="A31" s="231" t="s">
        <v>54</v>
      </c>
      <c r="B31" s="33">
        <f>IF(ISERROR(TER_onderwijs_ele_kWh/1000),0,TER_onderwijs_ele_kWh/1000)</f>
        <v>1127.7191620000001</v>
      </c>
      <c r="C31" s="39">
        <f>IF(ISERROR(B31*3.6/1000000/'E Balans VL '!Z11*100),0,B31*3.6/1000000/'E Balans VL '!Z11*100)</f>
        <v>0.32144588403261165</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78510.614721000005</v>
      </c>
      <c r="C5" s="17">
        <f>IF(ISERROR('Eigen informatie GS &amp; warmtenet'!B61),0,'Eigen informatie GS &amp; warmtenet'!B61)</f>
        <v>0</v>
      </c>
      <c r="D5" s="30">
        <f>SUM(D6:D15)</f>
        <v>45845.956354220005</v>
      </c>
      <c r="E5" s="17">
        <f>SUM(E6:E15)</f>
        <v>4530.1132156157</v>
      </c>
      <c r="F5" s="17">
        <f>SUM(F6:F15)</f>
        <v>16870.864346699098</v>
      </c>
      <c r="G5" s="18"/>
      <c r="H5" s="17"/>
      <c r="I5" s="17"/>
      <c r="J5" s="17">
        <f>SUM(J6:J15)</f>
        <v>27.820071759741666</v>
      </c>
      <c r="K5" s="17"/>
      <c r="L5" s="17"/>
      <c r="M5" s="17"/>
      <c r="N5" s="17">
        <f>SUM(N6:N15)</f>
        <v>3978.4065539714361</v>
      </c>
      <c r="O5" s="17">
        <f>B43*B44*B45</f>
        <v>0</v>
      </c>
      <c r="P5" s="17">
        <f>B51*B52*B53/1000-B51*B52*B53/1000/B54</f>
        <v>0</v>
      </c>
      <c r="R5" s="32"/>
    </row>
    <row r="6" spans="1:18">
      <c r="A6" s="6" t="s">
        <v>34</v>
      </c>
      <c r="B6" s="37">
        <f>IF( ISERROR(IND_ijzer_ele_kWh/1000),0,IND_ijzer_ele_kWh/1000)</f>
        <v>146.233</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16478.708999999999</v>
      </c>
      <c r="C8" s="33"/>
      <c r="D8" s="37">
        <f>IF( ISERROR(IND_metaal_Gas_kWH/1000),0,IND_metaal_Gas_kWH/1000)*0.902</f>
        <v>974.34577321399991</v>
      </c>
      <c r="E8" s="33">
        <f>C30*'E Balans VL '!I18/100/3.6*1000000</f>
        <v>118.88231959608555</v>
      </c>
      <c r="F8" s="33">
        <f>C30*'E Balans VL '!L18/100/3.6*1000000+C30*'E Balans VL '!N18/100/3.6*1000000</f>
        <v>1558.5820252905246</v>
      </c>
      <c r="G8" s="34"/>
      <c r="H8" s="33"/>
      <c r="I8" s="33"/>
      <c r="J8" s="40">
        <f>C30*'E Balans VL '!D18/100/3.6*1000000+C30*'E Balans VL '!E18/100/3.6*1000000</f>
        <v>16.574381273242711</v>
      </c>
      <c r="K8" s="33"/>
      <c r="L8" s="33"/>
      <c r="M8" s="33"/>
      <c r="N8" s="33">
        <f>C30*'E Balans VL '!Y18/100/3.6*1000000</f>
        <v>208.33448011970268</v>
      </c>
      <c r="O8" s="33"/>
      <c r="P8" s="33"/>
      <c r="R8" s="32"/>
    </row>
    <row r="9" spans="1:18">
      <c r="A9" s="6" t="s">
        <v>32</v>
      </c>
      <c r="B9" s="37">
        <f t="shared" si="0"/>
        <v>15553.254138</v>
      </c>
      <c r="C9" s="33"/>
      <c r="D9" s="37">
        <f>IF( ISERROR(IND_andere_gas_kWh/1000),0,IND_andere_gas_kWh/1000)*0.902</f>
        <v>8092.6093485380006</v>
      </c>
      <c r="E9" s="33">
        <f>C31*'E Balans VL '!I19/100/3.6*1000000</f>
        <v>4310.0146947029543</v>
      </c>
      <c r="F9" s="33">
        <f>C31*'E Balans VL '!L19/100/3.6*1000000+C31*'E Balans VL '!N19/100/3.6*1000000</f>
        <v>12890.570640415628</v>
      </c>
      <c r="G9" s="34"/>
      <c r="H9" s="33"/>
      <c r="I9" s="33"/>
      <c r="J9" s="40">
        <f>C31*'E Balans VL '!D19/100/3.6*1000000+C31*'E Balans VL '!E19/100/3.6*1000000</f>
        <v>0</v>
      </c>
      <c r="K9" s="33"/>
      <c r="L9" s="33"/>
      <c r="M9" s="33"/>
      <c r="N9" s="33">
        <f>C31*'E Balans VL '!Y19/100/3.6*1000000</f>
        <v>1128.9760135259769</v>
      </c>
      <c r="O9" s="33"/>
      <c r="P9" s="33"/>
      <c r="R9" s="32"/>
    </row>
    <row r="10" spans="1:18">
      <c r="A10" s="6" t="s">
        <v>40</v>
      </c>
      <c r="B10" s="37">
        <f t="shared" si="0"/>
        <v>40171.31525</v>
      </c>
      <c r="C10" s="33"/>
      <c r="D10" s="37">
        <f>IF( ISERROR(IND_voed_gas_kWh/1000),0,IND_voed_gas_kWh/1000)*0.902</f>
        <v>7537.5645640679995</v>
      </c>
      <c r="E10" s="33">
        <f>C32*'E Balans VL '!I20/100/3.6*1000000</f>
        <v>71.116834889352319</v>
      </c>
      <c r="F10" s="33">
        <f>C32*'E Balans VL '!L20/100/3.6*1000000+C32*'E Balans VL '!N20/100/3.6*1000000</f>
        <v>2169.6070586733726</v>
      </c>
      <c r="G10" s="34"/>
      <c r="H10" s="33"/>
      <c r="I10" s="33"/>
      <c r="J10" s="40">
        <f>C32*'E Balans VL '!D20/100/3.6*1000000+C32*'E Balans VL '!E20/100/3.6*1000000</f>
        <v>0</v>
      </c>
      <c r="K10" s="33"/>
      <c r="L10" s="33"/>
      <c r="M10" s="33"/>
      <c r="N10" s="33">
        <f>C32*'E Balans VL '!Y20/100/3.6*1000000</f>
        <v>2334.2602081824671</v>
      </c>
      <c r="O10" s="33"/>
      <c r="P10" s="33"/>
      <c r="R10" s="32"/>
    </row>
    <row r="11" spans="1:18">
      <c r="A11" s="6" t="s">
        <v>39</v>
      </c>
      <c r="B11" s="37">
        <f t="shared" si="0"/>
        <v>5849.1149999999998</v>
      </c>
      <c r="C11" s="33"/>
      <c r="D11" s="37">
        <f>IF( ISERROR(IND_textiel_gas_kWh/1000),0,IND_textiel_gas_kWh/1000)*0.902</f>
        <v>130.436825508</v>
      </c>
      <c r="E11" s="33">
        <f>C33*'E Balans VL '!I21/100/3.6*1000000</f>
        <v>20.618737483716515</v>
      </c>
      <c r="F11" s="33">
        <f>C33*'E Balans VL '!L21/100/3.6*1000000+C33*'E Balans VL '!N21/100/3.6*1000000</f>
        <v>171.68027179044864</v>
      </c>
      <c r="G11" s="34"/>
      <c r="H11" s="33"/>
      <c r="I11" s="33"/>
      <c r="J11" s="40">
        <f>C33*'E Balans VL '!D21/100/3.6*1000000+C33*'E Balans VL '!E21/100/3.6*1000000</f>
        <v>0</v>
      </c>
      <c r="K11" s="33"/>
      <c r="L11" s="33"/>
      <c r="M11" s="33"/>
      <c r="N11" s="33">
        <f>C33*'E Balans VL '!Y21/100/3.6*1000000</f>
        <v>257.71116962096676</v>
      </c>
      <c r="O11" s="33"/>
      <c r="P11" s="33"/>
      <c r="R11" s="32"/>
    </row>
    <row r="12" spans="1:18">
      <c r="A12" s="6" t="s">
        <v>36</v>
      </c>
      <c r="B12" s="37">
        <f t="shared" si="0"/>
        <v>196.27333300000001</v>
      </c>
      <c r="C12" s="33"/>
      <c r="D12" s="37">
        <f>IF( ISERROR(IND_min_gas_kWh/1000),0,IND_min_gas_kWh/1000)*0.902</f>
        <v>0</v>
      </c>
      <c r="E12" s="33">
        <f>C34*'E Balans VL '!I22/100/3.6*1000000</f>
        <v>8.6431774716707555</v>
      </c>
      <c r="F12" s="33">
        <f>C34*'E Balans VL '!L22/100/3.6*1000000+C34*'E Balans VL '!N22/100/3.6*1000000</f>
        <v>76.750799811384113</v>
      </c>
      <c r="G12" s="34"/>
      <c r="H12" s="33"/>
      <c r="I12" s="33"/>
      <c r="J12" s="40">
        <f>C34*'E Balans VL '!D22/100/3.6*1000000+C34*'E Balans VL '!E22/100/3.6*1000000</f>
        <v>5.9595558660303423E-2</v>
      </c>
      <c r="K12" s="33"/>
      <c r="L12" s="33"/>
      <c r="M12" s="33"/>
      <c r="N12" s="33">
        <f>C34*'E Balans VL '!Y22/100/3.6*1000000</f>
        <v>48.552074505143267</v>
      </c>
      <c r="O12" s="33"/>
      <c r="P12" s="33"/>
      <c r="R12" s="32"/>
    </row>
    <row r="13" spans="1:18">
      <c r="A13" s="6" t="s">
        <v>38</v>
      </c>
      <c r="B13" s="37">
        <f t="shared" si="0"/>
        <v>101.14400000000001</v>
      </c>
      <c r="C13" s="33"/>
      <c r="D13" s="37">
        <f>IF( ISERROR(IND_papier_gas_kWh/1000),0,IND_papier_gas_kWh/1000)*0.902</f>
        <v>225.87597705200002</v>
      </c>
      <c r="E13" s="33">
        <f>C35*'E Balans VL '!I23/100/3.6*1000000</f>
        <v>0.14881755484452985</v>
      </c>
      <c r="F13" s="33">
        <f>C35*'E Balans VL '!L23/100/3.6*1000000+C35*'E Balans VL '!N23/100/3.6*1000000</f>
        <v>1.0829798114227984</v>
      </c>
      <c r="G13" s="34"/>
      <c r="H13" s="33"/>
      <c r="I13" s="33"/>
      <c r="J13" s="40">
        <f>C35*'E Balans VL '!D23/100/3.6*1000000+C35*'E Balans VL '!E23/100/3.6*1000000</f>
        <v>11.065720785871639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14.571</v>
      </c>
      <c r="C15" s="33"/>
      <c r="D15" s="37">
        <f>IF( ISERROR(IND_rest_gas_kWh/1000),0,IND_rest_gas_kWh/1000)*0.902</f>
        <v>28885.12386584</v>
      </c>
      <c r="E15" s="33">
        <f>C37*'E Balans VL '!I15/100/3.6*1000000</f>
        <v>0.68863391707469868</v>
      </c>
      <c r="F15" s="33">
        <f>C37*'E Balans VL '!L15/100/3.6*1000000+C37*'E Balans VL '!N15/100/3.6*1000000</f>
        <v>2.5905709063141722</v>
      </c>
      <c r="G15" s="34"/>
      <c r="H15" s="33"/>
      <c r="I15" s="33"/>
      <c r="J15" s="40">
        <f>C37*'E Balans VL '!D15/100/3.6*1000000+C37*'E Balans VL '!E15/100/3.6*1000000</f>
        <v>0.12037414196701413</v>
      </c>
      <c r="K15" s="33"/>
      <c r="L15" s="33"/>
      <c r="M15" s="33"/>
      <c r="N15" s="33">
        <f>C37*'E Balans VL '!Y15/100/3.6*1000000</f>
        <v>0.57260801717973553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78510.614721000005</v>
      </c>
      <c r="C18" s="21">
        <f>C5+C16</f>
        <v>0</v>
      </c>
      <c r="D18" s="21">
        <f>MAX((D5+D16),0)</f>
        <v>45845.956354220005</v>
      </c>
      <c r="E18" s="21">
        <f>MAX((E5+E16),0)</f>
        <v>4530.1132156157</v>
      </c>
      <c r="F18" s="21">
        <f>MAX((F5+F16),0)</f>
        <v>16870.864346699098</v>
      </c>
      <c r="G18" s="21"/>
      <c r="H18" s="21"/>
      <c r="I18" s="21"/>
      <c r="J18" s="21">
        <f>MAX((J5+J16),0)</f>
        <v>27.820071759741666</v>
      </c>
      <c r="K18" s="21"/>
      <c r="L18" s="21">
        <f>MAX((L5+L16),0)</f>
        <v>0</v>
      </c>
      <c r="M18" s="21"/>
      <c r="N18" s="21">
        <f>MAX((N5+N16),0)</f>
        <v>3978.4065539714361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0.17889010351388479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14044.771994378418</v>
      </c>
      <c r="C22" s="23">
        <f ca="1">C18*C20</f>
        <v>0</v>
      </c>
      <c r="D22" s="23">
        <f>D18*D20</f>
        <v>9260.8831835524416</v>
      </c>
      <c r="E22" s="23">
        <f>E18*E20</f>
        <v>1028.335699944764</v>
      </c>
      <c r="F22" s="23">
        <f>F18*F20</f>
        <v>4504.5207805686596</v>
      </c>
      <c r="G22" s="23"/>
      <c r="H22" s="23"/>
      <c r="I22" s="23"/>
      <c r="J22" s="23">
        <f>J18*J20</f>
        <v>9.8483054029485491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16478.708999999999</v>
      </c>
      <c r="C30" s="39">
        <f>IF(ISERROR(B30*3.6/1000000/'E Balans VL '!Z18*100),0,B30*3.6/1000000/'E Balans VL '!Z18*100)</f>
        <v>0.95129015805484352</v>
      </c>
      <c r="D30" s="237" t="s">
        <v>708</v>
      </c>
    </row>
    <row r="31" spans="1:18">
      <c r="A31" s="6" t="s">
        <v>32</v>
      </c>
      <c r="B31" s="37">
        <f>IF( ISERROR(IND_ander_ele_kWh/1000),0,IND_ander_ele_kWh/1000)</f>
        <v>15553.254138</v>
      </c>
      <c r="C31" s="39">
        <f>IF(ISERROR(B31*3.6/1000000/'E Balans VL '!Z19*100),0,B31*3.6/1000000/'E Balans VL '!Z19*100)</f>
        <v>0.78227826922018795</v>
      </c>
      <c r="D31" s="237" t="s">
        <v>708</v>
      </c>
    </row>
    <row r="32" spans="1:18">
      <c r="A32" s="171" t="s">
        <v>40</v>
      </c>
      <c r="B32" s="37">
        <f>IF( ISERROR(IND_voed_ele_kWh/1000),0,IND_voed_ele_kWh/1000)</f>
        <v>40171.31525</v>
      </c>
      <c r="C32" s="39">
        <f>IF(ISERROR(B32*3.6/1000000/'E Balans VL '!Z20*100),0,B32*3.6/1000000/'E Balans VL '!Z20*100)</f>
        <v>1.3379433450608702</v>
      </c>
      <c r="D32" s="237" t="s">
        <v>708</v>
      </c>
    </row>
    <row r="33" spans="1:5">
      <c r="A33" s="171" t="s">
        <v>39</v>
      </c>
      <c r="B33" s="37">
        <f>IF( ISERROR(IND_textiel_ele_kWh/1000),0,IND_textiel_ele_kWh/1000)</f>
        <v>5849.1149999999998</v>
      </c>
      <c r="C33" s="39">
        <f>IF(ISERROR(B33*3.6/1000000/'E Balans VL '!Z21*100),0,B33*3.6/1000000/'E Balans VL '!Z21*100)</f>
        <v>0.91195147271064414</v>
      </c>
      <c r="D33" s="237" t="s">
        <v>708</v>
      </c>
    </row>
    <row r="34" spans="1:5">
      <c r="A34" s="171" t="s">
        <v>36</v>
      </c>
      <c r="B34" s="37">
        <f>IF( ISERROR(IND_min_ele_kWh/1000),0,IND_min_ele_kWh/1000)</f>
        <v>196.27333300000001</v>
      </c>
      <c r="C34" s="39">
        <f>IF(ISERROR(B34*3.6/1000000/'E Balans VL '!Z22*100),0,B34*3.6/1000000/'E Balans VL '!Z22*100)</f>
        <v>3.661160600291484E-2</v>
      </c>
      <c r="D34" s="237" t="s">
        <v>708</v>
      </c>
    </row>
    <row r="35" spans="1:5">
      <c r="A35" s="171" t="s">
        <v>38</v>
      </c>
      <c r="B35" s="37">
        <f>IF( ISERROR(IND_papier_ele_kWh/1000),0,IND_papier_ele_kWh/1000)</f>
        <v>101.14400000000001</v>
      </c>
      <c r="C35" s="39">
        <f>IF(ISERROR(B35*3.6/1000000/'E Balans VL '!Z22*100),0,B35*3.6/1000000/'E Balans VL '!Z22*100)</f>
        <v>1.8866772275981162E-2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14.571</v>
      </c>
      <c r="C37" s="39">
        <f>IF(ISERROR(B37*3.6/1000000/'E Balans VL '!Z15*100),0,B37*3.6/1000000/'E Balans VL '!Z15*100)</f>
        <v>1.136936463111148E-4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2366.4428459999999</v>
      </c>
      <c r="C5" s="17">
        <f>'Eigen informatie GS &amp; warmtenet'!B62</f>
        <v>0</v>
      </c>
      <c r="D5" s="30">
        <f>IF(ISERROR(SUM(LB_lb_gas_kWh,LB_rest_gas_kWh)/1000),0,SUM(LB_lb_gas_kWh,LB_rest_gas_kWh)/1000)*0.902</f>
        <v>10618.214673946002</v>
      </c>
      <c r="E5" s="17">
        <f>B17*'E Balans VL '!I25/3.6*1000000/100</f>
        <v>73.855900867080322</v>
      </c>
      <c r="F5" s="17">
        <f>B17*('E Balans VL '!L25/3.6*1000000+'E Balans VL '!N25/3.6*1000000)/100</f>
        <v>8363.2711652307898</v>
      </c>
      <c r="G5" s="18"/>
      <c r="H5" s="17"/>
      <c r="I5" s="17"/>
      <c r="J5" s="17">
        <f>('E Balans VL '!D25+'E Balans VL '!E25)/3.6*1000000*landbouw!B17/100</f>
        <v>651.97141521031085</v>
      </c>
      <c r="K5" s="17"/>
      <c r="L5" s="17">
        <f>L6*(-1)</f>
        <v>0</v>
      </c>
      <c r="M5" s="17"/>
      <c r="N5" s="17">
        <f>N6*(-1)</f>
        <v>0</v>
      </c>
      <c r="O5" s="17"/>
      <c r="P5" s="17"/>
      <c r="R5" s="32"/>
    </row>
    <row r="6" spans="1:18">
      <c r="A6" s="16" t="s">
        <v>478</v>
      </c>
      <c r="B6" s="17" t="s">
        <v>210</v>
      </c>
      <c r="C6" s="17">
        <f>'lokale energieproductie'!O39+'lokale energieproductie'!O32</f>
        <v>5361.4285714285716</v>
      </c>
      <c r="D6" s="308">
        <f>('lokale energieproductie'!P32+'lokale energieproductie'!P39)*(-1)</f>
        <v>-10722.857142857143</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2366.4428459999999</v>
      </c>
      <c r="C8" s="21">
        <f>C5+C6</f>
        <v>5361.4285714285716</v>
      </c>
      <c r="D8" s="21">
        <f>MAX((D5+D6),0)</f>
        <v>0</v>
      </c>
      <c r="E8" s="21">
        <f>MAX((E5+E6),0)</f>
        <v>73.855900867080322</v>
      </c>
      <c r="F8" s="21">
        <f>MAX((F5+F6),0)</f>
        <v>8363.2711652307898</v>
      </c>
      <c r="G8" s="21"/>
      <c r="H8" s="21"/>
      <c r="I8" s="21"/>
      <c r="J8" s="21">
        <f>MAX((J5+J6),0)</f>
        <v>651.97141521031085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0.17889010351388479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423.33320568063209</v>
      </c>
      <c r="C12" s="23">
        <f ca="1">C8*C10</f>
        <v>1274.127731092437</v>
      </c>
      <c r="D12" s="23">
        <f>D8*D10</f>
        <v>0</v>
      </c>
      <c r="E12" s="23">
        <f>E8*E10</f>
        <v>16.765289496827233</v>
      </c>
      <c r="F12" s="23">
        <f>F8*F10</f>
        <v>2232.993401116621</v>
      </c>
      <c r="G12" s="23"/>
      <c r="H12" s="23"/>
      <c r="I12" s="23"/>
      <c r="J12" s="23">
        <f>J8*J10</f>
        <v>230.79788098445002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0.3517886933271126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70.871512581009142</v>
      </c>
      <c r="C26" s="247">
        <f>B26*'GWP N2O_CH4'!B5</f>
        <v>1488.3017642011919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97.044825716559089</v>
      </c>
      <c r="C27" s="247">
        <f>B27*'GWP N2O_CH4'!B5</f>
        <v>2037.9413400477408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1.2667459328862753</v>
      </c>
      <c r="C28" s="247">
        <f>B28*'GWP N2O_CH4'!B4</f>
        <v>392.69123919474538</v>
      </c>
      <c r="D28" s="50"/>
    </row>
    <row r="29" spans="1:4">
      <c r="A29" s="41" t="s">
        <v>276</v>
      </c>
      <c r="B29" s="247">
        <f>B34*'ha_N2O bodem landbouw'!B4</f>
        <v>5.9454166354742908</v>
      </c>
      <c r="C29" s="247">
        <f>B29*'GWP N2O_CH4'!B4</f>
        <v>1843.0791569970302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1.3037228233398733E-3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3.4613267569816541E-4</v>
      </c>
      <c r="C5" s="437" t="s">
        <v>210</v>
      </c>
      <c r="D5" s="422">
        <f>SUM(D6:D11)</f>
        <v>1.3967142395827328E-3</v>
      </c>
      <c r="E5" s="422">
        <f>SUM(E6:E11)</f>
        <v>1.2178999762376852E-3</v>
      </c>
      <c r="F5" s="435" t="s">
        <v>210</v>
      </c>
      <c r="G5" s="422">
        <f>SUM(G6:G11)</f>
        <v>0.57547753221233999</v>
      </c>
      <c r="H5" s="422">
        <f>SUM(H6:H11)</f>
        <v>0.13079131791348211</v>
      </c>
      <c r="I5" s="437" t="s">
        <v>210</v>
      </c>
      <c r="J5" s="437" t="s">
        <v>210</v>
      </c>
      <c r="K5" s="437" t="s">
        <v>210</v>
      </c>
      <c r="L5" s="437" t="s">
        <v>210</v>
      </c>
      <c r="M5" s="422">
        <f>SUM(M6:M11)</f>
        <v>4.1831286890733628E-2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1.4289326087185366E-4</v>
      </c>
      <c r="C6" s="423"/>
      <c r="D6" s="890">
        <f>vkm_GW_PW*SUMIFS(TableVerdeelsleutelVkm[CNG],TableVerdeelsleutelVkm[Voertuigtype],"Lichte voertuigen")*SUMIFS(TableECFTransport[EnergieConsumptieFactor (PJ per km)],TableECFTransport[Index],CONCATENATE($A6,"_CNG_CNG"))</f>
        <v>4.6031669416317714E-4</v>
      </c>
      <c r="E6" s="890">
        <f>vkm_GW_PW*SUMIFS(TableVerdeelsleutelVkm[LPG],TableVerdeelsleutelVkm[Voertuigtype],"Lichte voertuigen")*SUMIFS(TableECFTransport[EnergieConsumptieFactor (PJ per km)],TableECFTransport[Index],CONCATENATE($A6,"_LPG_LPG"))</f>
        <v>3.936520688402231E-4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0.12716908013544392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4.3122255144422444E-2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1.018541135014533E-2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7.8249986096778149E-2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1.118904541536152E-6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4.5105174926383992E-3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1.2567996100108645E-4</v>
      </c>
      <c r="C8" s="423"/>
      <c r="D8" s="425">
        <f>vkm_NGW_PW*SUMIFS(TableVerdeelsleutelVkm[CNG],TableVerdeelsleutelVkm[Voertuigtype],"Lichte voertuigen")*SUMIFS(TableECFTransport[EnergieConsumptieFactor (PJ per km)],TableECFTransport[Index],CONCATENATE($A8,"_CNG_CNG"))</f>
        <v>6.8595693567958789E-4</v>
      </c>
      <c r="E8" s="425">
        <f>vkm_NGW_PW*SUMIFS(TableVerdeelsleutelVkm[LPG],TableVerdeelsleutelVkm[Voertuigtype],"Lichte voertuigen")*SUMIFS(TableECFTransport[EnergieConsumptieFactor (PJ per km)],TableECFTransport[Index],CONCATENATE($A8,"_LPG_LPG"))</f>
        <v>5.5738039591231878E-4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0.16825648254164041</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6.3186128930164689E-2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1.388221338194065E-2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5.7417055748023457E-2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1.0409630083792189E-6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3.3096718200871099E-3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7.7559453825225345E-5</v>
      </c>
      <c r="C10" s="423"/>
      <c r="D10" s="425">
        <f>vkm_SW_PW*SUMIFS(TableVerdeelsleutelVkm[CNG],TableVerdeelsleutelVkm[Voertuigtype],"Lichte voertuigen")*SUMIFS(TableECFTransport[EnergieConsumptieFactor (PJ per km)],TableECFTransport[Index],CONCATENATE($A10,"_CNG_CNG"))</f>
        <v>2.5044060973996787E-4</v>
      </c>
      <c r="E10" s="425">
        <f>vkm_SW_PW*SUMIFS(TableVerdeelsleutelVkm[LPG],TableVerdeelsleutelVkm[Voertuigtype],"Lichte voertuigen")*SUMIFS(TableECFTransport[EnergieConsumptieFactor (PJ per km)],TableECFTransport[Index],CONCATENATE($A10,"_LPG_LPG"))</f>
        <v>2.6686751148514342E-4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7.6813800543128086E-2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2.4479741577592359E-2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6.0485060974383277E-3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6.7571127147325993E-2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1.0323937527061149E-6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3.8949667484838124E-3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96.147965471712624</v>
      </c>
      <c r="C14" s="21"/>
      <c r="D14" s="21">
        <f t="shared" ref="D14:M14" si="0">((D5)*10^9/3600)+D12</f>
        <v>387.97617766187022</v>
      </c>
      <c r="E14" s="21">
        <f t="shared" si="0"/>
        <v>338.30554895491252</v>
      </c>
      <c r="F14" s="21"/>
      <c r="G14" s="21">
        <f t="shared" si="0"/>
        <v>159854.87005898333</v>
      </c>
      <c r="H14" s="21">
        <f t="shared" si="0"/>
        <v>36330.921642633919</v>
      </c>
      <c r="I14" s="21"/>
      <c r="J14" s="21"/>
      <c r="K14" s="21"/>
      <c r="L14" s="21"/>
      <c r="M14" s="21">
        <f t="shared" si="0"/>
        <v>11619.801914092675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0.17889010351388479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17.199919495884092</v>
      </c>
      <c r="C18" s="23"/>
      <c r="D18" s="23">
        <f t="shared" ref="D18:M18" si="1">D14*D16</f>
        <v>78.371187887697786</v>
      </c>
      <c r="E18" s="23">
        <f t="shared" si="1"/>
        <v>76.795359612765139</v>
      </c>
      <c r="F18" s="23"/>
      <c r="G18" s="23">
        <f t="shared" si="1"/>
        <v>42681.250305748552</v>
      </c>
      <c r="H18" s="23">
        <f t="shared" si="1"/>
        <v>9046.3994890158465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2.224471887894465E-3</v>
      </c>
      <c r="H50" s="319">
        <f t="shared" si="2"/>
        <v>0</v>
      </c>
      <c r="I50" s="319">
        <f t="shared" si="2"/>
        <v>0</v>
      </c>
      <c r="J50" s="319">
        <f t="shared" si="2"/>
        <v>0</v>
      </c>
      <c r="K50" s="319">
        <f t="shared" si="2"/>
        <v>0</v>
      </c>
      <c r="L50" s="319">
        <f t="shared" si="2"/>
        <v>0</v>
      </c>
      <c r="M50" s="319">
        <f t="shared" si="2"/>
        <v>1.2361694198466362E-4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2.224471887894465E-3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1.2361694198466362E-4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617.90885774846254</v>
      </c>
      <c r="H54" s="21">
        <f t="shared" si="3"/>
        <v>0</v>
      </c>
      <c r="I54" s="21">
        <f t="shared" si="3"/>
        <v>0</v>
      </c>
      <c r="J54" s="21">
        <f t="shared" si="3"/>
        <v>0</v>
      </c>
      <c r="K54" s="21">
        <f t="shared" si="3"/>
        <v>0</v>
      </c>
      <c r="L54" s="21">
        <f t="shared" si="3"/>
        <v>0</v>
      </c>
      <c r="M54" s="21">
        <f t="shared" si="3"/>
        <v>34.338039440184339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0.17889010351388479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164.98166501883949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36007.069035</v>
      </c>
      <c r="D10" s="686">
        <f ca="1">tertiair!C16</f>
        <v>0</v>
      </c>
      <c r="E10" s="686">
        <f ca="1">tertiair!D16</f>
        <v>38472.913314990001</v>
      </c>
      <c r="F10" s="686">
        <f>tertiair!E16</f>
        <v>559.9837665925271</v>
      </c>
      <c r="G10" s="686">
        <f ca="1">tertiair!F16</f>
        <v>3531.0670743309115</v>
      </c>
      <c r="H10" s="686">
        <f>tertiair!G16</f>
        <v>0</v>
      </c>
      <c r="I10" s="686">
        <f>tertiair!H16</f>
        <v>0</v>
      </c>
      <c r="J10" s="686">
        <f>tertiair!I16</f>
        <v>0</v>
      </c>
      <c r="K10" s="686">
        <f>tertiair!J16</f>
        <v>4.8131102689323385E-2</v>
      </c>
      <c r="L10" s="686">
        <f>tertiair!K16</f>
        <v>0</v>
      </c>
      <c r="M10" s="686">
        <f ca="1">tertiair!L16</f>
        <v>0</v>
      </c>
      <c r="N10" s="686">
        <f>tertiair!M16</f>
        <v>0</v>
      </c>
      <c r="O10" s="686">
        <f ca="1">tertiair!N16</f>
        <v>1926.9399141719127</v>
      </c>
      <c r="P10" s="686">
        <f>tertiair!O16</f>
        <v>29.383564595046927</v>
      </c>
      <c r="Q10" s="687">
        <f>tertiair!P16</f>
        <v>315.23482983897009</v>
      </c>
      <c r="R10" s="689">
        <f ca="1">SUM(C10:Q10)</f>
        <v>80842.63963062207</v>
      </c>
      <c r="S10" s="67"/>
    </row>
    <row r="11" spans="1:19" s="448" customFormat="1">
      <c r="A11" s="808" t="s">
        <v>224</v>
      </c>
      <c r="B11" s="813"/>
      <c r="C11" s="686">
        <f>huishoudens!B8</f>
        <v>41880.359917314898</v>
      </c>
      <c r="D11" s="686">
        <f>huishoudens!C8</f>
        <v>0</v>
      </c>
      <c r="E11" s="686">
        <f>huishoudens!D8</f>
        <v>125014.89958881</v>
      </c>
      <c r="F11" s="686">
        <f>huishoudens!E8</f>
        <v>16360.477268654711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29240.366238602022</v>
      </c>
      <c r="P11" s="686">
        <f>huishoudens!O8</f>
        <v>789.6153713160387</v>
      </c>
      <c r="Q11" s="687">
        <f>huishoudens!P8</f>
        <v>410.82441299971589</v>
      </c>
      <c r="R11" s="689">
        <f>SUM(C11:Q11)</f>
        <v>213696.54279769736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78510.614721000005</v>
      </c>
      <c r="D13" s="686">
        <f>industrie!C18</f>
        <v>0</v>
      </c>
      <c r="E13" s="686">
        <f>industrie!D18</f>
        <v>45845.956354220005</v>
      </c>
      <c r="F13" s="686">
        <f>industrie!E18</f>
        <v>4530.1132156157</v>
      </c>
      <c r="G13" s="686">
        <f>industrie!F18</f>
        <v>16870.864346699098</v>
      </c>
      <c r="H13" s="686">
        <f>industrie!G18</f>
        <v>0</v>
      </c>
      <c r="I13" s="686">
        <f>industrie!H18</f>
        <v>0</v>
      </c>
      <c r="J13" s="686">
        <f>industrie!I18</f>
        <v>0</v>
      </c>
      <c r="K13" s="686">
        <f>industrie!J18</f>
        <v>27.820071759741666</v>
      </c>
      <c r="L13" s="686">
        <f>industrie!K18</f>
        <v>0</v>
      </c>
      <c r="M13" s="686">
        <f>industrie!L18</f>
        <v>0</v>
      </c>
      <c r="N13" s="686">
        <f>industrie!M18</f>
        <v>0</v>
      </c>
      <c r="O13" s="686">
        <f>industrie!N18</f>
        <v>3978.4065539714361</v>
      </c>
      <c r="P13" s="686">
        <f>industrie!O18</f>
        <v>0</v>
      </c>
      <c r="Q13" s="687">
        <f>industrie!P18</f>
        <v>0</v>
      </c>
      <c r="R13" s="689">
        <f>SUM(C13:Q13)</f>
        <v>149763.775263266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156398.04367331491</v>
      </c>
      <c r="D16" s="722">
        <f t="shared" ref="D16:R16" ca="1" si="0">SUM(D9:D15)</f>
        <v>0</v>
      </c>
      <c r="E16" s="722">
        <f t="shared" ca="1" si="0"/>
        <v>209333.76925801998</v>
      </c>
      <c r="F16" s="722">
        <f t="shared" si="0"/>
        <v>21450.574250862937</v>
      </c>
      <c r="G16" s="722">
        <f t="shared" ca="1" si="0"/>
        <v>20401.931421030011</v>
      </c>
      <c r="H16" s="722">
        <f t="shared" si="0"/>
        <v>0</v>
      </c>
      <c r="I16" s="722">
        <f t="shared" si="0"/>
        <v>0</v>
      </c>
      <c r="J16" s="722">
        <f t="shared" si="0"/>
        <v>0</v>
      </c>
      <c r="K16" s="722">
        <f t="shared" si="0"/>
        <v>27.868202862430987</v>
      </c>
      <c r="L16" s="722">
        <f t="shared" si="0"/>
        <v>0</v>
      </c>
      <c r="M16" s="722">
        <f t="shared" ca="1" si="0"/>
        <v>0</v>
      </c>
      <c r="N16" s="722">
        <f t="shared" si="0"/>
        <v>0</v>
      </c>
      <c r="O16" s="722">
        <f t="shared" ca="1" si="0"/>
        <v>35145.712706745369</v>
      </c>
      <c r="P16" s="722">
        <f t="shared" si="0"/>
        <v>818.9989359110856</v>
      </c>
      <c r="Q16" s="722">
        <f t="shared" si="0"/>
        <v>726.05924283868603</v>
      </c>
      <c r="R16" s="722">
        <f t="shared" ca="1" si="0"/>
        <v>444302.95769158541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617.90885774846254</v>
      </c>
      <c r="I19" s="686">
        <f>transport!H54</f>
        <v>0</v>
      </c>
      <c r="J19" s="686">
        <f>transport!I54</f>
        <v>0</v>
      </c>
      <c r="K19" s="686">
        <f>transport!J54</f>
        <v>0</v>
      </c>
      <c r="L19" s="686">
        <f>transport!K54</f>
        <v>0</v>
      </c>
      <c r="M19" s="686">
        <f>transport!L54</f>
        <v>0</v>
      </c>
      <c r="N19" s="686">
        <f>transport!M54</f>
        <v>34.338039440184339</v>
      </c>
      <c r="O19" s="686">
        <f>transport!N54</f>
        <v>0</v>
      </c>
      <c r="P19" s="686">
        <f>transport!O54</f>
        <v>0</v>
      </c>
      <c r="Q19" s="687">
        <f>transport!P54</f>
        <v>0</v>
      </c>
      <c r="R19" s="689">
        <f>SUM(C19:Q19)</f>
        <v>652.24689718864693</v>
      </c>
      <c r="S19" s="67"/>
    </row>
    <row r="20" spans="1:19" s="448" customFormat="1">
      <c r="A20" s="808" t="s">
        <v>306</v>
      </c>
      <c r="B20" s="813"/>
      <c r="C20" s="686">
        <f>transport!B14</f>
        <v>96.147965471712624</v>
      </c>
      <c r="D20" s="686">
        <f>transport!C14</f>
        <v>0</v>
      </c>
      <c r="E20" s="686">
        <f>transport!D14</f>
        <v>387.97617766187022</v>
      </c>
      <c r="F20" s="686">
        <f>transport!E14</f>
        <v>338.30554895491252</v>
      </c>
      <c r="G20" s="686">
        <f>transport!F14</f>
        <v>0</v>
      </c>
      <c r="H20" s="686">
        <f>transport!G14</f>
        <v>159854.87005898333</v>
      </c>
      <c r="I20" s="686">
        <f>transport!H14</f>
        <v>36330.921642633919</v>
      </c>
      <c r="J20" s="686">
        <f>transport!I14</f>
        <v>0</v>
      </c>
      <c r="K20" s="686">
        <f>transport!J14</f>
        <v>0</v>
      </c>
      <c r="L20" s="686">
        <f>transport!K14</f>
        <v>0</v>
      </c>
      <c r="M20" s="686">
        <f>transport!L14</f>
        <v>0</v>
      </c>
      <c r="N20" s="686">
        <f>transport!M14</f>
        <v>11619.801914092675</v>
      </c>
      <c r="O20" s="686">
        <f>transport!N14</f>
        <v>0</v>
      </c>
      <c r="P20" s="686">
        <f>transport!O14</f>
        <v>0</v>
      </c>
      <c r="Q20" s="687">
        <f>transport!P14</f>
        <v>0</v>
      </c>
      <c r="R20" s="689">
        <f>SUM(C20:Q20)</f>
        <v>208628.02330779843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96.147965471712624</v>
      </c>
      <c r="D22" s="811">
        <f t="shared" ref="D22:R22" si="1">SUM(D18:D21)</f>
        <v>0</v>
      </c>
      <c r="E22" s="811">
        <f t="shared" si="1"/>
        <v>387.97617766187022</v>
      </c>
      <c r="F22" s="811">
        <f t="shared" si="1"/>
        <v>338.30554895491252</v>
      </c>
      <c r="G22" s="811">
        <f t="shared" si="1"/>
        <v>0</v>
      </c>
      <c r="H22" s="811">
        <f t="shared" si="1"/>
        <v>160472.7789167318</v>
      </c>
      <c r="I22" s="811">
        <f t="shared" si="1"/>
        <v>36330.921642633919</v>
      </c>
      <c r="J22" s="811">
        <f t="shared" si="1"/>
        <v>0</v>
      </c>
      <c r="K22" s="811">
        <f t="shared" si="1"/>
        <v>0</v>
      </c>
      <c r="L22" s="811">
        <f t="shared" si="1"/>
        <v>0</v>
      </c>
      <c r="M22" s="811">
        <f t="shared" si="1"/>
        <v>0</v>
      </c>
      <c r="N22" s="811">
        <f t="shared" si="1"/>
        <v>11654.13995353286</v>
      </c>
      <c r="O22" s="811">
        <f t="shared" si="1"/>
        <v>0</v>
      </c>
      <c r="P22" s="811">
        <f t="shared" si="1"/>
        <v>0</v>
      </c>
      <c r="Q22" s="811">
        <f t="shared" si="1"/>
        <v>0</v>
      </c>
      <c r="R22" s="811">
        <f t="shared" si="1"/>
        <v>209280.27020498709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2366.4428459999999</v>
      </c>
      <c r="D24" s="686">
        <f>+landbouw!C8</f>
        <v>5361.4285714285716</v>
      </c>
      <c r="E24" s="686">
        <f>+landbouw!D8</f>
        <v>0</v>
      </c>
      <c r="F24" s="686">
        <f>+landbouw!E8</f>
        <v>73.855900867080322</v>
      </c>
      <c r="G24" s="686">
        <f>+landbouw!F8</f>
        <v>8363.2711652307898</v>
      </c>
      <c r="H24" s="686">
        <f>+landbouw!G8</f>
        <v>0</v>
      </c>
      <c r="I24" s="686">
        <f>+landbouw!H8</f>
        <v>0</v>
      </c>
      <c r="J24" s="686">
        <f>+landbouw!I8</f>
        <v>0</v>
      </c>
      <c r="K24" s="686">
        <f>+landbouw!J8</f>
        <v>651.97141521031085</v>
      </c>
      <c r="L24" s="686">
        <f>+landbouw!K8</f>
        <v>0</v>
      </c>
      <c r="M24" s="686">
        <f>+landbouw!L8</f>
        <v>0</v>
      </c>
      <c r="N24" s="686">
        <f>+landbouw!M8</f>
        <v>0</v>
      </c>
      <c r="O24" s="686">
        <f>+landbouw!N8</f>
        <v>0</v>
      </c>
      <c r="P24" s="686">
        <f>+landbouw!O8</f>
        <v>0</v>
      </c>
      <c r="Q24" s="687">
        <f>+landbouw!P8</f>
        <v>0</v>
      </c>
      <c r="R24" s="689">
        <f>SUM(C24:Q24)</f>
        <v>16816.969898736752</v>
      </c>
      <c r="S24" s="67"/>
    </row>
    <row r="25" spans="1:19" s="448" customFormat="1" ht="15" thickBot="1">
      <c r="A25" s="830" t="s">
        <v>724</v>
      </c>
      <c r="B25" s="949"/>
      <c r="C25" s="950">
        <f>IF(Onbekend_ele_kWh="---",0,Onbekend_ele_kWh)/1000+IF(REST_rest_ele_kWh="---",0,REST_rest_ele_kWh)/1000</f>
        <v>1059.5459049999999</v>
      </c>
      <c r="D25" s="950"/>
      <c r="E25" s="950">
        <f>IF(onbekend_gas_kWh="---",0,onbekend_gas_kWh)/1000+IF(REST_rest_gas_kWh="---",0,REST_rest_gas_kWh)/1000</f>
        <v>2949.4176600000001</v>
      </c>
      <c r="F25" s="950"/>
      <c r="G25" s="950"/>
      <c r="H25" s="950"/>
      <c r="I25" s="950"/>
      <c r="J25" s="950"/>
      <c r="K25" s="950"/>
      <c r="L25" s="950"/>
      <c r="M25" s="950"/>
      <c r="N25" s="950"/>
      <c r="O25" s="950"/>
      <c r="P25" s="950"/>
      <c r="Q25" s="951"/>
      <c r="R25" s="689">
        <f>SUM(C25:Q25)</f>
        <v>4008.963565</v>
      </c>
      <c r="S25" s="67"/>
    </row>
    <row r="26" spans="1:19" s="448" customFormat="1" ht="15.75" thickBot="1">
      <c r="A26" s="694" t="s">
        <v>725</v>
      </c>
      <c r="B26" s="816"/>
      <c r="C26" s="811">
        <f>SUM(C24:C25)</f>
        <v>3425.9887509999999</v>
      </c>
      <c r="D26" s="811">
        <f t="shared" ref="D26:R26" si="2">SUM(D24:D25)</f>
        <v>5361.4285714285716</v>
      </c>
      <c r="E26" s="811">
        <f t="shared" si="2"/>
        <v>2949.4176600000001</v>
      </c>
      <c r="F26" s="811">
        <f t="shared" si="2"/>
        <v>73.855900867080322</v>
      </c>
      <c r="G26" s="811">
        <f t="shared" si="2"/>
        <v>8363.2711652307898</v>
      </c>
      <c r="H26" s="811">
        <f t="shared" si="2"/>
        <v>0</v>
      </c>
      <c r="I26" s="811">
        <f t="shared" si="2"/>
        <v>0</v>
      </c>
      <c r="J26" s="811">
        <f t="shared" si="2"/>
        <v>0</v>
      </c>
      <c r="K26" s="811">
        <f t="shared" si="2"/>
        <v>651.97141521031085</v>
      </c>
      <c r="L26" s="811">
        <f t="shared" si="2"/>
        <v>0</v>
      </c>
      <c r="M26" s="811">
        <f t="shared" si="2"/>
        <v>0</v>
      </c>
      <c r="N26" s="811">
        <f t="shared" si="2"/>
        <v>0</v>
      </c>
      <c r="O26" s="811">
        <f t="shared" si="2"/>
        <v>0</v>
      </c>
      <c r="P26" s="811">
        <f t="shared" si="2"/>
        <v>0</v>
      </c>
      <c r="Q26" s="811">
        <f t="shared" si="2"/>
        <v>0</v>
      </c>
      <c r="R26" s="811">
        <f t="shared" si="2"/>
        <v>20825.93346373675</v>
      </c>
      <c r="S26" s="67"/>
    </row>
    <row r="27" spans="1:19" s="448" customFormat="1" ht="17.25" thickTop="1" thickBot="1">
      <c r="A27" s="695" t="s">
        <v>115</v>
      </c>
      <c r="B27" s="803"/>
      <c r="C27" s="696">
        <f ca="1">C22+C16+C26</f>
        <v>159920.18038978663</v>
      </c>
      <c r="D27" s="696">
        <f t="shared" ref="D27:R27" ca="1" si="3">D22+D16+D26</f>
        <v>5361.4285714285716</v>
      </c>
      <c r="E27" s="696">
        <f t="shared" ca="1" si="3"/>
        <v>212671.16309568187</v>
      </c>
      <c r="F27" s="696">
        <f t="shared" si="3"/>
        <v>21862.735700684931</v>
      </c>
      <c r="G27" s="696">
        <f t="shared" ca="1" si="3"/>
        <v>28765.202586260799</v>
      </c>
      <c r="H27" s="696">
        <f t="shared" si="3"/>
        <v>160472.7789167318</v>
      </c>
      <c r="I27" s="696">
        <f t="shared" si="3"/>
        <v>36330.921642633919</v>
      </c>
      <c r="J27" s="696">
        <f t="shared" si="3"/>
        <v>0</v>
      </c>
      <c r="K27" s="696">
        <f t="shared" si="3"/>
        <v>679.83961807274181</v>
      </c>
      <c r="L27" s="696">
        <f t="shared" si="3"/>
        <v>0</v>
      </c>
      <c r="M27" s="696">
        <f t="shared" ca="1" si="3"/>
        <v>0</v>
      </c>
      <c r="N27" s="696">
        <f t="shared" si="3"/>
        <v>11654.13995353286</v>
      </c>
      <c r="O27" s="696">
        <f t="shared" ca="1" si="3"/>
        <v>35145.712706745369</v>
      </c>
      <c r="P27" s="696">
        <f t="shared" si="3"/>
        <v>818.9989359110856</v>
      </c>
      <c r="Q27" s="696">
        <f t="shared" si="3"/>
        <v>726.05924283868603</v>
      </c>
      <c r="R27" s="696">
        <f t="shared" ca="1" si="3"/>
        <v>674409.16136030934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6441.3083069027462</v>
      </c>
      <c r="D40" s="686">
        <f ca="1">tertiair!C20</f>
        <v>0</v>
      </c>
      <c r="E40" s="686">
        <f ca="1">tertiair!D20</f>
        <v>7771.5284896279809</v>
      </c>
      <c r="F40" s="686">
        <f>tertiair!E20</f>
        <v>127.11631501650366</v>
      </c>
      <c r="G40" s="686">
        <f ca="1">tertiair!F20</f>
        <v>942.79490884635345</v>
      </c>
      <c r="H40" s="686">
        <f>tertiair!G20</f>
        <v>0</v>
      </c>
      <c r="I40" s="686">
        <f>tertiair!H20</f>
        <v>0</v>
      </c>
      <c r="J40" s="686">
        <f>tertiair!I20</f>
        <v>0</v>
      </c>
      <c r="K40" s="686">
        <f>tertiair!J20</f>
        <v>1.7038410352020479E-2</v>
      </c>
      <c r="L40" s="686">
        <f>tertiair!K20</f>
        <v>0</v>
      </c>
      <c r="M40" s="686">
        <f ca="1">tertiair!L20</f>
        <v>0</v>
      </c>
      <c r="N40" s="686">
        <f>tertiair!M20</f>
        <v>0</v>
      </c>
      <c r="O40" s="686">
        <f ca="1">tertiair!N20</f>
        <v>0</v>
      </c>
      <c r="P40" s="686">
        <f>tertiair!O20</f>
        <v>0</v>
      </c>
      <c r="Q40" s="769">
        <f>tertiair!P20</f>
        <v>0</v>
      </c>
      <c r="R40" s="849">
        <f t="shared" ca="1" si="4"/>
        <v>15282.765058803934</v>
      </c>
    </row>
    <row r="41" spans="1:18">
      <c r="A41" s="821" t="s">
        <v>224</v>
      </c>
      <c r="B41" s="828"/>
      <c r="C41" s="686">
        <f ca="1">huishoudens!B12</f>
        <v>7491.9819208072131</v>
      </c>
      <c r="D41" s="686">
        <f ca="1">huishoudens!C12</f>
        <v>0</v>
      </c>
      <c r="E41" s="686">
        <f>huishoudens!D12</f>
        <v>25253.009716939621</v>
      </c>
      <c r="F41" s="686">
        <f>huishoudens!E12</f>
        <v>3713.8283399846196</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36458.819977731451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14044.771994378418</v>
      </c>
      <c r="D43" s="686">
        <f ca="1">industrie!C22</f>
        <v>0</v>
      </c>
      <c r="E43" s="686">
        <f>industrie!D22</f>
        <v>9260.8831835524416</v>
      </c>
      <c r="F43" s="686">
        <f>industrie!E22</f>
        <v>1028.335699944764</v>
      </c>
      <c r="G43" s="686">
        <f>industrie!F22</f>
        <v>4504.5207805686596</v>
      </c>
      <c r="H43" s="686">
        <f>industrie!G22</f>
        <v>0</v>
      </c>
      <c r="I43" s="686">
        <f>industrie!H22</f>
        <v>0</v>
      </c>
      <c r="J43" s="686">
        <f>industrie!I22</f>
        <v>0</v>
      </c>
      <c r="K43" s="686">
        <f>industrie!J22</f>
        <v>9.8483054029485491</v>
      </c>
      <c r="L43" s="686">
        <f>industrie!K22</f>
        <v>0</v>
      </c>
      <c r="M43" s="686">
        <f>industrie!L22</f>
        <v>0</v>
      </c>
      <c r="N43" s="686">
        <f>industrie!M22</f>
        <v>0</v>
      </c>
      <c r="O43" s="686">
        <f>industrie!N22</f>
        <v>0</v>
      </c>
      <c r="P43" s="686">
        <f>industrie!O22</f>
        <v>0</v>
      </c>
      <c r="Q43" s="769">
        <f>industrie!P22</f>
        <v>0</v>
      </c>
      <c r="R43" s="848">
        <f t="shared" ca="1" si="4"/>
        <v>28848.35996384723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27978.062222088378</v>
      </c>
      <c r="D46" s="722">
        <f t="shared" ref="D46:Q46" ca="1" si="5">SUM(D39:D45)</f>
        <v>0</v>
      </c>
      <c r="E46" s="722">
        <f t="shared" ca="1" si="5"/>
        <v>42285.421390120042</v>
      </c>
      <c r="F46" s="722">
        <f t="shared" si="5"/>
        <v>4869.2803549458868</v>
      </c>
      <c r="G46" s="722">
        <f t="shared" ca="1" si="5"/>
        <v>5447.3156894150134</v>
      </c>
      <c r="H46" s="722">
        <f t="shared" si="5"/>
        <v>0</v>
      </c>
      <c r="I46" s="722">
        <f t="shared" si="5"/>
        <v>0</v>
      </c>
      <c r="J46" s="722">
        <f t="shared" si="5"/>
        <v>0</v>
      </c>
      <c r="K46" s="722">
        <f t="shared" si="5"/>
        <v>9.8653438133005693</v>
      </c>
      <c r="L46" s="722">
        <f t="shared" si="5"/>
        <v>0</v>
      </c>
      <c r="M46" s="722">
        <f t="shared" ca="1" si="5"/>
        <v>0</v>
      </c>
      <c r="N46" s="722">
        <f t="shared" si="5"/>
        <v>0</v>
      </c>
      <c r="O46" s="722">
        <f t="shared" ca="1" si="5"/>
        <v>0</v>
      </c>
      <c r="P46" s="722">
        <f t="shared" si="5"/>
        <v>0</v>
      </c>
      <c r="Q46" s="722">
        <f t="shared" si="5"/>
        <v>0</v>
      </c>
      <c r="R46" s="722">
        <f ca="1">SUM(R39:R45)</f>
        <v>80589.945000382606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164.98166501883949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164.98166501883949</v>
      </c>
    </row>
    <row r="50" spans="1:18">
      <c r="A50" s="824" t="s">
        <v>306</v>
      </c>
      <c r="B50" s="834"/>
      <c r="C50" s="692">
        <f ca="1">transport!B18</f>
        <v>17.199919495884092</v>
      </c>
      <c r="D50" s="692">
        <f>transport!C18</f>
        <v>0</v>
      </c>
      <c r="E50" s="692">
        <f>transport!D18</f>
        <v>78.371187887697786</v>
      </c>
      <c r="F50" s="692">
        <f>transport!E18</f>
        <v>76.795359612765139</v>
      </c>
      <c r="G50" s="692">
        <f>transport!F18</f>
        <v>0</v>
      </c>
      <c r="H50" s="692">
        <f>transport!G18</f>
        <v>42681.250305748552</v>
      </c>
      <c r="I50" s="692">
        <f>transport!H18</f>
        <v>9046.3994890158465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51900.016261760742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17.199919495884092</v>
      </c>
      <c r="D52" s="722">
        <f t="shared" ref="D52:Q52" ca="1" si="6">SUM(D48:D51)</f>
        <v>0</v>
      </c>
      <c r="E52" s="722">
        <f t="shared" si="6"/>
        <v>78.371187887697786</v>
      </c>
      <c r="F52" s="722">
        <f t="shared" si="6"/>
        <v>76.795359612765139</v>
      </c>
      <c r="G52" s="722">
        <f t="shared" si="6"/>
        <v>0</v>
      </c>
      <c r="H52" s="722">
        <f t="shared" si="6"/>
        <v>42846.231970767389</v>
      </c>
      <c r="I52" s="722">
        <f t="shared" si="6"/>
        <v>9046.3994890158465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52064.997926779579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423.33320568063209</v>
      </c>
      <c r="D54" s="692">
        <f ca="1">+landbouw!C12</f>
        <v>1274.127731092437</v>
      </c>
      <c r="E54" s="692">
        <f>+landbouw!D12</f>
        <v>0</v>
      </c>
      <c r="F54" s="692">
        <f>+landbouw!E12</f>
        <v>16.765289496827233</v>
      </c>
      <c r="G54" s="692">
        <f>+landbouw!F12</f>
        <v>2232.993401116621</v>
      </c>
      <c r="H54" s="692">
        <f>+landbouw!G12</f>
        <v>0</v>
      </c>
      <c r="I54" s="692">
        <f>+landbouw!H12</f>
        <v>0</v>
      </c>
      <c r="J54" s="692">
        <f>+landbouw!I12</f>
        <v>0</v>
      </c>
      <c r="K54" s="692">
        <f>+landbouw!J12</f>
        <v>230.79788098445002</v>
      </c>
      <c r="L54" s="692">
        <f>+landbouw!K12</f>
        <v>0</v>
      </c>
      <c r="M54" s="692">
        <f>+landbouw!L12</f>
        <v>0</v>
      </c>
      <c r="N54" s="692">
        <f>+landbouw!M12</f>
        <v>0</v>
      </c>
      <c r="O54" s="692">
        <f>+landbouw!N12</f>
        <v>0</v>
      </c>
      <c r="P54" s="692">
        <f>+landbouw!O12</f>
        <v>0</v>
      </c>
      <c r="Q54" s="693">
        <f>+landbouw!P12</f>
        <v>0</v>
      </c>
      <c r="R54" s="721">
        <f ca="1">SUM(C54:Q54)</f>
        <v>4178.0175083709673</v>
      </c>
    </row>
    <row r="55" spans="1:18" ht="15" thickBot="1">
      <c r="A55" s="824" t="s">
        <v>724</v>
      </c>
      <c r="B55" s="834"/>
      <c r="C55" s="692">
        <f ca="1">C25*'EF ele_warmte'!B12</f>
        <v>189.54227662316273</v>
      </c>
      <c r="D55" s="692"/>
      <c r="E55" s="692">
        <f>E25*EF_CO2_aardgas</f>
        <v>595.78236732000005</v>
      </c>
      <c r="F55" s="692"/>
      <c r="G55" s="692"/>
      <c r="H55" s="692"/>
      <c r="I55" s="692"/>
      <c r="J55" s="692"/>
      <c r="K55" s="692"/>
      <c r="L55" s="692"/>
      <c r="M55" s="692"/>
      <c r="N55" s="692"/>
      <c r="O55" s="692"/>
      <c r="P55" s="692"/>
      <c r="Q55" s="693"/>
      <c r="R55" s="721">
        <f ca="1">SUM(C55:Q55)</f>
        <v>785.32464394316276</v>
      </c>
    </row>
    <row r="56" spans="1:18" ht="15.75" thickBot="1">
      <c r="A56" s="822" t="s">
        <v>725</v>
      </c>
      <c r="B56" s="835"/>
      <c r="C56" s="722">
        <f ca="1">SUM(C54:C55)</f>
        <v>612.8754823037948</v>
      </c>
      <c r="D56" s="722">
        <f t="shared" ref="D56:Q56" ca="1" si="7">SUM(D54:D55)</f>
        <v>1274.127731092437</v>
      </c>
      <c r="E56" s="722">
        <f t="shared" si="7"/>
        <v>595.78236732000005</v>
      </c>
      <c r="F56" s="722">
        <f t="shared" si="7"/>
        <v>16.765289496827233</v>
      </c>
      <c r="G56" s="722">
        <f t="shared" si="7"/>
        <v>2232.993401116621</v>
      </c>
      <c r="H56" s="722">
        <f t="shared" si="7"/>
        <v>0</v>
      </c>
      <c r="I56" s="722">
        <f t="shared" si="7"/>
        <v>0</v>
      </c>
      <c r="J56" s="722">
        <f t="shared" si="7"/>
        <v>0</v>
      </c>
      <c r="K56" s="722">
        <f t="shared" si="7"/>
        <v>230.79788098445002</v>
      </c>
      <c r="L56" s="722">
        <f t="shared" si="7"/>
        <v>0</v>
      </c>
      <c r="M56" s="722">
        <f t="shared" si="7"/>
        <v>0</v>
      </c>
      <c r="N56" s="722">
        <f t="shared" si="7"/>
        <v>0</v>
      </c>
      <c r="O56" s="722">
        <f t="shared" si="7"/>
        <v>0</v>
      </c>
      <c r="P56" s="722">
        <f t="shared" si="7"/>
        <v>0</v>
      </c>
      <c r="Q56" s="723">
        <f t="shared" si="7"/>
        <v>0</v>
      </c>
      <c r="R56" s="724">
        <f ca="1">SUM(R54:R55)</f>
        <v>4963.3421523141296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28608.137623888058</v>
      </c>
      <c r="D61" s="730">
        <f t="shared" ref="D61:Q61" ca="1" si="8">D46+D52+D56</f>
        <v>1274.127731092437</v>
      </c>
      <c r="E61" s="730">
        <f t="shared" ca="1" si="8"/>
        <v>42959.574945327739</v>
      </c>
      <c r="F61" s="730">
        <f t="shared" si="8"/>
        <v>4962.8410040554791</v>
      </c>
      <c r="G61" s="730">
        <f t="shared" ca="1" si="8"/>
        <v>7680.3090905316349</v>
      </c>
      <c r="H61" s="730">
        <f t="shared" si="8"/>
        <v>42846.231970767389</v>
      </c>
      <c r="I61" s="730">
        <f t="shared" si="8"/>
        <v>9046.3994890158465</v>
      </c>
      <c r="J61" s="730">
        <f t="shared" si="8"/>
        <v>0</v>
      </c>
      <c r="K61" s="730">
        <f t="shared" si="8"/>
        <v>240.66322479775059</v>
      </c>
      <c r="L61" s="730">
        <f t="shared" si="8"/>
        <v>0</v>
      </c>
      <c r="M61" s="730">
        <f t="shared" ca="1" si="8"/>
        <v>0</v>
      </c>
      <c r="N61" s="730">
        <f t="shared" si="8"/>
        <v>0</v>
      </c>
      <c r="O61" s="730">
        <f t="shared" ca="1" si="8"/>
        <v>0</v>
      </c>
      <c r="P61" s="730">
        <f t="shared" si="8"/>
        <v>0</v>
      </c>
      <c r="Q61" s="730">
        <f t="shared" si="8"/>
        <v>0</v>
      </c>
      <c r="R61" s="730">
        <f ca="1">R46+R52+R56</f>
        <v>137618.28507947631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0.17889010351388479</v>
      </c>
      <c r="D63" s="776">
        <f t="shared" ca="1" si="9"/>
        <v>0.23764705882352941</v>
      </c>
      <c r="E63" s="975">
        <f t="shared" ca="1" si="9"/>
        <v>0.20200000000000001</v>
      </c>
      <c r="F63" s="776">
        <f t="shared" si="9"/>
        <v>0.22699999999999998</v>
      </c>
      <c r="G63" s="776">
        <f t="shared" ca="1" si="9"/>
        <v>0.26700000000000007</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22287.904640975485</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8466.3879111489186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3753</v>
      </c>
      <c r="D76" s="958">
        <f>'lokale energieproductie'!C8</f>
        <v>4415.2941176470586</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891.88941176470587</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30754.292552124403</v>
      </c>
      <c r="C78" s="748">
        <f>SUM(C72:C77)</f>
        <v>3753</v>
      </c>
      <c r="D78" s="749">
        <f t="shared" ref="D78:H78" si="10">SUM(D76:D77)</f>
        <v>4415.2941176470586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891.88941176470587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5361.4285714285716</v>
      </c>
      <c r="D87" s="772">
        <f>'lokale energieproductie'!C17</f>
        <v>6307.5630252100837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1274.127731092437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5361.4285714285716</v>
      </c>
      <c r="D90" s="748">
        <f t="shared" ref="D90:H90" si="12">SUM(D87:D89)</f>
        <v>6307.5630252100837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1274.127731092437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22287.904640975485</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8466.3879111489186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3753</v>
      </c>
      <c r="C8" s="548">
        <f>B48</f>
        <v>4415.2941176470586</v>
      </c>
      <c r="D8" s="549"/>
      <c r="E8" s="549">
        <f>E48</f>
        <v>0</v>
      </c>
      <c r="F8" s="550"/>
      <c r="G8" s="551"/>
      <c r="H8" s="549">
        <f>I48</f>
        <v>0</v>
      </c>
      <c r="I8" s="549">
        <f>G48+F48</f>
        <v>0</v>
      </c>
      <c r="J8" s="549">
        <f>H48+D48+C48</f>
        <v>0</v>
      </c>
      <c r="K8" s="549"/>
      <c r="L8" s="549"/>
      <c r="M8" s="549"/>
      <c r="N8" s="552"/>
      <c r="O8" s="553">
        <f>C8*$C$12+D8*$D$12+E8*$E$12+F8*$F$12+G8*$G$12+H8*$H$12+I8*$I$12+J8*$J$12</f>
        <v>891.88941176470587</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34507.292552124403</v>
      </c>
      <c r="C10" s="563">
        <f t="shared" ref="C10:L10" si="0">SUM(C8:C9)</f>
        <v>4415.2941176470586</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891.88941176470587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5361.4285714285716</v>
      </c>
      <c r="C17" s="579">
        <f>B49</f>
        <v>6307.5630252100837</v>
      </c>
      <c r="D17" s="580"/>
      <c r="E17" s="580">
        <f>E49</f>
        <v>0</v>
      </c>
      <c r="F17" s="581"/>
      <c r="G17" s="582"/>
      <c r="H17" s="579">
        <f>I49</f>
        <v>0</v>
      </c>
      <c r="I17" s="580">
        <f>G49+F49</f>
        <v>0</v>
      </c>
      <c r="J17" s="580">
        <f>H49+D49+C49</f>
        <v>0</v>
      </c>
      <c r="K17" s="580"/>
      <c r="L17" s="580"/>
      <c r="M17" s="580"/>
      <c r="N17" s="972"/>
      <c r="O17" s="583">
        <f>C17*$C$22+E17*$E$22+H17*$H$22+I17*$I$22+J17*$J$22+D17*$D$22+F17*$F$22+G17*$G$22+K17*$K$22+L17*$L$22</f>
        <v>1274.127731092437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5361.4285714285716</v>
      </c>
      <c r="C20" s="562">
        <f>SUM(C17:C19)</f>
        <v>6307.5630252100837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1274.127731092437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36008</v>
      </c>
      <c r="C28" s="791">
        <v>8870</v>
      </c>
      <c r="D28" s="640" t="s">
        <v>888</v>
      </c>
      <c r="E28" s="639" t="s">
        <v>889</v>
      </c>
      <c r="F28" s="639" t="s">
        <v>890</v>
      </c>
      <c r="G28" s="639" t="s">
        <v>891</v>
      </c>
      <c r="H28" s="639" t="s">
        <v>892</v>
      </c>
      <c r="I28" s="639" t="s">
        <v>893</v>
      </c>
      <c r="J28" s="790">
        <v>41264</v>
      </c>
      <c r="K28" s="790">
        <v>41689</v>
      </c>
      <c r="L28" s="639" t="s">
        <v>894</v>
      </c>
      <c r="M28" s="639">
        <v>834</v>
      </c>
      <c r="N28" s="639">
        <v>3753</v>
      </c>
      <c r="O28" s="639">
        <v>5361.4285714285716</v>
      </c>
      <c r="P28" s="639">
        <v>10722.857142857143</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834</v>
      </c>
      <c r="N29" s="597">
        <f>SUM(N28:N28)</f>
        <v>3753</v>
      </c>
      <c r="O29" s="597">
        <f>SUM(O28:O28)</f>
        <v>5361.4285714285716</v>
      </c>
      <c r="P29" s="597">
        <f>SUM(P28:P28)</f>
        <v>10722.857142857143</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834</v>
      </c>
      <c r="N32" s="602">
        <f>SUMIF($Z$28:$Z$28,"landbouw",N28:N28)</f>
        <v>3753</v>
      </c>
      <c r="O32" s="602">
        <f>SUMIF($Z$28:$Z$28,"landbouw",O28:O28)</f>
        <v>5361.4285714285716</v>
      </c>
      <c r="P32" s="602">
        <f>SUMIF($Z$28:$Z$28,"landbouw",P28:P28)</f>
        <v>10722.857142857143</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0.58823529411764697</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4415.2941176470586</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6307.5630252100837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41880.359917314898</v>
      </c>
      <c r="C4" s="452">
        <f>huishoudens!C8</f>
        <v>0</v>
      </c>
      <c r="D4" s="452">
        <f>huishoudens!D8</f>
        <v>125014.89958881</v>
      </c>
      <c r="E4" s="452">
        <f>huishoudens!E8</f>
        <v>16360.477268654711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29240.366238602022</v>
      </c>
      <c r="O4" s="452">
        <f>huishoudens!O8</f>
        <v>789.6153713160387</v>
      </c>
      <c r="P4" s="453">
        <f>huishoudens!P8</f>
        <v>410.82441299971589</v>
      </c>
      <c r="Q4" s="454">
        <f>SUM(B4:P4)</f>
        <v>213696.54279769736</v>
      </c>
    </row>
    <row r="5" spans="1:17">
      <c r="A5" s="451" t="s">
        <v>155</v>
      </c>
      <c r="B5" s="452">
        <f ca="1">tertiair!B16</f>
        <v>33477.006034999999</v>
      </c>
      <c r="C5" s="452">
        <f ca="1">tertiair!C16</f>
        <v>0</v>
      </c>
      <c r="D5" s="452">
        <f ca="1">tertiair!D16</f>
        <v>38472.913314990001</v>
      </c>
      <c r="E5" s="452">
        <f>tertiair!E16</f>
        <v>559.9837665925271</v>
      </c>
      <c r="F5" s="452">
        <f ca="1">tertiair!F16</f>
        <v>3531.0670743309115</v>
      </c>
      <c r="G5" s="452">
        <f>tertiair!G16</f>
        <v>0</v>
      </c>
      <c r="H5" s="452">
        <f>tertiair!H16</f>
        <v>0</v>
      </c>
      <c r="I5" s="452">
        <f>tertiair!I16</f>
        <v>0</v>
      </c>
      <c r="J5" s="452">
        <f>tertiair!J16</f>
        <v>4.8131102689323385E-2</v>
      </c>
      <c r="K5" s="452">
        <f>tertiair!K16</f>
        <v>0</v>
      </c>
      <c r="L5" s="452">
        <f ca="1">tertiair!L16</f>
        <v>0</v>
      </c>
      <c r="M5" s="452">
        <f>tertiair!M16</f>
        <v>0</v>
      </c>
      <c r="N5" s="452">
        <f ca="1">tertiair!N16</f>
        <v>1926.9399141719127</v>
      </c>
      <c r="O5" s="452">
        <f>tertiair!O16</f>
        <v>29.383564595046927</v>
      </c>
      <c r="P5" s="453">
        <f>tertiair!P16</f>
        <v>315.23482983897009</v>
      </c>
      <c r="Q5" s="451">
        <f t="shared" ref="Q5:Q14" ca="1" si="0">SUM(B5:P5)</f>
        <v>78312.576630622076</v>
      </c>
    </row>
    <row r="6" spans="1:17">
      <c r="A6" s="451" t="s">
        <v>193</v>
      </c>
      <c r="B6" s="452">
        <f>'openbare verlichting'!B8</f>
        <v>2530.0630000000001</v>
      </c>
      <c r="C6" s="452"/>
      <c r="D6" s="452"/>
      <c r="E6" s="452"/>
      <c r="F6" s="452"/>
      <c r="G6" s="452"/>
      <c r="H6" s="452"/>
      <c r="I6" s="452"/>
      <c r="J6" s="452"/>
      <c r="K6" s="452"/>
      <c r="L6" s="452"/>
      <c r="M6" s="452"/>
      <c r="N6" s="452"/>
      <c r="O6" s="452"/>
      <c r="P6" s="453"/>
      <c r="Q6" s="451">
        <f t="shared" si="0"/>
        <v>2530.0630000000001</v>
      </c>
    </row>
    <row r="7" spans="1:17">
      <c r="A7" s="451" t="s">
        <v>111</v>
      </c>
      <c r="B7" s="452">
        <f>landbouw!B8</f>
        <v>2366.4428459999999</v>
      </c>
      <c r="C7" s="452">
        <f>landbouw!C8</f>
        <v>5361.4285714285716</v>
      </c>
      <c r="D7" s="452">
        <f>landbouw!D8</f>
        <v>0</v>
      </c>
      <c r="E7" s="452">
        <f>landbouw!E8</f>
        <v>73.855900867080322</v>
      </c>
      <c r="F7" s="452">
        <f>landbouw!F8</f>
        <v>8363.2711652307898</v>
      </c>
      <c r="G7" s="452">
        <f>landbouw!G8</f>
        <v>0</v>
      </c>
      <c r="H7" s="452">
        <f>landbouw!H8</f>
        <v>0</v>
      </c>
      <c r="I7" s="452">
        <f>landbouw!I8</f>
        <v>0</v>
      </c>
      <c r="J7" s="452">
        <f>landbouw!J8</f>
        <v>651.97141521031085</v>
      </c>
      <c r="K7" s="452">
        <f>landbouw!K8</f>
        <v>0</v>
      </c>
      <c r="L7" s="452">
        <f>landbouw!L8</f>
        <v>0</v>
      </c>
      <c r="M7" s="452">
        <f>landbouw!M8</f>
        <v>0</v>
      </c>
      <c r="N7" s="452">
        <f>landbouw!N8</f>
        <v>0</v>
      </c>
      <c r="O7" s="452">
        <f>landbouw!O8</f>
        <v>0</v>
      </c>
      <c r="P7" s="453">
        <f>landbouw!P8</f>
        <v>0</v>
      </c>
      <c r="Q7" s="451">
        <f t="shared" si="0"/>
        <v>16816.969898736752</v>
      </c>
    </row>
    <row r="8" spans="1:17">
      <c r="A8" s="451" t="s">
        <v>625</v>
      </c>
      <c r="B8" s="452">
        <f>industrie!B18</f>
        <v>78510.614721000005</v>
      </c>
      <c r="C8" s="452">
        <f>industrie!C18</f>
        <v>0</v>
      </c>
      <c r="D8" s="452">
        <f>industrie!D18</f>
        <v>45845.956354220005</v>
      </c>
      <c r="E8" s="452">
        <f>industrie!E18</f>
        <v>4530.1132156157</v>
      </c>
      <c r="F8" s="452">
        <f>industrie!F18</f>
        <v>16870.864346699098</v>
      </c>
      <c r="G8" s="452">
        <f>industrie!G18</f>
        <v>0</v>
      </c>
      <c r="H8" s="452">
        <f>industrie!H18</f>
        <v>0</v>
      </c>
      <c r="I8" s="452">
        <f>industrie!I18</f>
        <v>0</v>
      </c>
      <c r="J8" s="452">
        <f>industrie!J18</f>
        <v>27.820071759741666</v>
      </c>
      <c r="K8" s="452">
        <f>industrie!K18</f>
        <v>0</v>
      </c>
      <c r="L8" s="452">
        <f>industrie!L18</f>
        <v>0</v>
      </c>
      <c r="M8" s="452">
        <f>industrie!M18</f>
        <v>0</v>
      </c>
      <c r="N8" s="452">
        <f>industrie!N18</f>
        <v>3978.4065539714361</v>
      </c>
      <c r="O8" s="452">
        <f>industrie!O18</f>
        <v>0</v>
      </c>
      <c r="P8" s="453">
        <f>industrie!P18</f>
        <v>0</v>
      </c>
      <c r="Q8" s="451">
        <f t="shared" si="0"/>
        <v>149763.775263266</v>
      </c>
    </row>
    <row r="9" spans="1:17" s="457" customFormat="1">
      <c r="A9" s="455" t="s">
        <v>551</v>
      </c>
      <c r="B9" s="456">
        <f>transport!B14</f>
        <v>96.147965471712624</v>
      </c>
      <c r="C9" s="456">
        <f>transport!C14</f>
        <v>0</v>
      </c>
      <c r="D9" s="456">
        <f>transport!D14</f>
        <v>387.97617766187022</v>
      </c>
      <c r="E9" s="456">
        <f>transport!E14</f>
        <v>338.30554895491252</v>
      </c>
      <c r="F9" s="456">
        <f>transport!F14</f>
        <v>0</v>
      </c>
      <c r="G9" s="456">
        <f>transport!G14</f>
        <v>159854.87005898333</v>
      </c>
      <c r="H9" s="456">
        <f>transport!H14</f>
        <v>36330.921642633919</v>
      </c>
      <c r="I9" s="456">
        <f>transport!I14</f>
        <v>0</v>
      </c>
      <c r="J9" s="456">
        <f>transport!J14</f>
        <v>0</v>
      </c>
      <c r="K9" s="456">
        <f>transport!K14</f>
        <v>0</v>
      </c>
      <c r="L9" s="456">
        <f>transport!L14</f>
        <v>0</v>
      </c>
      <c r="M9" s="456">
        <f>transport!M14</f>
        <v>11619.801914092675</v>
      </c>
      <c r="N9" s="456">
        <f>transport!N14</f>
        <v>0</v>
      </c>
      <c r="O9" s="456">
        <f>transport!O14</f>
        <v>0</v>
      </c>
      <c r="P9" s="456">
        <f>transport!P14</f>
        <v>0</v>
      </c>
      <c r="Q9" s="455">
        <f>SUM(B9:P9)</f>
        <v>208628.02330779843</v>
      </c>
    </row>
    <row r="10" spans="1:17">
      <c r="A10" s="451" t="s">
        <v>541</v>
      </c>
      <c r="B10" s="452">
        <f>transport!B54</f>
        <v>0</v>
      </c>
      <c r="C10" s="452">
        <f>transport!C54</f>
        <v>0</v>
      </c>
      <c r="D10" s="452">
        <f>transport!D54</f>
        <v>0</v>
      </c>
      <c r="E10" s="452">
        <f>transport!E54</f>
        <v>0</v>
      </c>
      <c r="F10" s="452">
        <f>transport!F54</f>
        <v>0</v>
      </c>
      <c r="G10" s="452">
        <f>transport!G54</f>
        <v>617.90885774846254</v>
      </c>
      <c r="H10" s="452">
        <f>transport!H54</f>
        <v>0</v>
      </c>
      <c r="I10" s="452">
        <f>transport!I54</f>
        <v>0</v>
      </c>
      <c r="J10" s="452">
        <f>transport!J54</f>
        <v>0</v>
      </c>
      <c r="K10" s="452">
        <f>transport!K54</f>
        <v>0</v>
      </c>
      <c r="L10" s="452">
        <f>transport!L54</f>
        <v>0</v>
      </c>
      <c r="M10" s="452">
        <f>transport!M54</f>
        <v>34.338039440184339</v>
      </c>
      <c r="N10" s="452">
        <f>transport!N54</f>
        <v>0</v>
      </c>
      <c r="O10" s="452">
        <f>transport!O54</f>
        <v>0</v>
      </c>
      <c r="P10" s="453">
        <f>transport!P54</f>
        <v>0</v>
      </c>
      <c r="Q10" s="451">
        <f t="shared" si="0"/>
        <v>652.24689718864693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1059.5459049999999</v>
      </c>
      <c r="C14" s="459"/>
      <c r="D14" s="459">
        <f>'SEAP template'!E25</f>
        <v>2949.4176600000001</v>
      </c>
      <c r="E14" s="459"/>
      <c r="F14" s="459"/>
      <c r="G14" s="459"/>
      <c r="H14" s="459"/>
      <c r="I14" s="459"/>
      <c r="J14" s="459"/>
      <c r="K14" s="459"/>
      <c r="L14" s="459"/>
      <c r="M14" s="459"/>
      <c r="N14" s="459"/>
      <c r="O14" s="459"/>
      <c r="P14" s="460"/>
      <c r="Q14" s="451">
        <f t="shared" si="0"/>
        <v>4008.963565</v>
      </c>
    </row>
    <row r="15" spans="1:17" s="463" customFormat="1">
      <c r="A15" s="461" t="s">
        <v>545</v>
      </c>
      <c r="B15" s="462">
        <f ca="1">SUM(B4:B14)</f>
        <v>159920.18038978663</v>
      </c>
      <c r="C15" s="462">
        <f t="shared" ref="C15:Q15" ca="1" si="1">SUM(C4:C14)</f>
        <v>5361.4285714285716</v>
      </c>
      <c r="D15" s="462">
        <f t="shared" ca="1" si="1"/>
        <v>212671.16309568187</v>
      </c>
      <c r="E15" s="462">
        <f t="shared" si="1"/>
        <v>21862.735700684931</v>
      </c>
      <c r="F15" s="462">
        <f t="shared" ca="1" si="1"/>
        <v>28765.202586260799</v>
      </c>
      <c r="G15" s="462">
        <f t="shared" si="1"/>
        <v>160472.7789167318</v>
      </c>
      <c r="H15" s="462">
        <f t="shared" si="1"/>
        <v>36330.921642633919</v>
      </c>
      <c r="I15" s="462">
        <f t="shared" si="1"/>
        <v>0</v>
      </c>
      <c r="J15" s="462">
        <f t="shared" si="1"/>
        <v>679.83961807274181</v>
      </c>
      <c r="K15" s="462">
        <f t="shared" si="1"/>
        <v>0</v>
      </c>
      <c r="L15" s="462">
        <f t="shared" ca="1" si="1"/>
        <v>0</v>
      </c>
      <c r="M15" s="462">
        <f t="shared" si="1"/>
        <v>11654.13995353286</v>
      </c>
      <c r="N15" s="462">
        <f t="shared" ca="1" si="1"/>
        <v>35145.712706745369</v>
      </c>
      <c r="O15" s="462">
        <f t="shared" si="1"/>
        <v>818.9989359110856</v>
      </c>
      <c r="P15" s="462">
        <f t="shared" si="1"/>
        <v>726.05924283868603</v>
      </c>
      <c r="Q15" s="462">
        <f t="shared" ca="1" si="1"/>
        <v>674409.16136030923</v>
      </c>
    </row>
    <row r="17" spans="1:17">
      <c r="A17" s="464" t="s">
        <v>546</v>
      </c>
      <c r="B17" s="781">
        <f ca="1">huishoudens!B10</f>
        <v>0.17889010351388479</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7491.9819208072131</v>
      </c>
      <c r="C22" s="452">
        <f t="shared" ref="C22:C32" ca="1" si="3">C4*$C$17</f>
        <v>0</v>
      </c>
      <c r="D22" s="452">
        <f t="shared" ref="D22:D32" si="4">D4*$D$17</f>
        <v>25253.009716939621</v>
      </c>
      <c r="E22" s="452">
        <f t="shared" ref="E22:E32" si="5">E4*$E$17</f>
        <v>3713.8283399846196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36458.819977731451</v>
      </c>
    </row>
    <row r="23" spans="1:17">
      <c r="A23" s="451" t="s">
        <v>155</v>
      </c>
      <c r="B23" s="452">
        <f t="shared" ca="1" si="2"/>
        <v>5988.705074936096</v>
      </c>
      <c r="C23" s="452">
        <f t="shared" ca="1" si="3"/>
        <v>0</v>
      </c>
      <c r="D23" s="452">
        <f t="shared" ca="1" si="4"/>
        <v>7771.5284896279809</v>
      </c>
      <c r="E23" s="452">
        <f t="shared" si="5"/>
        <v>127.11631501650366</v>
      </c>
      <c r="F23" s="452">
        <f t="shared" ca="1" si="6"/>
        <v>942.79490884635345</v>
      </c>
      <c r="G23" s="452">
        <f t="shared" si="7"/>
        <v>0</v>
      </c>
      <c r="H23" s="452">
        <f t="shared" si="8"/>
        <v>0</v>
      </c>
      <c r="I23" s="452">
        <f t="shared" si="9"/>
        <v>0</v>
      </c>
      <c r="J23" s="452">
        <f t="shared" si="10"/>
        <v>1.7038410352020479E-2</v>
      </c>
      <c r="K23" s="452">
        <f t="shared" si="11"/>
        <v>0</v>
      </c>
      <c r="L23" s="452">
        <f t="shared" ca="1" si="12"/>
        <v>0</v>
      </c>
      <c r="M23" s="452">
        <f t="shared" si="13"/>
        <v>0</v>
      </c>
      <c r="N23" s="452">
        <f t="shared" ca="1" si="14"/>
        <v>0</v>
      </c>
      <c r="O23" s="452">
        <f t="shared" si="15"/>
        <v>0</v>
      </c>
      <c r="P23" s="453">
        <f t="shared" si="16"/>
        <v>0</v>
      </c>
      <c r="Q23" s="451">
        <f t="shared" ref="Q23:Q31" ca="1" si="17">SUM(B23:P23)</f>
        <v>14830.161826837286</v>
      </c>
    </row>
    <row r="24" spans="1:17">
      <c r="A24" s="451" t="s">
        <v>193</v>
      </c>
      <c r="B24" s="452">
        <f t="shared" ca="1" si="2"/>
        <v>452.6032319666499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452.6032319666499</v>
      </c>
    </row>
    <row r="25" spans="1:17">
      <c r="A25" s="451" t="s">
        <v>111</v>
      </c>
      <c r="B25" s="452">
        <f t="shared" ca="1" si="2"/>
        <v>423.33320568063209</v>
      </c>
      <c r="C25" s="452">
        <f t="shared" ca="1" si="3"/>
        <v>1274.127731092437</v>
      </c>
      <c r="D25" s="452">
        <f t="shared" si="4"/>
        <v>0</v>
      </c>
      <c r="E25" s="452">
        <f t="shared" si="5"/>
        <v>16.765289496827233</v>
      </c>
      <c r="F25" s="452">
        <f t="shared" si="6"/>
        <v>2232.993401116621</v>
      </c>
      <c r="G25" s="452">
        <f t="shared" si="7"/>
        <v>0</v>
      </c>
      <c r="H25" s="452">
        <f t="shared" si="8"/>
        <v>0</v>
      </c>
      <c r="I25" s="452">
        <f t="shared" si="9"/>
        <v>0</v>
      </c>
      <c r="J25" s="452">
        <f t="shared" si="10"/>
        <v>230.79788098445002</v>
      </c>
      <c r="K25" s="452">
        <f t="shared" si="11"/>
        <v>0</v>
      </c>
      <c r="L25" s="452">
        <f t="shared" si="12"/>
        <v>0</v>
      </c>
      <c r="M25" s="452">
        <f t="shared" si="13"/>
        <v>0</v>
      </c>
      <c r="N25" s="452">
        <f t="shared" si="14"/>
        <v>0</v>
      </c>
      <c r="O25" s="452">
        <f t="shared" si="15"/>
        <v>0</v>
      </c>
      <c r="P25" s="453">
        <f t="shared" si="16"/>
        <v>0</v>
      </c>
      <c r="Q25" s="451">
        <f t="shared" ca="1" si="17"/>
        <v>4178.0175083709673</v>
      </c>
    </row>
    <row r="26" spans="1:17">
      <c r="A26" s="451" t="s">
        <v>625</v>
      </c>
      <c r="B26" s="452">
        <f t="shared" ca="1" si="2"/>
        <v>14044.771994378418</v>
      </c>
      <c r="C26" s="452">
        <f t="shared" ca="1" si="3"/>
        <v>0</v>
      </c>
      <c r="D26" s="452">
        <f t="shared" si="4"/>
        <v>9260.8831835524416</v>
      </c>
      <c r="E26" s="452">
        <f t="shared" si="5"/>
        <v>1028.335699944764</v>
      </c>
      <c r="F26" s="452">
        <f t="shared" si="6"/>
        <v>4504.5207805686596</v>
      </c>
      <c r="G26" s="452">
        <f t="shared" si="7"/>
        <v>0</v>
      </c>
      <c r="H26" s="452">
        <f t="shared" si="8"/>
        <v>0</v>
      </c>
      <c r="I26" s="452">
        <f t="shared" si="9"/>
        <v>0</v>
      </c>
      <c r="J26" s="452">
        <f t="shared" si="10"/>
        <v>9.8483054029485491</v>
      </c>
      <c r="K26" s="452">
        <f t="shared" si="11"/>
        <v>0</v>
      </c>
      <c r="L26" s="452">
        <f t="shared" si="12"/>
        <v>0</v>
      </c>
      <c r="M26" s="452">
        <f t="shared" si="13"/>
        <v>0</v>
      </c>
      <c r="N26" s="452">
        <f t="shared" si="14"/>
        <v>0</v>
      </c>
      <c r="O26" s="452">
        <f t="shared" si="15"/>
        <v>0</v>
      </c>
      <c r="P26" s="453">
        <f t="shared" si="16"/>
        <v>0</v>
      </c>
      <c r="Q26" s="451">
        <f t="shared" ca="1" si="17"/>
        <v>28848.35996384723</v>
      </c>
    </row>
    <row r="27" spans="1:17" s="457" customFormat="1">
      <c r="A27" s="455" t="s">
        <v>551</v>
      </c>
      <c r="B27" s="775">
        <f t="shared" ca="1" si="2"/>
        <v>17.199919495884092</v>
      </c>
      <c r="C27" s="456">
        <f t="shared" ca="1" si="3"/>
        <v>0</v>
      </c>
      <c r="D27" s="456">
        <f t="shared" si="4"/>
        <v>78.371187887697786</v>
      </c>
      <c r="E27" s="456">
        <f t="shared" si="5"/>
        <v>76.795359612765139</v>
      </c>
      <c r="F27" s="456">
        <f t="shared" si="6"/>
        <v>0</v>
      </c>
      <c r="G27" s="456">
        <f t="shared" si="7"/>
        <v>42681.250305748552</v>
      </c>
      <c r="H27" s="456">
        <f t="shared" si="8"/>
        <v>9046.3994890158465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51900.016261760742</v>
      </c>
    </row>
    <row r="28" spans="1:17" ht="16.5" customHeight="1">
      <c r="A28" s="451" t="s">
        <v>541</v>
      </c>
      <c r="B28" s="452">
        <f t="shared" ca="1" si="2"/>
        <v>0</v>
      </c>
      <c r="C28" s="452">
        <f t="shared" ca="1" si="3"/>
        <v>0</v>
      </c>
      <c r="D28" s="452">
        <f t="shared" si="4"/>
        <v>0</v>
      </c>
      <c r="E28" s="452">
        <f t="shared" si="5"/>
        <v>0</v>
      </c>
      <c r="F28" s="452">
        <f t="shared" si="6"/>
        <v>0</v>
      </c>
      <c r="G28" s="452">
        <f t="shared" si="7"/>
        <v>164.98166501883949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164.98166501883949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189.54227662316273</v>
      </c>
      <c r="C32" s="452">
        <f t="shared" ca="1" si="3"/>
        <v>0</v>
      </c>
      <c r="D32" s="452">
        <f t="shared" si="4"/>
        <v>595.78236732000005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785.32464394316276</v>
      </c>
    </row>
    <row r="33" spans="1:17" s="463" customFormat="1">
      <c r="A33" s="461" t="s">
        <v>545</v>
      </c>
      <c r="B33" s="462">
        <f ca="1">SUM(B22:B32)</f>
        <v>28608.137623888055</v>
      </c>
      <c r="C33" s="462">
        <f t="shared" ref="C33:Q33" ca="1" si="19">SUM(C22:C32)</f>
        <v>1274.127731092437</v>
      </c>
      <c r="D33" s="462">
        <f t="shared" ca="1" si="19"/>
        <v>42959.574945327739</v>
      </c>
      <c r="E33" s="462">
        <f t="shared" si="19"/>
        <v>4962.84100405548</v>
      </c>
      <c r="F33" s="462">
        <f t="shared" ca="1" si="19"/>
        <v>7680.309090531634</v>
      </c>
      <c r="G33" s="462">
        <f t="shared" si="19"/>
        <v>42846.231970767389</v>
      </c>
      <c r="H33" s="462">
        <f t="shared" si="19"/>
        <v>9046.3994890158465</v>
      </c>
      <c r="I33" s="462">
        <f t="shared" si="19"/>
        <v>0</v>
      </c>
      <c r="J33" s="462">
        <f t="shared" si="19"/>
        <v>240.66322479775059</v>
      </c>
      <c r="K33" s="462">
        <f t="shared" si="19"/>
        <v>0</v>
      </c>
      <c r="L33" s="462">
        <f t="shared" ca="1" si="19"/>
        <v>0</v>
      </c>
      <c r="M33" s="462">
        <f t="shared" si="19"/>
        <v>0</v>
      </c>
      <c r="N33" s="462">
        <f t="shared" ca="1" si="19"/>
        <v>0</v>
      </c>
      <c r="O33" s="462">
        <f t="shared" si="19"/>
        <v>0</v>
      </c>
      <c r="P33" s="462">
        <f t="shared" si="19"/>
        <v>0</v>
      </c>
      <c r="Q33" s="462">
        <f t="shared" ca="1" si="19"/>
        <v>137618.28507947631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22287.904640975485</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8466.3879111489186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3753</v>
      </c>
      <c r="D8" s="1029">
        <f>'SEAP template'!D76</f>
        <v>4415.2941176470586</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891.88941176470587</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30754.292552124403</v>
      </c>
      <c r="C10" s="1031">
        <f>SUM(C4:C9)</f>
        <v>3753</v>
      </c>
      <c r="D10" s="1031">
        <f t="shared" ref="D10:H10" si="0">SUM(D8:D9)</f>
        <v>4415.2941176470586</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891.88941176470587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0.17889010351388479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5361.4285714285716</v>
      </c>
      <c r="D17" s="1030">
        <f>'SEAP template'!D87</f>
        <v>6307.5630252100837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1274.127731092437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5361.4285714285716</v>
      </c>
      <c r="D20" s="1031">
        <f t="shared" ref="D20:H20" si="2">SUM(D17:D19)</f>
        <v>6307.5630252100837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1274.127731092437</v>
      </c>
    </row>
    <row r="21" spans="1:16">
      <c r="B21" s="887"/>
    </row>
    <row r="22" spans="1:16">
      <c r="A22" s="464" t="s">
        <v>797</v>
      </c>
      <c r="B22" s="781" t="s">
        <v>795</v>
      </c>
      <c r="C22" s="781">
        <f ca="1">'EF ele_warmte'!B22</f>
        <v>0.23764705882352941</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0.17889010351388479</v>
      </c>
      <c r="C17" s="501">
        <f ca="1">'EF ele_warmte'!B22</f>
        <v>0.23764705882352941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2020-06-20T15:33:55Z</dcterms:modified>
</cp:coreProperties>
</file>