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8" i="15"/>
  <c r="C20" i="15" s="1"/>
  <c r="D40" i="14" s="1"/>
  <c r="C29" i="20"/>
  <c r="C56" i="22"/>
  <c r="C58" i="22" s="1"/>
  <c r="D49" i="14" s="1"/>
  <c r="D52" i="14" s="1"/>
  <c r="C22" i="59"/>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<sst xmlns="http://schemas.openxmlformats.org/spreadsheetml/2006/main" count="2420" uniqueCount="897">
  <si>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</si>
  <si>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</si>
  <si>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</si>
  <si>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</si>
  <si>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</si>
  <si>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</si>
  <si>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</si>
  <si>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</si>
  <si>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</si>
  <si>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</si>
  <si>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</si>
  <si>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</si>
  <si>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</si>
  <si>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</si>
  <si>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</si>
  <si>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</si>
  <si>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</si>
  <si>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</si>
  <si>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</si>
  <si>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</si>
  <si>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</si>
  <si>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</si>
  <si>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</si>
  <si>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</si>
  <si>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</si>
  <si>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</si>
  <si>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</si>
  <si>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</si>
  <si>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</si>
  <si>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</si>
  <si>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</si>
  <si>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</si>
  <si>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</si>
  <si>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</si>
  <si>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</si>
  <si>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</si>
  <si>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</si>
  <si>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</si>
  <si>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</si>
  <si>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</si>
  <si>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</si>
  <si>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</si>
  <si>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</si>
  <si>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</si>
  <si>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</si>
  <si>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</si>
  <si>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</si>
  <si>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</si>
  <si>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</si>
  <si>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</si>
  <si>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</si>
  <si>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</si>
  <si>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</si>
  <si>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</si>
  <si>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</si>
  <si>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</si>
  <si>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</si>
  <si>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</si>
  <si>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</si>
  <si>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</si>
  <si>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</si>
  <si>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</si>
  <si>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</si>
  <si>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</si>
  <si>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</si>
  <si>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</si>
  <si>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</si>
  <si>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</si>
  <si>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</si>
  <si>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</si>
  <si>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</si>
  <si>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</si>
  <si>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</si>
  <si>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</si>
  <si>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</si>
  <si>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</si>
  <si>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</si>
  <si>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</si>
  <si>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</si>
  <si>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</si>
  <si>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</si>
  <si>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</si>
  <si>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</si>
  <si>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</si>
  <si>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</si>
  <si>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</si>
  <si>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</si>
  <si>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</si>
  <si>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</si>
  <si>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</si>
  <si>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</si>
  <si>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</si>
  <si>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</si>
  <si>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</si>
  <si>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</si>
  <si>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</si>
  <si>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</si>
  <si>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</si>
  <si>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</si>
  <si>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</si>
  <si>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</si>
  <si>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</si>
  <si>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</si>
  <si>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</si>
  <si>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</si>
  <si>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</si>
  <si>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</si>
  <si>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</si>
  <si>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</si>
  <si>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</si>
  <si>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</si>
  <si>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</si>
  <si>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</si>
  <si>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</si>
  <si>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</si>
  <si>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</si>
  <si>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</si>
  <si>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</si>
  <si>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</si>
  <si>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</si>
  <si>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</si>
  <si>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</si>
  <si>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</si>
  <si>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</si>
  <si>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</si>
  <si>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</si>
  <si>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</si>
  <si>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</si>
  <si>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</si>
  <si>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</si>
  <si>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</si>
  <si>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</si>
  <si>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</si>
  <si>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</si>
  <si>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</si>
  <si>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</si>
  <si>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</si>
  <si>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</si>
  <si>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</si>
  <si>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</si>
  <si>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</si>
  <si>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</si>
  <si>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</si>
  <si>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</si>
  <si>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</si>
  <si>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</si>
  <si>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</si>
  <si>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</si>
  <si>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</si>
  <si>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</si>
  <si>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</si>
  <si>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</si>
  <si>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</si>
  <si>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</si>
  <si>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</si>
  <si>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</si>
  <si>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</si>
  <si>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</si>
  <si>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</si>
  <si>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</si>
  <si>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</si>
  <si>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</si>
  <si>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</si>
  <si>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</si>
  <si>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</si>
  <si>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</si>
  <si>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</si>
  <si>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</si>
  <si>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</si>
  <si>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</si>
  <si>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</si>
  <si>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</si>
  <si>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</si>
  <si>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</si>
  <si>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</si>
  <si>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</si>
  <si>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</si>
  <si>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</si>
  <si>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</si>
  <si>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</si>
  <si>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</si>
  <si>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</si>
  <si>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</si>
  <si>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</si>
  <si>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</si>
  <si>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</si>
  <si>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</si>
  <si>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</si>
  <si>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</si>
  <si>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</si>
  <si>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</si>
  <si>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</si>
  <si>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</si>
  <si>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</si>
  <si>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</si>
  <si>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</si>
  <si>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</si>
  <si>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</si>
  <si>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</si>
  <si>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</si>
  <si>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</si>
  <si>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</si>
  <si>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</si>
  <si>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</si>
  <si>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</si>
  <si>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</si>
  <si>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</si>
  <si>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</si>
  <si>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</si>
  <si>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</si>
  <si>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</si>
  <si>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</si>
  <si>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</si>
  <si>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</si>
  <si>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</si>
  <si>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</si>
  <si>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</si>
  <si>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</si>
  <si>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</si>
  <si>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</si>
  <si>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</si>
  <si>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</si>
  <si>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</si>
  <si>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</si>
  <si>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</si>
  <si>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</si>
  <si>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</si>
  <si>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</si>
  <si>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</si>
  <si>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</si>
  <si>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</si>
  <si>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</si>
  <si>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</si>
  <si>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</si>
  <si>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</si>
  <si>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</si>
  <si>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</si>
  <si>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</si>
  <si>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</si>
  <si>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</si>
  <si>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</si>
  <si>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</si>
  <si>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</si>
  <si>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</si>
  <si>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</si>
  <si>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</si>
  <si>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</si>
  <si>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</si>
  <si>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</si>
  <si>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</si>
  <si>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</si>
  <si>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</si>
  <si>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</si>
  <si>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</si>
  <si>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</si>
  <si>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</si>
  <si>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</si>
  <si>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</si>
  <si>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</si>
  <si>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</si>
  <si>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</si>
  <si>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</si>
  <si>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</si>
  <si>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</si>
  <si>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</si>
  <si>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</si>
  <si>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</si>
  <si>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</si>
  <si>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</si>
  <si>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</si>
  <si>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</si>
  <si>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</si>
  <si>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</si>
  <si>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</si>
  <si>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</si>
  <si>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</si>
  <si>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</si>
  <si>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</si>
  <si>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</si>
  <si>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</si>
  <si>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</si>
  <si>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</si>
  <si>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</si>
  <si>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</si>
  <si>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</si>
  <si>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</si>
  <si>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</si>
  <si>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</si>
  <si>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</si>
  <si>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</si>
  <si>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</si>
  <si>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</si>
  <si>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</si>
  <si>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</si>
  <si>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</si>
  <si>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</si>
  <si>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</si>
  <si>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</si>
  <si>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</si>
  <si>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</si>
  <si>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</si>
  <si>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</si>
  <si>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</si>
  <si>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</si>
  <si>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</si>
  <si>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</si>
  <si>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</si>
  <si>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</si>
  <si>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</si>
  <si>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</si>
  <si>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</si>
  <si>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</si>
  <si>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</si>
  <si>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</si>
  <si>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</si>
  <si>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</si>
  <si>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</si>
  <si>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</si>
  <si>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</si>
  <si>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</si>
  <si>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</si>
  <si>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</si>
  <si>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</si>
  <si>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</si>
  <si>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</si>
  <si>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</si>
  <si>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</si>
  <si>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</si>
  <si>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</si>
  <si>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</si>
  <si>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</si>
  <si>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</si>
  <si>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</si>
  <si>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</si>
  <si>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</si>
  <si>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</si>
  <si>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</si>
  <si>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</si>
  <si>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</si>
  <si>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</si>
  <si>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</si>
  <si>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</si>
  <si>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</si>
  <si>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</si>
  <si>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</si>
  <si>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</si>
  <si>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</si>
  <si>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</si>
  <si>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</si>
  <si>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</si>
  <si>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</si>
  <si>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</si>
  <si>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</si>
  <si>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</si>
  <si>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</si>
  <si>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</si>
  <si>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</si>
  <si>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</si>
  <si>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</si>
  <si>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</si>
  <si>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</si>
  <si>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</si>
  <si>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</si>
  <si>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</si>
  <si>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</si>
  <si>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</si>
  <si>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</si>
  <si>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</si>
  <si>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</si>
  <si>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</si>
  <si>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</si>
  <si>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</si>
  <si>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</si>
  <si>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</si>
  <si>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</si>
  <si>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</si>
  <si>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</si>
  <si>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</si>
  <si>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</si>
  <si>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</si>
  <si>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</si>
  <si>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</si>
  <si>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</si>
  <si>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</si>
  <si>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</si>
  <si>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</si>
  <si>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</si>
  <si>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</si>
  <si>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</si>
  <si>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</si>
  <si>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</si>
  <si>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</si>
  <si>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</si>
  <si>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</si>
  <si>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</si>
  <si>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</si>
  <si>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</si>
  <si>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</si>
  <si>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</si>
  <si>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</si>
  <si>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</si>
  <si>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</si>
  <si>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</si>
  <si>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</si>
  <si>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</si>
  <si>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</si>
  <si>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</si>
  <si>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</si>
  <si>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</si>
  <si>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</si>
  <si>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</si>
  <si>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</si>
  <si>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</si>
  <si>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</si>
  <si>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</si>
  <si>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</si>
  <si>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</si>
  <si>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</si>
  <si>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</si>
  <si>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</si>
  <si>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</si>
  <si>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</si>
  <si>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</si>
  <si>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</si>
  <si>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</si>
  <si>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</si>
  <si>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</si>
  <si>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</si>
  <si>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</si>
  <si>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</si>
  <si>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</si>
  <si>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</si>
  <si>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</si>
  <si>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</si>
  <si>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</si>
  <si>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</si>
  <si>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</si>
  <si>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</si>
  <si>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</si>
  <si>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</si>
  <si>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</si>
  <si>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</si>
  <si>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</si>
  <si>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</si>
  <si>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</si>
  <si>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</si>
  <si>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</si>
  <si>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</si>
  <si>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</si>
  <si>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</si>
  <si>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</si>
  <si>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</si>
  <si>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</si>
  <si>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</si>
  <si>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</si>
  <si>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</si>
  <si>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</si>
  <si>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</si>
  <si>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</si>
  <si>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</si>
  <si>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</si>
  <si>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</si>
  <si>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</si>
  <si>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</si>
  <si>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</si>
  <si>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</si>
  <si>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</si>
  <si>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</si>
  <si>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</si>
  <si>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</si>
  <si>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</si>
  <si>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</si>
  <si>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</si>
  <si>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</si>
  <si>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</si>
  <si>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</si>
  <si>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</si>
  <si>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</si>
  <si>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</si>
  <si>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</si>
  <si>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</si>
  <si>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</si>
  <si>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</si>
  <si>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</si>
  <si>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</si>
  <si>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</si>
  <si>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</si>
  <si>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</si>
  <si>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</si>
  <si>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</si>
  <si>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</si>
  <si>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</si>
  <si>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</si>
  <si>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</si>
  <si>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</si>
  <si>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</si>
  <si>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</si>
  <si>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</si>
  <si>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</si>
  <si>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</si>
  <si>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</si>
  <si>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</si>
  <si>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</si>
  <si>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</si>
  <si>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</si>
  <si>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</si>
  <si>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</si>
  <si>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</si>
  <si>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</si>
  <si>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</si>
  <si>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</si>
  <si>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</si>
  <si>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</si>
  <si>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</si>
  <si>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</si>
  <si>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</si>
  <si>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</si>
  <si>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</si>
  <si>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</si>
  <si>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</si>
  <si>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</si>
  <si>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</si>
  <si>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</si>
  <si>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</si>
  <si>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</si>
  <si>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</si>
  <si>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</si>
  <si>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</si>
  <si>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</si>
  <si>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</si>
  <si>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</si>
  <si>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</si>
  <si>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</si>
  <si>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</si>
  <si>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</si>
  <si>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</si>
  <si>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</si>
  <si>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</si>
  <si>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</si>
  <si>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</si>
  <si>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</si>
  <si>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</si>
  <si>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</si>
  <si>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</si>
  <si>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</si>
  <si>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</si>
  <si>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</si>
  <si>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</si>
  <si>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</si>
  <si>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</si>
  <si>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</si>
  <si>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</si>
  <si>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</si>
  <si>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</si>
  <si>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</si>
  <si>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</si>
  <si>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</si>
  <si>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</si>
  <si>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</si>
  <si>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</si>
  <si>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</si>
  <si>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</si>
  <si>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</si>
  <si>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</si>
  <si>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</si>
  <si>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</si>
  <si>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</si>
  <si>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</si>
  <si>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</si>
  <si>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</si>
  <si>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</si>
  <si>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</si>
  <si>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</si>
  <si>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</si>
  <si>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</si>
  <si>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</si>
  <si>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</si>
  <si>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</si>
  <si>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</si>
  <si>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</si>
  <si>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</si>
  <si>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</si>
  <si>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</si>
  <si>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</si>
  <si>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</si>
  <si>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</si>
  <si>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</si>
  <si>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</si>
  <si>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</si>
  <si>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</si>
  <si>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</si>
  <si>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</si>
  <si>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</si>
  <si>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</si>
  <si>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</si>
  <si>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</si>
  <si>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</si>
  <si>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</si>
  <si>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</si>
  <si>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</si>
  <si>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</si>
  <si>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</si>
  <si>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</si>
  <si>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</si>
  <si>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</si>
  <si>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</si>
  <si>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</si>
  <si>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</si>
  <si>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</si>
  <si>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</si>
  <si>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</si>
  <si>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</si>
  <si>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</si>
  <si>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</si>
  <si>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</si>
  <si>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</si>
  <si>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</si>
  <si>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</si>
  <si>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</si>
  <si>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</si>
  <si>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</si>
  <si>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</si>
  <si>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</si>
  <si>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</si>
  <si>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</si>
  <si>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</si>
  <si>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</si>
  <si>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</si>
  <si>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</si>
  <si>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</si>
  <si>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</si>
  <si>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</si>
  <si>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</si>
  <si>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</si>
  <si>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</si>
  <si>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</si>
  <si>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</si>
  <si>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</si>
  <si>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</si>
  <si>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</si>
  <si>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</si>
  <si>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</si>
  <si>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</si>
  <si>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</si>
  <si>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</si>
  <si>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</si>
  <si>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</si>
  <si>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</si>
  <si>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</si>
  <si>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</si>
  <si>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</si>
  <si>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</si>
  <si>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</si>
  <si>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</si>
  <si>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</si>
  <si>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</si>
  <si>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</si>
  <si>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</si>
  <si>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</si>
  <si>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</si>
  <si>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</si>
  <si>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</si>
  <si>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</si>
  <si>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</si>
  <si>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</si>
  <si>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</si>
  <si>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</si>
  <si>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</si>
  <si>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</si>
  <si>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</si>
  <si>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</si>
  <si>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</si>
  <si>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</si>
  <si>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</si>
  <si>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</si>
  <si>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</si>
  <si>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</si>
  <si>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</si>
  <si>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</si>
  <si>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</si>
  <si>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</si>
  <si>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</si>
  <si>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</si>
  <si>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</si>
  <si>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</si>
  <si>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</si>
  <si>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</si>
  <si>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</si>
  <si>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</si>
  <si>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</si>
  <si>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</si>
  <si>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</si>
  <si>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</si>
  <si>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</si>
  <si>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</si>
  <si>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</si>
  <si>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</si>
  <si>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</si>
  <si>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</si>
  <si>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</si>
  <si>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</si>
  <si>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</si>
  <si>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</si>
  <si>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</si>
  <si>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</si>
  <si>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</si>
  <si>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</si>
  <si>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</si>
  <si>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</si>
  <si>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</si>
  <si>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</si>
  <si>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</si>
  <si>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</si>
  <si>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</si>
  <si>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</si>
  <si>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</si>
  <si>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</si>
  <si>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</si>
  <si>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</si>
  <si>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</si>
  <si>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</si>
  <si>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</si>
  <si>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</si>
  <si>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</si>
  <si>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</si>
  <si>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</si>
  <si>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</si>
  <si>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</si>
  <si>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</si>
  <si>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</si>
  <si>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</si>
  <si>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</si>
  <si>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</si>
  <si>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</si>
  <si>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</si>
  <si>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</si>
  <si>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</si>
  <si>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</si>
  <si>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</si>
  <si>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</si>
  <si>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</si>
  <si>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</si>
  <si>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</si>
  <si>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</si>
  <si>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</si>
  <si>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</si>
  <si>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</si>
  <si>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</si>
  <si>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</si>
  <si>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</si>
  <si>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</si>
  <si>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</si>
  <si>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</si>
  <si>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</si>
  <si>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</si>
  <si>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</si>
  <si>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</si>
  <si>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</si>
  <si>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</si>
  <si>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</si>
  <si>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</si>
  <si>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</si>
  <si>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</si>
  <si>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</si>
  <si>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</si>
  <si>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</si>
  <si>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</si>
  <si>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</si>
  <si>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</si>
  <si>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</si>
  <si>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</si>
  <si>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</si>
  <si>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</si>
  <si>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</si>
  <si>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</si>
  <si>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</si>
  <si>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</si>
  <si>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</si>
  <si>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</si>
  <si>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</si>
  <si>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</si>
  <si>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</si>
  <si>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</si>
  <si>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</si>
  <si>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</si>
  <si>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</si>
  <si>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</si>
  <si>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</si>
  <si>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</si>
  <si>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</si>
  <si>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</si>
  <si>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</si>
  <si>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</si>
  <si>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</si>
  <si>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</si>
  <si>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</si>
  <si>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</si>
  <si>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</si>
  <si>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</si>
  <si>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</si>
  <si>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</si>
  <si>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</si>
  <si>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</si>
  <si>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</si>
  <si>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</si>
  <si>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</si>
  <si>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</si>
  <si>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</si>
  <si>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</si>
  <si>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</si>
  <si>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</si>
  <si>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</si>
  <si>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</si>
  <si>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</si>
  <si>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</si>
  <si>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</si>
  <si>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</si>
  <si>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</si>
  <si>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</si>
  <si>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</si>
  <si>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</si>
  <si>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</si>
  <si>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</si>
  <si>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</si>
  <si>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</si>
  <si>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</si>
  <si>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</si>
  <si>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</si>
  <si>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</si>
  <si>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</si>
  <si>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</si>
  <si>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</si>
  <si>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</si>
  <si>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</si>
  <si>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</si>
  <si>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</si>
  <si>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</si>
  <si>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</si>
  <si>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</si>
  <si>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</si>
  <si>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</si>
  <si>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</si>
  <si>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</si>
  <si>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</si>
  <si>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</si>
  <si>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</si>
  <si>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</si>
  <si>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</si>
  <si>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</si>
  <si>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</si>
  <si>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</si>
  <si>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</si>
  <si>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</si>
  <si>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</si>
  <si>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</si>
  <si>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</si>
  <si>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</si>
  <si>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</si>
  <si>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</si>
  <si>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</si>
  <si>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</si>
  <si>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</si>
  <si>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</si>
  <si>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</si>
  <si>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</si>
  <si>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</si>
  <si>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</si>
  <si>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</si>
  <si>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</si>
  <si>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</si>
  <si>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</si>
  <si>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</si>
  <si>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</si>
  <si>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</si>
  <si>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</si>
  <si>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</si>
  <si>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</si>
  <si>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</si>
  <si>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</si>
  <si>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</si>
  <si>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</si>
  <si>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</si>
  <si>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</si>
  <si>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</si>
  <si>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</si>
  <si>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36007</t>
  </si>
  <si>
    <t>INGELMUNSTER</t>
  </si>
  <si>
    <t>referentietaak LNE (2017); Jaarverslag De Lijn</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</si>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</sst>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86102.031410455253</c:v>
                </c:pt>
                <c:pt idx="1">
                  <c:v>25663.762876448</c:v>
                </c:pt>
                <c:pt idx="2">
                  <c:v>787.59</c:v>
                </c:pt>
                <c:pt idx="3">
                  <c:v>56166.457537689756</c:v>
                </c:pt>
                <c:pt idx="4">
                  <c:v>40141.110083396001</c:v>
                </c:pt>
                <c:pt idx="5">
                  <c:v>65848.039664131822</c:v>
                </c:pt>
                <c:pt idx="6">
                  <c:v>595.86238655911438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86102.031410455253</c:v>
                </c:pt>
                <c:pt idx="1">
                  <c:v>25663.762876448</c:v>
                </c:pt>
                <c:pt idx="2">
                  <c:v>787.59</c:v>
                </c:pt>
                <c:pt idx="3">
                  <c:v>56166.457537689756</c:v>
                </c:pt>
                <c:pt idx="4">
                  <c:v>40141.110083396001</c:v>
                </c:pt>
                <c:pt idx="5">
                  <c:v>65848.039664131822</c:v>
                </c:pt>
                <c:pt idx="6">
                  <c:v>595.86238655911438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15393.705871145376</c:v>
                </c:pt>
                <c:pt idx="1">
                  <c:v>5159.9693847611379</c:v>
                </c:pt>
                <c:pt idx="2">
                  <c:v>165.61761373092415</c:v>
                </c:pt>
                <c:pt idx="3">
                  <c:v>13459.830593777324</c:v>
                </c:pt>
                <c:pt idx="4">
                  <c:v>8425.8680591607626</c:v>
                </c:pt>
                <c:pt idx="5">
                  <c:v>16403.000275501359</c:v>
                </c:pt>
                <c:pt idx="6">
                  <c:v>150.71956506094241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15393.705871145376</c:v>
                </c:pt>
                <c:pt idx="1">
                  <c:v>5159.9693847611379</c:v>
                </c:pt>
                <c:pt idx="2">
                  <c:v>165.61761373092415</c:v>
                </c:pt>
                <c:pt idx="3">
                  <c:v>13459.830593777324</c:v>
                </c:pt>
                <c:pt idx="4">
                  <c:v>8425.8680591607626</c:v>
                </c:pt>
                <c:pt idx="5">
                  <c:v>16403.000275501359</c:v>
                </c:pt>
                <c:pt idx="6">
                  <c:v>150.71956506094241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36007</v>
      </c>
      <c r="B6" s="390"/>
      <c r="C6" s="391"/>
    </row>
    <row r="7" spans="1:7" s="388" customFormat="1" ht="15.75" customHeight="1">
      <c r="A7" s="392" t="str">
        <f>txtMunicipality</f>
        <v>INGELMUNSTER</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12207.225937000001</v>
      </c>
      <c r="D10" s="686">
        <f ca="1">tertiair!C16</f>
        <v>0</v>
      </c>
      <c r="E10" s="686">
        <f ca="1">tertiair!D16</f>
        <v>11813.140859783998</v>
      </c>
      <c r="F10" s="686">
        <f>tertiair!E16</f>
        <v>179.50804945053892</v>
      </c>
      <c r="G10" s="686">
        <f ca="1">tertiair!F16</f>
        <v>1241.9241648183861</v>
      </c>
      <c r="H10" s="686">
        <f>tertiair!G16</f>
        <v>0</v>
      </c>
      <c r="I10" s="686">
        <f>tertiair!H16</f>
        <v>0</v>
      </c>
      <c r="J10" s="686">
        <f>tertiair!I16</f>
        <v>0</v>
      </c>
      <c r="K10" s="686">
        <f>tertiair!J16</f>
        <v>1.574864065228419E-2</v>
      </c>
      <c r="L10" s="686">
        <f>tertiair!K16</f>
        <v>0</v>
      </c>
      <c r="M10" s="686">
        <f ca="1">tertiair!L16</f>
        <v>0</v>
      </c>
      <c r="N10" s="686">
        <f>tertiair!M16</f>
        <v>0</v>
      </c>
      <c r="O10" s="686">
        <f ca="1">tertiair!N16</f>
        <v>627.07236631143701</v>
      </c>
      <c r="P10" s="686">
        <f>tertiair!O16</f>
        <v>14.691782297523464</v>
      </c>
      <c r="Q10" s="687">
        <f>tertiair!P16</f>
        <v>367.77396814546512</v>
      </c>
      <c r="R10" s="689">
        <f ca="1">SUM(C10:Q10)</f>
        <v>26451.352876448003</v>
      </c>
      <c r="S10" s="67"/>
    </row>
    <row r="11" spans="1:19" s="448" customFormat="1">
      <c r="A11" s="808" t="s">
        <v>224</v>
      </c>
      <c r="B11" s="813"/>
      <c r="C11" s="686">
        <f>huishoudens!B8</f>
        <v>17092.506088473037</v>
      </c>
      <c r="D11" s="686">
        <f>huishoudens!C8</f>
        <v>0</v>
      </c>
      <c r="E11" s="686">
        <f>huishoudens!D8</f>
        <v>40488.728906119999</v>
      </c>
      <c r="F11" s="686">
        <f>huishoudens!E8</f>
        <v>7064.2326691459466</v>
      </c>
      <c r="G11" s="686">
        <f>huishoudens!F8</f>
        <v>7006.5091710033566</v>
      </c>
      <c r="H11" s="686">
        <f>huishoudens!G8</f>
        <v>0</v>
      </c>
      <c r="I11" s="686">
        <f>huishoudens!H8</f>
        <v>0</v>
      </c>
      <c r="J11" s="686">
        <f>huishoudens!I8</f>
        <v>0</v>
      </c>
      <c r="K11" s="686">
        <f>huishoudens!J8</f>
        <v>413.50985550904858</v>
      </c>
      <c r="L11" s="686">
        <f>huishoudens!K8</f>
        <v>0</v>
      </c>
      <c r="M11" s="686">
        <f>huishoudens!L8</f>
        <v>0</v>
      </c>
      <c r="N11" s="686">
        <f>huishoudens!M8</f>
        <v>0</v>
      </c>
      <c r="O11" s="686">
        <f>huishoudens!N8</f>
        <v>13445.228463102138</v>
      </c>
      <c r="P11" s="686">
        <f>huishoudens!O8</f>
        <v>317.43331510192507</v>
      </c>
      <c r="Q11" s="687">
        <f>huishoudens!P8</f>
        <v>273.88294199981061</v>
      </c>
      <c r="R11" s="689">
        <f>SUM(C11:Q11)</f>
        <v>86102.031410455253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18430.842971999999</v>
      </c>
      <c r="D13" s="686">
        <f>industrie!C18</f>
        <v>0</v>
      </c>
      <c r="E13" s="686">
        <f>industrie!D18</f>
        <v>14669.83613084</v>
      </c>
      <c r="F13" s="686">
        <f>industrie!E18</f>
        <v>1363.4286605154339</v>
      </c>
      <c r="G13" s="686">
        <f>industrie!F18</f>
        <v>4677.1421920400262</v>
      </c>
      <c r="H13" s="686">
        <f>industrie!G18</f>
        <v>0</v>
      </c>
      <c r="I13" s="686">
        <f>industrie!H18</f>
        <v>0</v>
      </c>
      <c r="J13" s="686">
        <f>industrie!I18</f>
        <v>0</v>
      </c>
      <c r="K13" s="686">
        <f>industrie!J18</f>
        <v>80.659922982400317</v>
      </c>
      <c r="L13" s="686">
        <f>industrie!K18</f>
        <v>0</v>
      </c>
      <c r="M13" s="686">
        <f>industrie!L18</f>
        <v>0</v>
      </c>
      <c r="N13" s="686">
        <f>industrie!M18</f>
        <v>0</v>
      </c>
      <c r="O13" s="686">
        <f>industrie!N18</f>
        <v>919.20020501814736</v>
      </c>
      <c r="P13" s="686">
        <f>industrie!O18</f>
        <v>0</v>
      </c>
      <c r="Q13" s="687">
        <f>industrie!P18</f>
        <v>0</v>
      </c>
      <c r="R13" s="689">
        <f>SUM(C13:Q13)</f>
        <v>40141.110083396001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47730.574997473035</v>
      </c>
      <c r="D16" s="722">
        <f t="shared" ref="D16:R16" ca="1" si="0">SUM(D9:D15)</f>
        <v>0</v>
      </c>
      <c r="E16" s="722">
        <f t="shared" ca="1" si="0"/>
        <v>66971.705896743995</v>
      </c>
      <c r="F16" s="722">
        <f t="shared" si="0"/>
        <v>8607.1693791119196</v>
      </c>
      <c r="G16" s="722">
        <f t="shared" ca="1" si="0"/>
        <v>12925.575527861769</v>
      </c>
      <c r="H16" s="722">
        <f t="shared" si="0"/>
        <v>0</v>
      </c>
      <c r="I16" s="722">
        <f t="shared" si="0"/>
        <v>0</v>
      </c>
      <c r="J16" s="722">
        <f t="shared" si="0"/>
        <v>0</v>
      </c>
      <c r="K16" s="722">
        <f t="shared" si="0"/>
        <v>494.18552713210119</v>
      </c>
      <c r="L16" s="722">
        <f t="shared" si="0"/>
        <v>0</v>
      </c>
      <c r="M16" s="722">
        <f t="shared" ca="1" si="0"/>
        <v>0</v>
      </c>
      <c r="N16" s="722">
        <f t="shared" si="0"/>
        <v>0</v>
      </c>
      <c r="O16" s="722">
        <f t="shared" ca="1" si="0"/>
        <v>14991.501034431722</v>
      </c>
      <c r="P16" s="722">
        <f t="shared" si="0"/>
        <v>332.12509739944852</v>
      </c>
      <c r="Q16" s="722">
        <f t="shared" si="0"/>
        <v>641.65691014527579</v>
      </c>
      <c r="R16" s="722">
        <f t="shared" ca="1" si="0"/>
        <v>152694.49437029925</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564.49275303723743</v>
      </c>
      <c r="I19" s="686">
        <f>transport!H54</f>
        <v>0</v>
      </c>
      <c r="J19" s="686">
        <f>transport!I54</f>
        <v>0</v>
      </c>
      <c r="K19" s="686">
        <f>transport!J54</f>
        <v>0</v>
      </c>
      <c r="L19" s="686">
        <f>transport!K54</f>
        <v>0</v>
      </c>
      <c r="M19" s="686">
        <f>transport!L54</f>
        <v>0</v>
      </c>
      <c r="N19" s="686">
        <f>transport!M54</f>
        <v>31.369633521876999</v>
      </c>
      <c r="O19" s="686">
        <f>transport!N54</f>
        <v>0</v>
      </c>
      <c r="P19" s="686">
        <f>transport!O54</f>
        <v>0</v>
      </c>
      <c r="Q19" s="687">
        <f>transport!P54</f>
        <v>0</v>
      </c>
      <c r="R19" s="689">
        <f>SUM(C19:Q19)</f>
        <v>595.86238655911438</v>
      </c>
      <c r="S19" s="67"/>
    </row>
    <row r="20" spans="1:19" s="448" customFormat="1">
      <c r="A20" s="808" t="s">
        <v>306</v>
      </c>
      <c r="B20" s="813"/>
      <c r="C20" s="686">
        <f>transport!B14</f>
        <v>31.287390457340987</v>
      </c>
      <c r="D20" s="686">
        <f>transport!C14</f>
        <v>0</v>
      </c>
      <c r="E20" s="686">
        <f>transport!D14</f>
        <v>112.08527572818795</v>
      </c>
      <c r="F20" s="686">
        <f>transport!E14</f>
        <v>94.677903917123672</v>
      </c>
      <c r="G20" s="686">
        <f>transport!F14</f>
        <v>0</v>
      </c>
      <c r="H20" s="686">
        <f>transport!G14</f>
        <v>51492.254897575694</v>
      </c>
      <c r="I20" s="686">
        <f>transport!H14</f>
        <v>10457.252485265364</v>
      </c>
      <c r="J20" s="686">
        <f>transport!I14</f>
        <v>0</v>
      </c>
      <c r="K20" s="686">
        <f>transport!J14</f>
        <v>0</v>
      </c>
      <c r="L20" s="686">
        <f>transport!K14</f>
        <v>0</v>
      </c>
      <c r="M20" s="686">
        <f>transport!L14</f>
        <v>0</v>
      </c>
      <c r="N20" s="686">
        <f>transport!M14</f>
        <v>3660.4817111880998</v>
      </c>
      <c r="O20" s="686">
        <f>transport!N14</f>
        <v>0</v>
      </c>
      <c r="P20" s="686">
        <f>transport!O14</f>
        <v>0</v>
      </c>
      <c r="Q20" s="687">
        <f>transport!P14</f>
        <v>0</v>
      </c>
      <c r="R20" s="689">
        <f>SUM(C20:Q20)</f>
        <v>65848.039664131822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31.287390457340987</v>
      </c>
      <c r="D22" s="811">
        <f t="shared" ref="D22:R22" si="1">SUM(D18:D21)</f>
        <v>0</v>
      </c>
      <c r="E22" s="811">
        <f t="shared" si="1"/>
        <v>112.08527572818795</v>
      </c>
      <c r="F22" s="811">
        <f t="shared" si="1"/>
        <v>94.677903917123672</v>
      </c>
      <c r="G22" s="811">
        <f t="shared" si="1"/>
        <v>0</v>
      </c>
      <c r="H22" s="811">
        <f t="shared" si="1"/>
        <v>52056.747650612931</v>
      </c>
      <c r="I22" s="811">
        <f t="shared" si="1"/>
        <v>10457.252485265364</v>
      </c>
      <c r="J22" s="811">
        <f t="shared" si="1"/>
        <v>0</v>
      </c>
      <c r="K22" s="811">
        <f t="shared" si="1"/>
        <v>0</v>
      </c>
      <c r="L22" s="811">
        <f t="shared" si="1"/>
        <v>0</v>
      </c>
      <c r="M22" s="811">
        <f t="shared" si="1"/>
        <v>0</v>
      </c>
      <c r="N22" s="811">
        <f t="shared" si="1"/>
        <v>3691.8513447099767</v>
      </c>
      <c r="O22" s="811">
        <f t="shared" si="1"/>
        <v>0</v>
      </c>
      <c r="P22" s="811">
        <f t="shared" si="1"/>
        <v>0</v>
      </c>
      <c r="Q22" s="811">
        <f t="shared" si="1"/>
        <v>0</v>
      </c>
      <c r="R22" s="811">
        <f t="shared" si="1"/>
        <v>66443.902050690929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3541.932902</v>
      </c>
      <c r="D24" s="686">
        <f>+landbouw!C8</f>
        <v>31422.857142857145</v>
      </c>
      <c r="E24" s="686">
        <f>+landbouw!D8</f>
        <v>7597.7146169457119</v>
      </c>
      <c r="F24" s="686">
        <f>+landbouw!E8</f>
        <v>110.5425578860408</v>
      </c>
      <c r="G24" s="686">
        <f>+landbouw!F8</f>
        <v>12517.583240410453</v>
      </c>
      <c r="H24" s="686">
        <f>+landbouw!G8</f>
        <v>0</v>
      </c>
      <c r="I24" s="686">
        <f>+landbouw!H8</f>
        <v>0</v>
      </c>
      <c r="J24" s="686">
        <f>+landbouw!I8</f>
        <v>0</v>
      </c>
      <c r="K24" s="686">
        <f>+landbouw!J8</f>
        <v>975.82707759040602</v>
      </c>
      <c r="L24" s="686">
        <f>+landbouw!K8</f>
        <v>0</v>
      </c>
      <c r="M24" s="686">
        <f>+landbouw!L8</f>
        <v>0</v>
      </c>
      <c r="N24" s="686">
        <f>+landbouw!M8</f>
        <v>0</v>
      </c>
      <c r="O24" s="686">
        <f>+landbouw!N8</f>
        <v>0</v>
      </c>
      <c r="P24" s="686">
        <f>+landbouw!O8</f>
        <v>0</v>
      </c>
      <c r="Q24" s="687">
        <f>+landbouw!P8</f>
        <v>0</v>
      </c>
      <c r="R24" s="689">
        <f>SUM(C24:Q24)</f>
        <v>56166.457537689756</v>
      </c>
      <c r="S24" s="67"/>
    </row>
    <row r="25" spans="1:19" s="448" customFormat="1" ht="15" thickBot="1">
      <c r="A25" s="830" t="s">
        <v>724</v>
      </c>
      <c r="B25" s="949"/>
      <c r="C25" s="950">
        <f>IF(Onbekend_ele_kWh="---",0,Onbekend_ele_kWh)/1000+IF(REST_rest_ele_kWh="---",0,REST_rest_ele_kWh)/1000</f>
        <v>549.94796600000006</v>
      </c>
      <c r="D25" s="950"/>
      <c r="E25" s="950">
        <f>IF(onbekend_gas_kWh="---",0,onbekend_gas_kWh)/1000+IF(REST_rest_gas_kWh="---",0,REST_rest_gas_kWh)/1000</f>
        <v>1300.004494</v>
      </c>
      <c r="F25" s="950"/>
      <c r="G25" s="950"/>
      <c r="H25" s="950"/>
      <c r="I25" s="950"/>
      <c r="J25" s="950"/>
      <c r="K25" s="950"/>
      <c r="L25" s="950"/>
      <c r="M25" s="950"/>
      <c r="N25" s="950"/>
      <c r="O25" s="950"/>
      <c r="P25" s="950"/>
      <c r="Q25" s="951"/>
      <c r="R25" s="689">
        <f>SUM(C25:Q25)</f>
        <v>1849.95246</v>
      </c>
      <c r="S25" s="67"/>
    </row>
    <row r="26" spans="1:19" s="448" customFormat="1" ht="15.75" thickBot="1">
      <c r="A26" s="694" t="s">
        <v>725</v>
      </c>
      <c r="B26" s="816"/>
      <c r="C26" s="811">
        <f>SUM(C24:C25)</f>
        <v>4091.8808680000002</v>
      </c>
      <c r="D26" s="811">
        <f t="shared" ref="D26:R26" si="2">SUM(D24:D25)</f>
        <v>31422.857142857145</v>
      </c>
      <c r="E26" s="811">
        <f t="shared" si="2"/>
        <v>8897.7191109457126</v>
      </c>
      <c r="F26" s="811">
        <f t="shared" si="2"/>
        <v>110.5425578860408</v>
      </c>
      <c r="G26" s="811">
        <f t="shared" si="2"/>
        <v>12517.583240410453</v>
      </c>
      <c r="H26" s="811">
        <f t="shared" si="2"/>
        <v>0</v>
      </c>
      <c r="I26" s="811">
        <f t="shared" si="2"/>
        <v>0</v>
      </c>
      <c r="J26" s="811">
        <f t="shared" si="2"/>
        <v>0</v>
      </c>
      <c r="K26" s="811">
        <f t="shared" si="2"/>
        <v>975.82707759040602</v>
      </c>
      <c r="L26" s="811">
        <f t="shared" si="2"/>
        <v>0</v>
      </c>
      <c r="M26" s="811">
        <f t="shared" si="2"/>
        <v>0</v>
      </c>
      <c r="N26" s="811">
        <f t="shared" si="2"/>
        <v>0</v>
      </c>
      <c r="O26" s="811">
        <f t="shared" si="2"/>
        <v>0</v>
      </c>
      <c r="P26" s="811">
        <f t="shared" si="2"/>
        <v>0</v>
      </c>
      <c r="Q26" s="811">
        <f t="shared" si="2"/>
        <v>0</v>
      </c>
      <c r="R26" s="811">
        <f t="shared" si="2"/>
        <v>58016.409997689756</v>
      </c>
      <c r="S26" s="67"/>
    </row>
    <row r="27" spans="1:19" s="448" customFormat="1" ht="17.25" thickTop="1" thickBot="1">
      <c r="A27" s="695" t="s">
        <v>115</v>
      </c>
      <c r="B27" s="803"/>
      <c r="C27" s="696">
        <f ca="1">C22+C16+C26</f>
        <v>51853.743255930378</v>
      </c>
      <c r="D27" s="696">
        <f t="shared" ref="D27:R27" ca="1" si="3">D22+D16+D26</f>
        <v>31422.857142857145</v>
      </c>
      <c r="E27" s="696">
        <f t="shared" ca="1" si="3"/>
        <v>75981.510283417883</v>
      </c>
      <c r="F27" s="696">
        <f t="shared" si="3"/>
        <v>8812.3898409150843</v>
      </c>
      <c r="G27" s="696">
        <f t="shared" ca="1" si="3"/>
        <v>25443.158768272224</v>
      </c>
      <c r="H27" s="696">
        <f t="shared" si="3"/>
        <v>52056.747650612931</v>
      </c>
      <c r="I27" s="696">
        <f t="shared" si="3"/>
        <v>10457.252485265364</v>
      </c>
      <c r="J27" s="696">
        <f t="shared" si="3"/>
        <v>0</v>
      </c>
      <c r="K27" s="696">
        <f t="shared" si="3"/>
        <v>1470.0126047225071</v>
      </c>
      <c r="L27" s="696">
        <f t="shared" si="3"/>
        <v>0</v>
      </c>
      <c r="M27" s="696">
        <f t="shared" ca="1" si="3"/>
        <v>0</v>
      </c>
      <c r="N27" s="696">
        <f t="shared" si="3"/>
        <v>3691.8513447099767</v>
      </c>
      <c r="O27" s="696">
        <f t="shared" ca="1" si="3"/>
        <v>14991.501034431722</v>
      </c>
      <c r="P27" s="696">
        <f t="shared" si="3"/>
        <v>332.12509739944852</v>
      </c>
      <c r="Q27" s="696">
        <f t="shared" si="3"/>
        <v>641.65691014527579</v>
      </c>
      <c r="R27" s="696">
        <f t="shared" ca="1" si="3"/>
        <v>277154.80641867995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2566.9848905651224</v>
      </c>
      <c r="D40" s="686">
        <f ca="1">tertiair!C20</f>
        <v>0</v>
      </c>
      <c r="E40" s="686">
        <f ca="1">tertiair!D20</f>
        <v>2386.2544536763676</v>
      </c>
      <c r="F40" s="686">
        <f>tertiair!E20</f>
        <v>40.748327225272334</v>
      </c>
      <c r="G40" s="686">
        <f ca="1">tertiair!F20</f>
        <v>331.59375200650908</v>
      </c>
      <c r="H40" s="686">
        <f>tertiair!G20</f>
        <v>0</v>
      </c>
      <c r="I40" s="686">
        <f>tertiair!H20</f>
        <v>0</v>
      </c>
      <c r="J40" s="686">
        <f>tertiair!I20</f>
        <v>0</v>
      </c>
      <c r="K40" s="686">
        <f>tertiair!J20</f>
        <v>5.5750187909086027E-3</v>
      </c>
      <c r="L40" s="686">
        <f>tertiair!K20</f>
        <v>0</v>
      </c>
      <c r="M40" s="686">
        <f ca="1">tertiair!L20</f>
        <v>0</v>
      </c>
      <c r="N40" s="686">
        <f>tertiair!M20</f>
        <v>0</v>
      </c>
      <c r="O40" s="686">
        <f ca="1">tertiair!N20</f>
        <v>0</v>
      </c>
      <c r="P40" s="686">
        <f>tertiair!O20</f>
        <v>0</v>
      </c>
      <c r="Q40" s="769">
        <f>tertiair!P20</f>
        <v>0</v>
      </c>
      <c r="R40" s="849">
        <f t="shared" ca="1" si="4"/>
        <v>5325.5869984920628</v>
      </c>
    </row>
    <row r="41" spans="1:18">
      <c r="A41" s="821" t="s">
        <v>224</v>
      </c>
      <c r="B41" s="828"/>
      <c r="C41" s="686">
        <f ca="1">huishoudens!B12</f>
        <v>3594.2813787049058</v>
      </c>
      <c r="D41" s="686">
        <f ca="1">huishoudens!C12</f>
        <v>0</v>
      </c>
      <c r="E41" s="686">
        <f>huishoudens!D12</f>
        <v>8178.7232390362406</v>
      </c>
      <c r="F41" s="686">
        <f>huishoudens!E12</f>
        <v>1603.5808158961299</v>
      </c>
      <c r="G41" s="686">
        <f>huishoudens!F12</f>
        <v>1870.7379486578964</v>
      </c>
      <c r="H41" s="686">
        <f>huishoudens!G12</f>
        <v>0</v>
      </c>
      <c r="I41" s="686">
        <f>huishoudens!H12</f>
        <v>0</v>
      </c>
      <c r="J41" s="686">
        <f>huishoudens!I12</f>
        <v>0</v>
      </c>
      <c r="K41" s="686">
        <f>huishoudens!J12</f>
        <v>146.3824888502032</v>
      </c>
      <c r="L41" s="686">
        <f>huishoudens!K12</f>
        <v>0</v>
      </c>
      <c r="M41" s="686">
        <f>huishoudens!L12</f>
        <v>0</v>
      </c>
      <c r="N41" s="686">
        <f>huishoudens!M12</f>
        <v>0</v>
      </c>
      <c r="O41" s="686">
        <f>huishoudens!N12</f>
        <v>0</v>
      </c>
      <c r="P41" s="686">
        <f>huishoudens!O12</f>
        <v>0</v>
      </c>
      <c r="Q41" s="769">
        <f>huishoudens!P12</f>
        <v>0</v>
      </c>
      <c r="R41" s="849">
        <f t="shared" ca="1" si="4"/>
        <v>15393.705871145376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3875.7122767836231</v>
      </c>
      <c r="D43" s="686">
        <f ca="1">industrie!C22</f>
        <v>0</v>
      </c>
      <c r="E43" s="686">
        <f>industrie!D22</f>
        <v>2963.3068984296801</v>
      </c>
      <c r="F43" s="686">
        <f>industrie!E22</f>
        <v>309.49830593700352</v>
      </c>
      <c r="G43" s="686">
        <f>industrie!F22</f>
        <v>1248.796965274687</v>
      </c>
      <c r="H43" s="686">
        <f>industrie!G22</f>
        <v>0</v>
      </c>
      <c r="I43" s="686">
        <f>industrie!H22</f>
        <v>0</v>
      </c>
      <c r="J43" s="686">
        <f>industrie!I22</f>
        <v>0</v>
      </c>
      <c r="K43" s="686">
        <f>industrie!J22</f>
        <v>28.553612735769711</v>
      </c>
      <c r="L43" s="686">
        <f>industrie!K22</f>
        <v>0</v>
      </c>
      <c r="M43" s="686">
        <f>industrie!L22</f>
        <v>0</v>
      </c>
      <c r="N43" s="686">
        <f>industrie!M22</f>
        <v>0</v>
      </c>
      <c r="O43" s="686">
        <f>industrie!N22</f>
        <v>0</v>
      </c>
      <c r="P43" s="686">
        <f>industrie!O22</f>
        <v>0</v>
      </c>
      <c r="Q43" s="769">
        <f>industrie!P22</f>
        <v>0</v>
      </c>
      <c r="R43" s="848">
        <f t="shared" ca="1" si="4"/>
        <v>8425.8680591607626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10036.978546053651</v>
      </c>
      <c r="D46" s="722">
        <f t="shared" ref="D46:Q46" ca="1" si="5">SUM(D39:D45)</f>
        <v>0</v>
      </c>
      <c r="E46" s="722">
        <f t="shared" ca="1" si="5"/>
        <v>13528.284591142288</v>
      </c>
      <c r="F46" s="722">
        <f t="shared" si="5"/>
        <v>1953.8274490584058</v>
      </c>
      <c r="G46" s="722">
        <f t="shared" ca="1" si="5"/>
        <v>3451.1286659390926</v>
      </c>
      <c r="H46" s="722">
        <f t="shared" si="5"/>
        <v>0</v>
      </c>
      <c r="I46" s="722">
        <f t="shared" si="5"/>
        <v>0</v>
      </c>
      <c r="J46" s="722">
        <f t="shared" si="5"/>
        <v>0</v>
      </c>
      <c r="K46" s="722">
        <f t="shared" si="5"/>
        <v>174.94167660476384</v>
      </c>
      <c r="L46" s="722">
        <f t="shared" si="5"/>
        <v>0</v>
      </c>
      <c r="M46" s="722">
        <f t="shared" ca="1" si="5"/>
        <v>0</v>
      </c>
      <c r="N46" s="722">
        <f t="shared" si="5"/>
        <v>0</v>
      </c>
      <c r="O46" s="722">
        <f t="shared" ca="1" si="5"/>
        <v>0</v>
      </c>
      <c r="P46" s="722">
        <f t="shared" si="5"/>
        <v>0</v>
      </c>
      <c r="Q46" s="722">
        <f t="shared" si="5"/>
        <v>0</v>
      </c>
      <c r="R46" s="722">
        <f ca="1">SUM(R39:R45)</f>
        <v>29145.160928798199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150.71956506094241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150.71956506094241</v>
      </c>
    </row>
    <row r="50" spans="1:18">
      <c r="A50" s="824" t="s">
        <v>306</v>
      </c>
      <c r="B50" s="834"/>
      <c r="C50" s="692">
        <f ca="1">transport!B18</f>
        <v>6.5792391312897598</v>
      </c>
      <c r="D50" s="692">
        <f>transport!C18</f>
        <v>0</v>
      </c>
      <c r="E50" s="692">
        <f>transport!D18</f>
        <v>22.641225697093969</v>
      </c>
      <c r="F50" s="692">
        <f>transport!E18</f>
        <v>21.491884189187076</v>
      </c>
      <c r="G50" s="692">
        <f>transport!F18</f>
        <v>0</v>
      </c>
      <c r="H50" s="692">
        <f>transport!G18</f>
        <v>13748.432057652712</v>
      </c>
      <c r="I50" s="692">
        <f>transport!H18</f>
        <v>2603.8558688310754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16403.000275501359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6.5792391312897598</v>
      </c>
      <c r="D52" s="722">
        <f t="shared" ref="D52:Q52" ca="1" si="6">SUM(D48:D51)</f>
        <v>0</v>
      </c>
      <c r="E52" s="722">
        <f t="shared" si="6"/>
        <v>22.641225697093969</v>
      </c>
      <c r="F52" s="722">
        <f t="shared" si="6"/>
        <v>21.491884189187076</v>
      </c>
      <c r="G52" s="722">
        <f t="shared" si="6"/>
        <v>0</v>
      </c>
      <c r="H52" s="722">
        <f t="shared" si="6"/>
        <v>13899.151622713654</v>
      </c>
      <c r="I52" s="722">
        <f t="shared" si="6"/>
        <v>2603.8558688310754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16553.719840562302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744.81199002563164</v>
      </c>
      <c r="D54" s="692">
        <f ca="1">+landbouw!C12</f>
        <v>7467.5495798319334</v>
      </c>
      <c r="E54" s="692">
        <f>+landbouw!D12</f>
        <v>1534.738352623034</v>
      </c>
      <c r="F54" s="692">
        <f>+landbouw!E12</f>
        <v>25.093160640131263</v>
      </c>
      <c r="G54" s="692">
        <f>+landbouw!F12</f>
        <v>3342.1947251895913</v>
      </c>
      <c r="H54" s="692">
        <f>+landbouw!G12</f>
        <v>0</v>
      </c>
      <c r="I54" s="692">
        <f>+landbouw!H12</f>
        <v>0</v>
      </c>
      <c r="J54" s="692">
        <f>+landbouw!I12</f>
        <v>0</v>
      </c>
      <c r="K54" s="692">
        <f>+landbouw!J12</f>
        <v>345.44278546700372</v>
      </c>
      <c r="L54" s="692">
        <f>+landbouw!K12</f>
        <v>0</v>
      </c>
      <c r="M54" s="692">
        <f>+landbouw!L12</f>
        <v>0</v>
      </c>
      <c r="N54" s="692">
        <f>+landbouw!M12</f>
        <v>0</v>
      </c>
      <c r="O54" s="692">
        <f>+landbouw!N12</f>
        <v>0</v>
      </c>
      <c r="P54" s="692">
        <f>+landbouw!O12</f>
        <v>0</v>
      </c>
      <c r="Q54" s="693">
        <f>+landbouw!P12</f>
        <v>0</v>
      </c>
      <c r="R54" s="721">
        <f ca="1">SUM(C54:Q54)</f>
        <v>13459.830593777324</v>
      </c>
    </row>
    <row r="55" spans="1:18" ht="15" thickBot="1">
      <c r="A55" s="824" t="s">
        <v>724</v>
      </c>
      <c r="B55" s="834"/>
      <c r="C55" s="692">
        <f ca="1">C25*'EF ele_warmte'!B12</f>
        <v>115.6452847358339</v>
      </c>
      <c r="D55" s="692"/>
      <c r="E55" s="692">
        <f>E25*EF_CO2_aardgas</f>
        <v>262.60090778800003</v>
      </c>
      <c r="F55" s="692"/>
      <c r="G55" s="692"/>
      <c r="H55" s="692"/>
      <c r="I55" s="692"/>
      <c r="J55" s="692"/>
      <c r="K55" s="692"/>
      <c r="L55" s="692"/>
      <c r="M55" s="692"/>
      <c r="N55" s="692"/>
      <c r="O55" s="692"/>
      <c r="P55" s="692"/>
      <c r="Q55" s="693"/>
      <c r="R55" s="721">
        <f ca="1">SUM(C55:Q55)</f>
        <v>378.24619252383394</v>
      </c>
    </row>
    <row r="56" spans="1:18" ht="15.75" thickBot="1">
      <c r="A56" s="822" t="s">
        <v>725</v>
      </c>
      <c r="B56" s="835"/>
      <c r="C56" s="722">
        <f ca="1">SUM(C54:C55)</f>
        <v>860.45727476146556</v>
      </c>
      <c r="D56" s="722">
        <f t="shared" ref="D56:Q56" ca="1" si="7">SUM(D54:D55)</f>
        <v>7467.5495798319334</v>
      </c>
      <c r="E56" s="722">
        <f t="shared" si="7"/>
        <v>1797.339260411034</v>
      </c>
      <c r="F56" s="722">
        <f t="shared" si="7"/>
        <v>25.093160640131263</v>
      </c>
      <c r="G56" s="722">
        <f t="shared" si="7"/>
        <v>3342.1947251895913</v>
      </c>
      <c r="H56" s="722">
        <f t="shared" si="7"/>
        <v>0</v>
      </c>
      <c r="I56" s="722">
        <f t="shared" si="7"/>
        <v>0</v>
      </c>
      <c r="J56" s="722">
        <f t="shared" si="7"/>
        <v>0</v>
      </c>
      <c r="K56" s="722">
        <f t="shared" si="7"/>
        <v>345.44278546700372</v>
      </c>
      <c r="L56" s="722">
        <f t="shared" si="7"/>
        <v>0</v>
      </c>
      <c r="M56" s="722">
        <f t="shared" si="7"/>
        <v>0</v>
      </c>
      <c r="N56" s="722">
        <f t="shared" si="7"/>
        <v>0</v>
      </c>
      <c r="O56" s="722">
        <f t="shared" si="7"/>
        <v>0</v>
      </c>
      <c r="P56" s="722">
        <f t="shared" si="7"/>
        <v>0</v>
      </c>
      <c r="Q56" s="723">
        <f t="shared" si="7"/>
        <v>0</v>
      </c>
      <c r="R56" s="724">
        <f ca="1">SUM(R54:R55)</f>
        <v>13838.076786301157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10904.015059946407</v>
      </c>
      <c r="D61" s="730">
        <f t="shared" ref="D61:Q61" ca="1" si="8">D46+D52+D56</f>
        <v>7467.5495798319334</v>
      </c>
      <c r="E61" s="730">
        <f t="shared" ca="1" si="8"/>
        <v>15348.265077250417</v>
      </c>
      <c r="F61" s="730">
        <f t="shared" si="8"/>
        <v>2000.4124938877242</v>
      </c>
      <c r="G61" s="730">
        <f t="shared" ca="1" si="8"/>
        <v>6793.3233911286843</v>
      </c>
      <c r="H61" s="730">
        <f t="shared" si="8"/>
        <v>13899.151622713654</v>
      </c>
      <c r="I61" s="730">
        <f t="shared" si="8"/>
        <v>2603.8558688310754</v>
      </c>
      <c r="J61" s="730">
        <f t="shared" si="8"/>
        <v>0</v>
      </c>
      <c r="K61" s="730">
        <f t="shared" si="8"/>
        <v>520.38446207176753</v>
      </c>
      <c r="L61" s="730">
        <f t="shared" si="8"/>
        <v>0</v>
      </c>
      <c r="M61" s="730">
        <f t="shared" ca="1" si="8"/>
        <v>0</v>
      </c>
      <c r="N61" s="730">
        <f t="shared" si="8"/>
        <v>0</v>
      </c>
      <c r="O61" s="730">
        <f t="shared" ca="1" si="8"/>
        <v>0</v>
      </c>
      <c r="P61" s="730">
        <f t="shared" si="8"/>
        <v>0</v>
      </c>
      <c r="Q61" s="730">
        <f t="shared" si="8"/>
        <v>0</v>
      </c>
      <c r="R61" s="730">
        <f ca="1">R46+R52+R56</f>
        <v>59536.957555661662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0.21028404846547588</v>
      </c>
      <c r="D63" s="776">
        <f t="shared" ca="1" si="9"/>
        <v>0.23764705882352941</v>
      </c>
      <c r="E63" s="975">
        <f t="shared" ca="1" si="9"/>
        <v>0.20200000000000007</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4171.1805678577384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21996</v>
      </c>
      <c r="D76" s="958">
        <f>'lokale energieproductie'!C8</f>
        <v>25877.647058823532</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5227.2847058823536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4171.1805678577384</v>
      </c>
      <c r="C78" s="748">
        <f>SUM(C72:C77)</f>
        <v>21996</v>
      </c>
      <c r="D78" s="749">
        <f t="shared" ref="D78:H78" si="10">SUM(D76:D77)</f>
        <v>25877.647058823532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5227.2847058823536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31422.857142857145</v>
      </c>
      <c r="D87" s="772">
        <f>'lokale energieproductie'!C17</f>
        <v>36968.067226890758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7467.5495798319334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31422.857142857145</v>
      </c>
      <c r="D90" s="748">
        <f t="shared" ref="D90:H90" si="12">SUM(D87:D89)</f>
        <v>36968.067226890758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7467.5495798319334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17092.506088473037</v>
      </c>
      <c r="C4" s="452">
        <f>huishoudens!C8</f>
        <v>0</v>
      </c>
      <c r="D4" s="452">
        <f>huishoudens!D8</f>
        <v>40488.728906119999</v>
      </c>
      <c r="E4" s="452">
        <f>huishoudens!E8</f>
        <v>7064.2326691459466</v>
      </c>
      <c r="F4" s="452">
        <f>huishoudens!F8</f>
        <v>7006.5091710033566</v>
      </c>
      <c r="G4" s="452">
        <f>huishoudens!G8</f>
        <v>0</v>
      </c>
      <c r="H4" s="452">
        <f>huishoudens!H8</f>
        <v>0</v>
      </c>
      <c r="I4" s="452">
        <f>huishoudens!I8</f>
        <v>0</v>
      </c>
      <c r="J4" s="452">
        <f>huishoudens!J8</f>
        <v>413.50985550904858</v>
      </c>
      <c r="K4" s="452">
        <f>huishoudens!K8</f>
        <v>0</v>
      </c>
      <c r="L4" s="452">
        <f>huishoudens!L8</f>
        <v>0</v>
      </c>
      <c r="M4" s="452">
        <f>huishoudens!M8</f>
        <v>0</v>
      </c>
      <c r="N4" s="452">
        <f>huishoudens!N8</f>
        <v>13445.228463102138</v>
      </c>
      <c r="O4" s="452">
        <f>huishoudens!O8</f>
        <v>317.43331510192507</v>
      </c>
      <c r="P4" s="453">
        <f>huishoudens!P8</f>
        <v>273.88294199981061</v>
      </c>
      <c r="Q4" s="454">
        <f>SUM(B4:P4)</f>
        <v>86102.031410455253</v>
      </c>
    </row>
    <row r="5" spans="1:17">
      <c r="A5" s="451" t="s">
        <v>155</v>
      </c>
      <c r="B5" s="452">
        <f ca="1">tertiair!B16</f>
        <v>11419.635937000001</v>
      </c>
      <c r="C5" s="452">
        <f ca="1">tertiair!C16</f>
        <v>0</v>
      </c>
      <c r="D5" s="452">
        <f ca="1">tertiair!D16</f>
        <v>11813.140859783998</v>
      </c>
      <c r="E5" s="452">
        <f>tertiair!E16</f>
        <v>179.50804945053892</v>
      </c>
      <c r="F5" s="452">
        <f ca="1">tertiair!F16</f>
        <v>1241.9241648183861</v>
      </c>
      <c r="G5" s="452">
        <f>tertiair!G16</f>
        <v>0</v>
      </c>
      <c r="H5" s="452">
        <f>tertiair!H16</f>
        <v>0</v>
      </c>
      <c r="I5" s="452">
        <f>tertiair!I16</f>
        <v>0</v>
      </c>
      <c r="J5" s="452">
        <f>tertiair!J16</f>
        <v>1.574864065228419E-2</v>
      </c>
      <c r="K5" s="452">
        <f>tertiair!K16</f>
        <v>0</v>
      </c>
      <c r="L5" s="452">
        <f ca="1">tertiair!L16</f>
        <v>0</v>
      </c>
      <c r="M5" s="452">
        <f>tertiair!M16</f>
        <v>0</v>
      </c>
      <c r="N5" s="452">
        <f ca="1">tertiair!N16</f>
        <v>627.07236631143701</v>
      </c>
      <c r="O5" s="452">
        <f>tertiair!O16</f>
        <v>14.691782297523464</v>
      </c>
      <c r="P5" s="453">
        <f>tertiair!P16</f>
        <v>367.77396814546512</v>
      </c>
      <c r="Q5" s="451">
        <f t="shared" ref="Q5:Q14" ca="1" si="0">SUM(B5:P5)</f>
        <v>25663.762876448</v>
      </c>
    </row>
    <row r="6" spans="1:17">
      <c r="A6" s="451" t="s">
        <v>193</v>
      </c>
      <c r="B6" s="452">
        <f>'openbare verlichting'!B8</f>
        <v>787.59</v>
      </c>
      <c r="C6" s="452"/>
      <c r="D6" s="452"/>
      <c r="E6" s="452"/>
      <c r="F6" s="452"/>
      <c r="G6" s="452"/>
      <c r="H6" s="452"/>
      <c r="I6" s="452"/>
      <c r="J6" s="452"/>
      <c r="K6" s="452"/>
      <c r="L6" s="452"/>
      <c r="M6" s="452"/>
      <c r="N6" s="452"/>
      <c r="O6" s="452"/>
      <c r="P6" s="453"/>
      <c r="Q6" s="451">
        <f t="shared" si="0"/>
        <v>787.59</v>
      </c>
    </row>
    <row r="7" spans="1:17">
      <c r="A7" s="451" t="s">
        <v>111</v>
      </c>
      <c r="B7" s="452">
        <f>landbouw!B8</f>
        <v>3541.932902</v>
      </c>
      <c r="C7" s="452">
        <f>landbouw!C8</f>
        <v>31422.857142857145</v>
      </c>
      <c r="D7" s="452">
        <f>landbouw!D8</f>
        <v>7597.7146169457119</v>
      </c>
      <c r="E7" s="452">
        <f>landbouw!E8</f>
        <v>110.5425578860408</v>
      </c>
      <c r="F7" s="452">
        <f>landbouw!F8</f>
        <v>12517.583240410453</v>
      </c>
      <c r="G7" s="452">
        <f>landbouw!G8</f>
        <v>0</v>
      </c>
      <c r="H7" s="452">
        <f>landbouw!H8</f>
        <v>0</v>
      </c>
      <c r="I7" s="452">
        <f>landbouw!I8</f>
        <v>0</v>
      </c>
      <c r="J7" s="452">
        <f>landbouw!J8</f>
        <v>975.82707759040602</v>
      </c>
      <c r="K7" s="452">
        <f>landbouw!K8</f>
        <v>0</v>
      </c>
      <c r="L7" s="452">
        <f>landbouw!L8</f>
        <v>0</v>
      </c>
      <c r="M7" s="452">
        <f>landbouw!M8</f>
        <v>0</v>
      </c>
      <c r="N7" s="452">
        <f>landbouw!N8</f>
        <v>0</v>
      </c>
      <c r="O7" s="452">
        <f>landbouw!O8</f>
        <v>0</v>
      </c>
      <c r="P7" s="453">
        <f>landbouw!P8</f>
        <v>0</v>
      </c>
      <c r="Q7" s="451">
        <f t="shared" si="0"/>
        <v>56166.457537689756</v>
      </c>
    </row>
    <row r="8" spans="1:17">
      <c r="A8" s="451" t="s">
        <v>625</v>
      </c>
      <c r="B8" s="452">
        <f>industrie!B18</f>
        <v>18430.842971999999</v>
      </c>
      <c r="C8" s="452">
        <f>industrie!C18</f>
        <v>0</v>
      </c>
      <c r="D8" s="452">
        <f>industrie!D18</f>
        <v>14669.83613084</v>
      </c>
      <c r="E8" s="452">
        <f>industrie!E18</f>
        <v>1363.4286605154339</v>
      </c>
      <c r="F8" s="452">
        <f>industrie!F18</f>
        <v>4677.1421920400262</v>
      </c>
      <c r="G8" s="452">
        <f>industrie!G18</f>
        <v>0</v>
      </c>
      <c r="H8" s="452">
        <f>industrie!H18</f>
        <v>0</v>
      </c>
      <c r="I8" s="452">
        <f>industrie!I18</f>
        <v>0</v>
      </c>
      <c r="J8" s="452">
        <f>industrie!J18</f>
        <v>80.659922982400317</v>
      </c>
      <c r="K8" s="452">
        <f>industrie!K18</f>
        <v>0</v>
      </c>
      <c r="L8" s="452">
        <f>industrie!L18</f>
        <v>0</v>
      </c>
      <c r="M8" s="452">
        <f>industrie!M18</f>
        <v>0</v>
      </c>
      <c r="N8" s="452">
        <f>industrie!N18</f>
        <v>919.20020501814736</v>
      </c>
      <c r="O8" s="452">
        <f>industrie!O18</f>
        <v>0</v>
      </c>
      <c r="P8" s="453">
        <f>industrie!P18</f>
        <v>0</v>
      </c>
      <c r="Q8" s="451">
        <f t="shared" si="0"/>
        <v>40141.110083396001</v>
      </c>
    </row>
    <row r="9" spans="1:17" s="457" customFormat="1">
      <c r="A9" s="455" t="s">
        <v>551</v>
      </c>
      <c r="B9" s="456">
        <f>transport!B14</f>
        <v>31.287390457340987</v>
      </c>
      <c r="C9" s="456">
        <f>transport!C14</f>
        <v>0</v>
      </c>
      <c r="D9" s="456">
        <f>transport!D14</f>
        <v>112.08527572818795</v>
      </c>
      <c r="E9" s="456">
        <f>transport!E14</f>
        <v>94.677903917123672</v>
      </c>
      <c r="F9" s="456">
        <f>transport!F14</f>
        <v>0</v>
      </c>
      <c r="G9" s="456">
        <f>transport!G14</f>
        <v>51492.254897575694</v>
      </c>
      <c r="H9" s="456">
        <f>transport!H14</f>
        <v>10457.252485265364</v>
      </c>
      <c r="I9" s="456">
        <f>transport!I14</f>
        <v>0</v>
      </c>
      <c r="J9" s="456">
        <f>transport!J14</f>
        <v>0</v>
      </c>
      <c r="K9" s="456">
        <f>transport!K14</f>
        <v>0</v>
      </c>
      <c r="L9" s="456">
        <f>transport!L14</f>
        <v>0</v>
      </c>
      <c r="M9" s="456">
        <f>transport!M14</f>
        <v>3660.4817111880998</v>
      </c>
      <c r="N9" s="456">
        <f>transport!N14</f>
        <v>0</v>
      </c>
      <c r="O9" s="456">
        <f>transport!O14</f>
        <v>0</v>
      </c>
      <c r="P9" s="456">
        <f>transport!P14</f>
        <v>0</v>
      </c>
      <c r="Q9" s="455">
        <f>SUM(B9:P9)</f>
        <v>65848.039664131822</v>
      </c>
    </row>
    <row r="10" spans="1:17">
      <c r="A10" s="451" t="s">
        <v>541</v>
      </c>
      <c r="B10" s="452">
        <f>transport!B54</f>
        <v>0</v>
      </c>
      <c r="C10" s="452">
        <f>transport!C54</f>
        <v>0</v>
      </c>
      <c r="D10" s="452">
        <f>transport!D54</f>
        <v>0</v>
      </c>
      <c r="E10" s="452">
        <f>transport!E54</f>
        <v>0</v>
      </c>
      <c r="F10" s="452">
        <f>transport!F54</f>
        <v>0</v>
      </c>
      <c r="G10" s="452">
        <f>transport!G54</f>
        <v>564.49275303723743</v>
      </c>
      <c r="H10" s="452">
        <f>transport!H54</f>
        <v>0</v>
      </c>
      <c r="I10" s="452">
        <f>transport!I54</f>
        <v>0</v>
      </c>
      <c r="J10" s="452">
        <f>transport!J54</f>
        <v>0</v>
      </c>
      <c r="K10" s="452">
        <f>transport!K54</f>
        <v>0</v>
      </c>
      <c r="L10" s="452">
        <f>transport!L54</f>
        <v>0</v>
      </c>
      <c r="M10" s="452">
        <f>transport!M54</f>
        <v>31.369633521876999</v>
      </c>
      <c r="N10" s="452">
        <f>transport!N54</f>
        <v>0</v>
      </c>
      <c r="O10" s="452">
        <f>transport!O54</f>
        <v>0</v>
      </c>
      <c r="P10" s="453">
        <f>transport!P54</f>
        <v>0</v>
      </c>
      <c r="Q10" s="451">
        <f t="shared" si="0"/>
        <v>595.86238655911438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549.94796600000006</v>
      </c>
      <c r="C14" s="459"/>
      <c r="D14" s="459">
        <f>'SEAP template'!E25</f>
        <v>1300.004494</v>
      </c>
      <c r="E14" s="459"/>
      <c r="F14" s="459"/>
      <c r="G14" s="459"/>
      <c r="H14" s="459"/>
      <c r="I14" s="459"/>
      <c r="J14" s="459"/>
      <c r="K14" s="459"/>
      <c r="L14" s="459"/>
      <c r="M14" s="459"/>
      <c r="N14" s="459"/>
      <c r="O14" s="459"/>
      <c r="P14" s="460"/>
      <c r="Q14" s="451">
        <f t="shared" si="0"/>
        <v>1849.95246</v>
      </c>
    </row>
    <row r="15" spans="1:17" s="463" customFormat="1">
      <c r="A15" s="461" t="s">
        <v>545</v>
      </c>
      <c r="B15" s="462">
        <f ca="1">SUM(B4:B14)</f>
        <v>51853.743255930378</v>
      </c>
      <c r="C15" s="462">
        <f t="shared" ref="C15:Q15" ca="1" si="1">SUM(C4:C14)</f>
        <v>31422.857142857145</v>
      </c>
      <c r="D15" s="462">
        <f t="shared" ca="1" si="1"/>
        <v>75981.510283417883</v>
      </c>
      <c r="E15" s="462">
        <f t="shared" si="1"/>
        <v>8812.3898409150825</v>
      </c>
      <c r="F15" s="462">
        <f t="shared" ca="1" si="1"/>
        <v>25443.158768272224</v>
      </c>
      <c r="G15" s="462">
        <f t="shared" si="1"/>
        <v>52056.747650612931</v>
      </c>
      <c r="H15" s="462">
        <f t="shared" si="1"/>
        <v>10457.252485265364</v>
      </c>
      <c r="I15" s="462">
        <f t="shared" si="1"/>
        <v>0</v>
      </c>
      <c r="J15" s="462">
        <f t="shared" si="1"/>
        <v>1470.0126047225071</v>
      </c>
      <c r="K15" s="462">
        <f t="shared" si="1"/>
        <v>0</v>
      </c>
      <c r="L15" s="462">
        <f t="shared" ca="1" si="1"/>
        <v>0</v>
      </c>
      <c r="M15" s="462">
        <f t="shared" si="1"/>
        <v>3691.8513447099767</v>
      </c>
      <c r="N15" s="462">
        <f t="shared" ca="1" si="1"/>
        <v>14991.501034431722</v>
      </c>
      <c r="O15" s="462">
        <f t="shared" si="1"/>
        <v>332.12509739944852</v>
      </c>
      <c r="P15" s="462">
        <f t="shared" si="1"/>
        <v>641.65691014527579</v>
      </c>
      <c r="Q15" s="462">
        <f t="shared" ca="1" si="1"/>
        <v>277154.80641867995</v>
      </c>
    </row>
    <row r="17" spans="1:17">
      <c r="A17" s="464" t="s">
        <v>546</v>
      </c>
      <c r="B17" s="781">
        <f ca="1">huishoudens!B10</f>
        <v>0.21028404846547588</v>
      </c>
      <c r="C17" s="781">
        <f ca="1">huishoudens!C10</f>
        <v>0.23764705882352941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3594.2813787049058</v>
      </c>
      <c r="C22" s="452">
        <f t="shared" ref="C22:C32" ca="1" si="3">C4*$C$17</f>
        <v>0</v>
      </c>
      <c r="D22" s="452">
        <f t="shared" ref="D22:D32" si="4">D4*$D$17</f>
        <v>8178.7232390362406</v>
      </c>
      <c r="E22" s="452">
        <f t="shared" ref="E22:E32" si="5">E4*$E$17</f>
        <v>1603.5808158961299</v>
      </c>
      <c r="F22" s="452">
        <f t="shared" ref="F22:F32" si="6">F4*$F$17</f>
        <v>1870.7379486578964</v>
      </c>
      <c r="G22" s="452">
        <f t="shared" ref="G22:G32" si="7">G4*$G$17</f>
        <v>0</v>
      </c>
      <c r="H22" s="452">
        <f t="shared" ref="H22:H32" si="8">H4*$H$17</f>
        <v>0</v>
      </c>
      <c r="I22" s="452">
        <f t="shared" ref="I22:I32" si="9">I4*$I$17</f>
        <v>0</v>
      </c>
      <c r="J22" s="452">
        <f t="shared" ref="J22:J32" si="10">J4*$J$17</f>
        <v>146.3824888502032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15393.705871145376</v>
      </c>
    </row>
    <row r="23" spans="1:17">
      <c r="A23" s="451" t="s">
        <v>155</v>
      </c>
      <c r="B23" s="452">
        <f t="shared" ca="1" si="2"/>
        <v>2401.3672768341985</v>
      </c>
      <c r="C23" s="452">
        <f t="shared" ca="1" si="3"/>
        <v>0</v>
      </c>
      <c r="D23" s="452">
        <f t="shared" ca="1" si="4"/>
        <v>2386.2544536763676</v>
      </c>
      <c r="E23" s="452">
        <f t="shared" si="5"/>
        <v>40.748327225272334</v>
      </c>
      <c r="F23" s="452">
        <f t="shared" ca="1" si="6"/>
        <v>331.59375200650908</v>
      </c>
      <c r="G23" s="452">
        <f t="shared" si="7"/>
        <v>0</v>
      </c>
      <c r="H23" s="452">
        <f t="shared" si="8"/>
        <v>0</v>
      </c>
      <c r="I23" s="452">
        <f t="shared" si="9"/>
        <v>0</v>
      </c>
      <c r="J23" s="452">
        <f t="shared" si="10"/>
        <v>5.5750187909086027E-3</v>
      </c>
      <c r="K23" s="452">
        <f t="shared" si="11"/>
        <v>0</v>
      </c>
      <c r="L23" s="452">
        <f t="shared" ca="1" si="12"/>
        <v>0</v>
      </c>
      <c r="M23" s="452">
        <f t="shared" si="13"/>
        <v>0</v>
      </c>
      <c r="N23" s="452">
        <f t="shared" ca="1" si="14"/>
        <v>0</v>
      </c>
      <c r="O23" s="452">
        <f t="shared" si="15"/>
        <v>0</v>
      </c>
      <c r="P23" s="453">
        <f t="shared" si="16"/>
        <v>0</v>
      </c>
      <c r="Q23" s="451">
        <f t="shared" ref="Q23:Q31" ca="1" si="17">SUM(B23:P23)</f>
        <v>5159.9693847611379</v>
      </c>
    </row>
    <row r="24" spans="1:17">
      <c r="A24" s="451" t="s">
        <v>193</v>
      </c>
      <c r="B24" s="452">
        <f t="shared" ca="1" si="2"/>
        <v>165.61761373092415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165.61761373092415</v>
      </c>
    </row>
    <row r="25" spans="1:17">
      <c r="A25" s="451" t="s">
        <v>111</v>
      </c>
      <c r="B25" s="452">
        <f t="shared" ca="1" si="2"/>
        <v>744.81199002563164</v>
      </c>
      <c r="C25" s="452">
        <f t="shared" ca="1" si="3"/>
        <v>7467.5495798319334</v>
      </c>
      <c r="D25" s="452">
        <f t="shared" si="4"/>
        <v>1534.738352623034</v>
      </c>
      <c r="E25" s="452">
        <f t="shared" si="5"/>
        <v>25.093160640131263</v>
      </c>
      <c r="F25" s="452">
        <f t="shared" si="6"/>
        <v>3342.1947251895913</v>
      </c>
      <c r="G25" s="452">
        <f t="shared" si="7"/>
        <v>0</v>
      </c>
      <c r="H25" s="452">
        <f t="shared" si="8"/>
        <v>0</v>
      </c>
      <c r="I25" s="452">
        <f t="shared" si="9"/>
        <v>0</v>
      </c>
      <c r="J25" s="452">
        <f t="shared" si="10"/>
        <v>345.44278546700372</v>
      </c>
      <c r="K25" s="452">
        <f t="shared" si="11"/>
        <v>0</v>
      </c>
      <c r="L25" s="452">
        <f t="shared" si="12"/>
        <v>0</v>
      </c>
      <c r="M25" s="452">
        <f t="shared" si="13"/>
        <v>0</v>
      </c>
      <c r="N25" s="452">
        <f t="shared" si="14"/>
        <v>0</v>
      </c>
      <c r="O25" s="452">
        <f t="shared" si="15"/>
        <v>0</v>
      </c>
      <c r="P25" s="453">
        <f t="shared" si="16"/>
        <v>0</v>
      </c>
      <c r="Q25" s="451">
        <f t="shared" ca="1" si="17"/>
        <v>13459.830593777324</v>
      </c>
    </row>
    <row r="26" spans="1:17">
      <c r="A26" s="451" t="s">
        <v>625</v>
      </c>
      <c r="B26" s="452">
        <f t="shared" ca="1" si="2"/>
        <v>3875.7122767836231</v>
      </c>
      <c r="C26" s="452">
        <f t="shared" ca="1" si="3"/>
        <v>0</v>
      </c>
      <c r="D26" s="452">
        <f t="shared" si="4"/>
        <v>2963.3068984296801</v>
      </c>
      <c r="E26" s="452">
        <f t="shared" si="5"/>
        <v>309.49830593700352</v>
      </c>
      <c r="F26" s="452">
        <f t="shared" si="6"/>
        <v>1248.796965274687</v>
      </c>
      <c r="G26" s="452">
        <f t="shared" si="7"/>
        <v>0</v>
      </c>
      <c r="H26" s="452">
        <f t="shared" si="8"/>
        <v>0</v>
      </c>
      <c r="I26" s="452">
        <f t="shared" si="9"/>
        <v>0</v>
      </c>
      <c r="J26" s="452">
        <f t="shared" si="10"/>
        <v>28.553612735769711</v>
      </c>
      <c r="K26" s="452">
        <f t="shared" si="11"/>
        <v>0</v>
      </c>
      <c r="L26" s="452">
        <f t="shared" si="12"/>
        <v>0</v>
      </c>
      <c r="M26" s="452">
        <f t="shared" si="13"/>
        <v>0</v>
      </c>
      <c r="N26" s="452">
        <f t="shared" si="14"/>
        <v>0</v>
      </c>
      <c r="O26" s="452">
        <f t="shared" si="15"/>
        <v>0</v>
      </c>
      <c r="P26" s="453">
        <f t="shared" si="16"/>
        <v>0</v>
      </c>
      <c r="Q26" s="451">
        <f t="shared" ca="1" si="17"/>
        <v>8425.8680591607626</v>
      </c>
    </row>
    <row r="27" spans="1:17" s="457" customFormat="1">
      <c r="A27" s="455" t="s">
        <v>551</v>
      </c>
      <c r="B27" s="775">
        <f t="shared" ca="1" si="2"/>
        <v>6.5792391312897598</v>
      </c>
      <c r="C27" s="456">
        <f t="shared" ca="1" si="3"/>
        <v>0</v>
      </c>
      <c r="D27" s="456">
        <f t="shared" si="4"/>
        <v>22.641225697093969</v>
      </c>
      <c r="E27" s="456">
        <f t="shared" si="5"/>
        <v>21.491884189187076</v>
      </c>
      <c r="F27" s="456">
        <f t="shared" si="6"/>
        <v>0</v>
      </c>
      <c r="G27" s="456">
        <f t="shared" si="7"/>
        <v>13748.432057652712</v>
      </c>
      <c r="H27" s="456">
        <f t="shared" si="8"/>
        <v>2603.8558688310754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16403.000275501359</v>
      </c>
    </row>
    <row r="28" spans="1:17" ht="16.5" customHeight="1">
      <c r="A28" s="451" t="s">
        <v>541</v>
      </c>
      <c r="B28" s="452">
        <f t="shared" ca="1" si="2"/>
        <v>0</v>
      </c>
      <c r="C28" s="452">
        <f t="shared" ca="1" si="3"/>
        <v>0</v>
      </c>
      <c r="D28" s="452">
        <f t="shared" si="4"/>
        <v>0</v>
      </c>
      <c r="E28" s="452">
        <f t="shared" si="5"/>
        <v>0</v>
      </c>
      <c r="F28" s="452">
        <f t="shared" si="6"/>
        <v>0</v>
      </c>
      <c r="G28" s="452">
        <f t="shared" si="7"/>
        <v>150.71956506094241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150.71956506094241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115.6452847358339</v>
      </c>
      <c r="C32" s="452">
        <f t="shared" ca="1" si="3"/>
        <v>0</v>
      </c>
      <c r="D32" s="452">
        <f t="shared" si="4"/>
        <v>262.60090778800003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378.24619252383394</v>
      </c>
    </row>
    <row r="33" spans="1:17" s="463" customFormat="1">
      <c r="A33" s="461" t="s">
        <v>545</v>
      </c>
      <c r="B33" s="462">
        <f ca="1">SUM(B22:B32)</f>
        <v>10904.015059946407</v>
      </c>
      <c r="C33" s="462">
        <f t="shared" ref="C33:Q33" ca="1" si="19">SUM(C22:C32)</f>
        <v>7467.5495798319334</v>
      </c>
      <c r="D33" s="462">
        <f t="shared" ca="1" si="19"/>
        <v>15348.265077250417</v>
      </c>
      <c r="E33" s="462">
        <f t="shared" si="19"/>
        <v>2000.4124938877242</v>
      </c>
      <c r="F33" s="462">
        <f t="shared" ca="1" si="19"/>
        <v>6793.3233911286843</v>
      </c>
      <c r="G33" s="462">
        <f t="shared" si="19"/>
        <v>13899.151622713654</v>
      </c>
      <c r="H33" s="462">
        <f t="shared" si="19"/>
        <v>2603.8558688310754</v>
      </c>
      <c r="I33" s="462">
        <f t="shared" si="19"/>
        <v>0</v>
      </c>
      <c r="J33" s="462">
        <f t="shared" si="19"/>
        <v>520.38446207176753</v>
      </c>
      <c r="K33" s="462">
        <f t="shared" si="19"/>
        <v>0</v>
      </c>
      <c r="L33" s="462">
        <f t="shared" ca="1" si="19"/>
        <v>0</v>
      </c>
      <c r="M33" s="462">
        <f t="shared" si="19"/>
        <v>0</v>
      </c>
      <c r="N33" s="462">
        <f t="shared" ca="1" si="19"/>
        <v>0</v>
      </c>
      <c r="O33" s="462">
        <f t="shared" si="19"/>
        <v>0</v>
      </c>
      <c r="P33" s="462">
        <f t="shared" si="19"/>
        <v>0</v>
      </c>
      <c r="Q33" s="462">
        <f t="shared" ca="1" si="19"/>
        <v>59536.957555661655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4171.1805678577384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21996</v>
      </c>
      <c r="D8" s="1029">
        <f>'SEAP template'!D76</f>
        <v>25877.647058823532</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5227.2847058823536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4171.1805678577384</v>
      </c>
      <c r="C10" s="1031">
        <f>SUM(C4:C9)</f>
        <v>21996</v>
      </c>
      <c r="D10" s="1031">
        <f t="shared" ref="D10:H10" si="0">SUM(D8:D9)</f>
        <v>25877.647058823532</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5227.2847058823536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0.21028404846547588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31422.857142857145</v>
      </c>
      <c r="D17" s="1030">
        <f>'SEAP template'!D87</f>
        <v>36968.067226890758</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7467.5495798319334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31422.857142857145</v>
      </c>
      <c r="D20" s="1031">
        <f t="shared" ref="D20:H20" si="2">SUM(D17:D19)</f>
        <v>36968.067226890758</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7467.5495798319334</v>
      </c>
    </row>
    <row r="21" spans="1:16">
      <c r="B21" s="887"/>
    </row>
    <row r="22" spans="1:16">
      <c r="A22" s="464" t="s">
        <v>797</v>
      </c>
      <c r="B22" s="781" t="s">
        <v>795</v>
      </c>
      <c r="C22" s="781">
        <f ca="1">'EF ele_warmte'!B22</f>
        <v>0.23764705882352941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0.21028404846547588</v>
      </c>
      <c r="C17" s="501">
        <f ca="1">'EF ele_warmte'!B22</f>
        <v>0.23764705882352941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0.21028404846547588</v>
      </c>
      <c r="C17" s="501">
        <f ca="1">'EF ele_warmte'!B22</f>
        <v>0.23764705882352941</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0.21028404846547588</v>
      </c>
      <c r="C29" s="502">
        <f ca="1">'EF ele_warmte'!B22</f>
        <v>0.23764705882352941</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4506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738.37</v>
      </c>
      <c r="C14" s="330"/>
      <c r="D14" s="330"/>
      <c r="E14" s="330"/>
      <c r="F14" s="330"/>
    </row>
    <row r="15" spans="1:6">
      <c r="A15" s="1298" t="s">
        <v>183</v>
      </c>
      <c r="B15" s="1299">
        <v>568</v>
      </c>
      <c r="C15" s="330"/>
      <c r="D15" s="330"/>
      <c r="E15" s="330"/>
      <c r="F15" s="330"/>
    </row>
    <row r="16" spans="1:6">
      <c r="A16" s="1298" t="s">
        <v>6</v>
      </c>
      <c r="B16" s="1299">
        <v>111</v>
      </c>
      <c r="C16" s="330"/>
      <c r="D16" s="330"/>
      <c r="E16" s="330"/>
      <c r="F16" s="330"/>
    </row>
    <row r="17" spans="1:6">
      <c r="A17" s="1298" t="s">
        <v>7</v>
      </c>
      <c r="B17" s="1299">
        <v>85</v>
      </c>
      <c r="C17" s="330"/>
      <c r="D17" s="330"/>
      <c r="E17" s="330"/>
      <c r="F17" s="330"/>
    </row>
    <row r="18" spans="1:6">
      <c r="A18" s="1298" t="s">
        <v>8</v>
      </c>
      <c r="B18" s="1299">
        <v>138</v>
      </c>
      <c r="C18" s="330"/>
      <c r="D18" s="330"/>
      <c r="E18" s="330"/>
      <c r="F18" s="330"/>
    </row>
    <row r="19" spans="1:6">
      <c r="A19" s="1298" t="s">
        <v>9</v>
      </c>
      <c r="B19" s="1299">
        <v>150</v>
      </c>
      <c r="C19" s="330"/>
      <c r="D19" s="330"/>
      <c r="E19" s="330"/>
      <c r="F19" s="330"/>
    </row>
    <row r="20" spans="1:6">
      <c r="A20" s="1298" t="s">
        <v>10</v>
      </c>
      <c r="B20" s="1299">
        <v>82</v>
      </c>
      <c r="C20" s="330"/>
      <c r="D20" s="330"/>
      <c r="E20" s="330"/>
      <c r="F20" s="330"/>
    </row>
    <row r="21" spans="1:6">
      <c r="A21" s="1298" t="s">
        <v>11</v>
      </c>
      <c r="B21" s="1299">
        <v>1266</v>
      </c>
      <c r="C21" s="330"/>
      <c r="D21" s="330"/>
      <c r="E21" s="330"/>
      <c r="F21" s="330"/>
    </row>
    <row r="22" spans="1:6">
      <c r="A22" s="1298" t="s">
        <v>12</v>
      </c>
      <c r="B22" s="1299">
        <v>6304</v>
      </c>
      <c r="C22" s="330"/>
      <c r="D22" s="330"/>
      <c r="E22" s="330"/>
      <c r="F22" s="330"/>
    </row>
    <row r="23" spans="1:6">
      <c r="A23" s="1298" t="s">
        <v>13</v>
      </c>
      <c r="B23" s="1299">
        <v>39</v>
      </c>
      <c r="C23" s="330"/>
      <c r="D23" s="330"/>
      <c r="E23" s="330"/>
      <c r="F23" s="330"/>
    </row>
    <row r="24" spans="1:6">
      <c r="A24" s="1298" t="s">
        <v>14</v>
      </c>
      <c r="B24" s="1299">
        <v>3</v>
      </c>
      <c r="C24" s="330"/>
      <c r="D24" s="330"/>
      <c r="E24" s="330"/>
      <c r="F24" s="330"/>
    </row>
    <row r="25" spans="1:6">
      <c r="A25" s="1298" t="s">
        <v>15</v>
      </c>
      <c r="B25" s="1299">
        <v>374</v>
      </c>
      <c r="C25" s="330"/>
      <c r="D25" s="330"/>
      <c r="E25" s="330"/>
      <c r="F25" s="330"/>
    </row>
    <row r="26" spans="1:6">
      <c r="A26" s="1298" t="s">
        <v>16</v>
      </c>
      <c r="B26" s="1299">
        <v>19</v>
      </c>
      <c r="C26" s="330"/>
      <c r="D26" s="330"/>
      <c r="E26" s="330"/>
      <c r="F26" s="330"/>
    </row>
    <row r="27" spans="1:6">
      <c r="A27" s="1298" t="s">
        <v>17</v>
      </c>
      <c r="B27" s="1299">
        <v>0</v>
      </c>
      <c r="C27" s="330"/>
      <c r="D27" s="330"/>
      <c r="E27" s="330"/>
      <c r="F27" s="330"/>
    </row>
    <row r="28" spans="1:6" s="43" customFormat="1">
      <c r="A28" s="1300" t="s">
        <v>18</v>
      </c>
      <c r="B28" s="1301">
        <v>104630</v>
      </c>
      <c r="C28" s="336"/>
      <c r="D28" s="336"/>
      <c r="E28" s="336"/>
      <c r="F28" s="336"/>
    </row>
    <row r="29" spans="1:6">
      <c r="A29" s="1300" t="s">
        <v>705</v>
      </c>
      <c r="B29" s="1301">
        <v>65</v>
      </c>
      <c r="C29" s="336"/>
      <c r="D29" s="336"/>
      <c r="E29" s="336"/>
      <c r="F29" s="336"/>
    </row>
    <row r="30" spans="1:6">
      <c r="A30" s="1293" t="s">
        <v>706</v>
      </c>
      <c r="B30" s="1302">
        <v>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4071.5610000000001</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424537.092</v>
      </c>
    </row>
    <row r="39" spans="1:6">
      <c r="A39" s="1298" t="s">
        <v>29</v>
      </c>
      <c r="B39" s="1298" t="s">
        <v>30</v>
      </c>
      <c r="C39" s="1299">
        <v>3148</v>
      </c>
      <c r="D39" s="1299">
        <v>44887726.060000002</v>
      </c>
      <c r="E39" s="1299">
        <v>4308</v>
      </c>
      <c r="F39" s="1299">
        <v>14224614.710000001</v>
      </c>
    </row>
    <row r="40" spans="1:6">
      <c r="A40" s="1298" t="s">
        <v>29</v>
      </c>
      <c r="B40" s="1298" t="s">
        <v>28</v>
      </c>
      <c r="C40" s="1299">
        <v>0</v>
      </c>
      <c r="D40" s="1299">
        <v>0</v>
      </c>
      <c r="E40" s="1299">
        <v>0</v>
      </c>
      <c r="F40" s="1299">
        <v>0</v>
      </c>
    </row>
    <row r="41" spans="1:6">
      <c r="A41" s="1298" t="s">
        <v>31</v>
      </c>
      <c r="B41" s="1298" t="s">
        <v>32</v>
      </c>
      <c r="C41" s="1299">
        <v>85</v>
      </c>
      <c r="D41" s="1299">
        <v>1908900.0830000001</v>
      </c>
      <c r="E41" s="1299">
        <v>195</v>
      </c>
      <c r="F41" s="1299">
        <v>3215054.6510000001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78098.543999999994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35</v>
      </c>
      <c r="D48" s="1299">
        <v>14010806.4</v>
      </c>
      <c r="E48" s="1299">
        <v>46</v>
      </c>
      <c r="F48" s="1299">
        <v>9754180.9049999993</v>
      </c>
    </row>
    <row r="49" spans="1:6">
      <c r="A49" s="1298" t="s">
        <v>31</v>
      </c>
      <c r="B49" s="1298" t="s">
        <v>39</v>
      </c>
      <c r="C49" s="1299">
        <v>0</v>
      </c>
      <c r="D49" s="1299">
        <v>0</v>
      </c>
      <c r="E49" s="1299">
        <v>19</v>
      </c>
      <c r="F49" s="1299">
        <v>804503.54399999999</v>
      </c>
    </row>
    <row r="50" spans="1:6">
      <c r="A50" s="1298" t="s">
        <v>31</v>
      </c>
      <c r="B50" s="1298" t="s">
        <v>40</v>
      </c>
      <c r="C50" s="1299">
        <v>3</v>
      </c>
      <c r="D50" s="1299">
        <v>343969.93699999998</v>
      </c>
      <c r="E50" s="1299">
        <v>9</v>
      </c>
      <c r="F50" s="1299">
        <v>4579005.3279999997</v>
      </c>
    </row>
    <row r="51" spans="1:6">
      <c r="A51" s="1298" t="s">
        <v>41</v>
      </c>
      <c r="B51" s="1298" t="s">
        <v>42</v>
      </c>
      <c r="C51" s="1299">
        <v>11</v>
      </c>
      <c r="D51" s="1299">
        <v>55768125.829999998</v>
      </c>
      <c r="E51" s="1299">
        <v>63</v>
      </c>
      <c r="F51" s="1299">
        <v>3323955.5410000002</v>
      </c>
    </row>
    <row r="52" spans="1:6">
      <c r="A52" s="1298" t="s">
        <v>41</v>
      </c>
      <c r="B52" s="1298" t="s">
        <v>28</v>
      </c>
      <c r="C52" s="1299">
        <v>4</v>
      </c>
      <c r="D52" s="1299">
        <v>22328802</v>
      </c>
      <c r="E52" s="1299">
        <v>9</v>
      </c>
      <c r="F52" s="1299">
        <v>217977.361</v>
      </c>
    </row>
    <row r="53" spans="1:6">
      <c r="A53" s="1298" t="s">
        <v>43</v>
      </c>
      <c r="B53" s="1298" t="s">
        <v>44</v>
      </c>
      <c r="C53" s="1299">
        <v>59</v>
      </c>
      <c r="D53" s="1299">
        <v>1300004.4939999999</v>
      </c>
      <c r="E53" s="1299">
        <v>118</v>
      </c>
      <c r="F53" s="1299">
        <v>549947.96600000001</v>
      </c>
    </row>
    <row r="54" spans="1:6">
      <c r="A54" s="1298" t="s">
        <v>45</v>
      </c>
      <c r="B54" s="1298" t="s">
        <v>46</v>
      </c>
      <c r="C54" s="1299">
        <v>0</v>
      </c>
      <c r="D54" s="1299">
        <v>0</v>
      </c>
      <c r="E54" s="1299">
        <v>1</v>
      </c>
      <c r="F54" s="1299">
        <v>787590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20</v>
      </c>
      <c r="D57" s="1299">
        <v>436061.63099999999</v>
      </c>
      <c r="E57" s="1299">
        <v>34</v>
      </c>
      <c r="F57" s="1299">
        <v>532315.848</v>
      </c>
    </row>
    <row r="58" spans="1:6">
      <c r="A58" s="1298" t="s">
        <v>48</v>
      </c>
      <c r="B58" s="1298" t="s">
        <v>50</v>
      </c>
      <c r="C58" s="1299">
        <v>24</v>
      </c>
      <c r="D58" s="1299">
        <v>2292145.966</v>
      </c>
      <c r="E58" s="1299">
        <v>29</v>
      </c>
      <c r="F58" s="1299">
        <v>887813.14599999995</v>
      </c>
    </row>
    <row r="59" spans="1:6">
      <c r="A59" s="1298" t="s">
        <v>48</v>
      </c>
      <c r="B59" s="1298" t="s">
        <v>51</v>
      </c>
      <c r="C59" s="1299">
        <v>65</v>
      </c>
      <c r="D59" s="1299">
        <v>2116680.503</v>
      </c>
      <c r="E59" s="1299">
        <v>138</v>
      </c>
      <c r="F59" s="1299">
        <v>4062262.8339999998</v>
      </c>
    </row>
    <row r="60" spans="1:6">
      <c r="A60" s="1298" t="s">
        <v>48</v>
      </c>
      <c r="B60" s="1298" t="s">
        <v>52</v>
      </c>
      <c r="C60" s="1299">
        <v>27</v>
      </c>
      <c r="D60" s="1299">
        <v>1146455.298</v>
      </c>
      <c r="E60" s="1299">
        <v>40</v>
      </c>
      <c r="F60" s="1299">
        <v>635932.70700000005</v>
      </c>
    </row>
    <row r="61" spans="1:6">
      <c r="A61" s="1298" t="s">
        <v>48</v>
      </c>
      <c r="B61" s="1298" t="s">
        <v>53</v>
      </c>
      <c r="C61" s="1299">
        <v>98</v>
      </c>
      <c r="D61" s="1299">
        <v>3473725.0559999999</v>
      </c>
      <c r="E61" s="1299">
        <v>174</v>
      </c>
      <c r="F61" s="1299">
        <v>1713585.075</v>
      </c>
    </row>
    <row r="62" spans="1:6">
      <c r="A62" s="1298" t="s">
        <v>48</v>
      </c>
      <c r="B62" s="1298" t="s">
        <v>54</v>
      </c>
      <c r="C62" s="1299">
        <v>9</v>
      </c>
      <c r="D62" s="1299">
        <v>389161.06199999998</v>
      </c>
      <c r="E62" s="1299">
        <v>10</v>
      </c>
      <c r="F62" s="1299">
        <v>85402.798999999999</v>
      </c>
    </row>
    <row r="63" spans="1:6">
      <c r="A63" s="1298" t="s">
        <v>48</v>
      </c>
      <c r="B63" s="1298" t="s">
        <v>28</v>
      </c>
      <c r="C63" s="1299">
        <v>72</v>
      </c>
      <c r="D63" s="1299">
        <v>3242378.9759999998</v>
      </c>
      <c r="E63" s="1299">
        <v>108</v>
      </c>
      <c r="F63" s="1299">
        <v>3502323.5279999999</v>
      </c>
    </row>
    <row r="64" spans="1:6">
      <c r="A64" s="1298" t="s">
        <v>55</v>
      </c>
      <c r="B64" s="1298" t="s">
        <v>56</v>
      </c>
      <c r="C64" s="1299">
        <v>0</v>
      </c>
      <c r="D64" s="1299">
        <v>0</v>
      </c>
      <c r="E64" s="1299">
        <v>0</v>
      </c>
      <c r="F64" s="1299">
        <v>0</v>
      </c>
    </row>
    <row r="65" spans="1:6">
      <c r="A65" s="1298" t="s">
        <v>55</v>
      </c>
      <c r="B65" s="1298" t="s">
        <v>28</v>
      </c>
      <c r="C65" s="1299">
        <v>1</v>
      </c>
      <c r="D65" s="1299">
        <v>1226.7080000000001</v>
      </c>
      <c r="E65" s="1299">
        <v>0</v>
      </c>
      <c r="F65" s="1299">
        <v>0</v>
      </c>
    </row>
    <row r="66" spans="1:6">
      <c r="A66" s="1298" t="s">
        <v>55</v>
      </c>
      <c r="B66" s="1298" t="s">
        <v>57</v>
      </c>
      <c r="C66" s="1299">
        <v>0</v>
      </c>
      <c r="D66" s="1299">
        <v>0</v>
      </c>
      <c r="E66" s="1299">
        <v>10</v>
      </c>
      <c r="F66" s="1299">
        <v>162146.86600000001</v>
      </c>
    </row>
    <row r="67" spans="1:6">
      <c r="A67" s="1300" t="s">
        <v>55</v>
      </c>
      <c r="B67" s="1300" t="s">
        <v>58</v>
      </c>
      <c r="C67" s="1299">
        <v>0</v>
      </c>
      <c r="D67" s="1299">
        <v>0</v>
      </c>
      <c r="E67" s="1299">
        <v>0</v>
      </c>
      <c r="F67" s="1299">
        <v>0</v>
      </c>
    </row>
    <row r="68" spans="1:6">
      <c r="A68" s="1293" t="s">
        <v>55</v>
      </c>
      <c r="B68" s="1293" t="s">
        <v>59</v>
      </c>
      <c r="C68" s="1302">
        <v>4</v>
      </c>
      <c r="D68" s="1302">
        <v>62161.321000000004</v>
      </c>
      <c r="E68" s="1302">
        <v>10</v>
      </c>
      <c r="F68" s="1302">
        <v>62008.654999999999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54858689</v>
      </c>
      <c r="E73" s="450"/>
      <c r="F73" s="330"/>
    </row>
    <row r="74" spans="1:6">
      <c r="A74" s="1298" t="s">
        <v>63</v>
      </c>
      <c r="B74" s="1298" t="s">
        <v>647</v>
      </c>
      <c r="C74" s="1312" t="s">
        <v>649</v>
      </c>
      <c r="D74" s="1313">
        <v>7122673.5</v>
      </c>
      <c r="E74" s="450"/>
      <c r="F74" s="330"/>
    </row>
    <row r="75" spans="1:6">
      <c r="A75" s="1298" t="s">
        <v>64</v>
      </c>
      <c r="B75" s="1298" t="s">
        <v>646</v>
      </c>
      <c r="C75" s="1312" t="s">
        <v>650</v>
      </c>
      <c r="D75" s="1313">
        <v>10560350</v>
      </c>
      <c r="E75" s="450"/>
      <c r="F75" s="330"/>
    </row>
    <row r="76" spans="1:6">
      <c r="A76" s="1298" t="s">
        <v>64</v>
      </c>
      <c r="B76" s="1298" t="s">
        <v>647</v>
      </c>
      <c r="C76" s="1312" t="s">
        <v>651</v>
      </c>
      <c r="D76" s="1313">
        <v>765368.5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163569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2867.8913784730357</v>
      </c>
      <c r="C91" s="330"/>
      <c r="D91" s="330"/>
      <c r="E91" s="330"/>
      <c r="F91" s="330"/>
    </row>
    <row r="92" spans="1:6">
      <c r="A92" s="1293" t="s">
        <v>68</v>
      </c>
      <c r="B92" s="1294">
        <v>1303.2891893847029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2052</v>
      </c>
      <c r="C97" s="330"/>
      <c r="D97" s="330"/>
      <c r="E97" s="330"/>
      <c r="F97" s="330"/>
    </row>
    <row r="98" spans="1:6">
      <c r="A98" s="1298" t="s">
        <v>71</v>
      </c>
      <c r="B98" s="1299">
        <v>2</v>
      </c>
      <c r="C98" s="330"/>
      <c r="D98" s="330"/>
      <c r="E98" s="330"/>
      <c r="F98" s="330"/>
    </row>
    <row r="99" spans="1:6">
      <c r="A99" s="1298" t="s">
        <v>72</v>
      </c>
      <c r="B99" s="1299">
        <v>59</v>
      </c>
      <c r="C99" s="330"/>
      <c r="D99" s="330"/>
      <c r="E99" s="330"/>
      <c r="F99" s="330"/>
    </row>
    <row r="100" spans="1:6">
      <c r="A100" s="1298" t="s">
        <v>73</v>
      </c>
      <c r="B100" s="1299">
        <v>288</v>
      </c>
      <c r="C100" s="330"/>
      <c r="D100" s="330"/>
      <c r="E100" s="330"/>
      <c r="F100" s="330"/>
    </row>
    <row r="101" spans="1:6">
      <c r="A101" s="1298" t="s">
        <v>74</v>
      </c>
      <c r="B101" s="1299">
        <v>90</v>
      </c>
      <c r="C101" s="330"/>
      <c r="D101" s="330"/>
      <c r="E101" s="330"/>
      <c r="F101" s="330"/>
    </row>
    <row r="102" spans="1:6">
      <c r="A102" s="1298" t="s">
        <v>75</v>
      </c>
      <c r="B102" s="1299">
        <v>91</v>
      </c>
      <c r="C102" s="330"/>
      <c r="D102" s="330"/>
      <c r="E102" s="330"/>
      <c r="F102" s="330"/>
    </row>
    <row r="103" spans="1:6">
      <c r="A103" s="1298" t="s">
        <v>76</v>
      </c>
      <c r="B103" s="1299">
        <v>141</v>
      </c>
      <c r="C103" s="330"/>
      <c r="D103" s="330"/>
      <c r="E103" s="330"/>
      <c r="F103" s="330"/>
    </row>
    <row r="104" spans="1:6">
      <c r="A104" s="1298" t="s">
        <v>77</v>
      </c>
      <c r="B104" s="1299">
        <v>1324</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12</v>
      </c>
      <c r="C123" s="1299">
        <v>11</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149</v>
      </c>
      <c r="C129" s="330"/>
      <c r="D129" s="330"/>
      <c r="E129" s="330"/>
      <c r="F129" s="330"/>
    </row>
    <row r="130" spans="1:6">
      <c r="A130" s="1298" t="s">
        <v>294</v>
      </c>
      <c r="B130" s="1299">
        <v>3</v>
      </c>
      <c r="C130" s="330"/>
      <c r="D130" s="330"/>
      <c r="E130" s="330"/>
      <c r="F130" s="330"/>
    </row>
    <row r="131" spans="1:6">
      <c r="A131" s="1298" t="s">
        <v>295</v>
      </c>
      <c r="B131" s="1299">
        <v>7</v>
      </c>
      <c r="C131" s="330"/>
      <c r="D131" s="330"/>
      <c r="E131" s="330"/>
      <c r="F131" s="330"/>
    </row>
    <row r="132" spans="1:6">
      <c r="A132" s="1293" t="s">
        <v>296</v>
      </c>
      <c r="B132" s="1294">
        <v>13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51853.743255930378</v>
      </c>
      <c r="C3" s="43" t="s">
        <v>169</v>
      </c>
      <c r="D3" s="43"/>
      <c r="E3" s="154"/>
      <c r="F3" s="43"/>
      <c r="G3" s="43"/>
      <c r="H3" s="43"/>
      <c r="I3" s="43"/>
      <c r="J3" s="43"/>
      <c r="K3" s="96"/>
    </row>
    <row r="4" spans="1:11">
      <c r="A4" s="358" t="s">
        <v>170</v>
      </c>
      <c r="B4" s="49">
        <f>IF(ISERROR('SEAP template'!B78+'SEAP template'!C78),0,'SEAP template'!B78+'SEAP template'!C78)</f>
        <v>26167.180567857737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5227.2847058823536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0.21028404846547588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7467.5495798319334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31422.857142857145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787.59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787.59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0.21028404846547588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165.61761373092415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14224.614710000002</v>
      </c>
      <c r="C5" s="17">
        <f>IF(ISERROR('Eigen informatie GS &amp; warmtenet'!B59),0,'Eigen informatie GS &amp; warmtenet'!B59)</f>
        <v>0</v>
      </c>
      <c r="D5" s="30">
        <f>(SUM(HH_hh_gas_kWh,HH_rest_gas_kWh)/1000)*0.902</f>
        <v>40488.728906119999</v>
      </c>
      <c r="E5" s="17">
        <f>B46*B57</f>
        <v>7064.2326691459466</v>
      </c>
      <c r="F5" s="17">
        <f>B51*B62</f>
        <v>7006.5091710033566</v>
      </c>
      <c r="G5" s="18"/>
      <c r="H5" s="17"/>
      <c r="I5" s="17"/>
      <c r="J5" s="17">
        <f>B50*B61+C50*C61</f>
        <v>413.50985550904858</v>
      </c>
      <c r="K5" s="17"/>
      <c r="L5" s="17"/>
      <c r="M5" s="17"/>
      <c r="N5" s="17">
        <f>B48*B59+C48*C59</f>
        <v>13445.228463102138</v>
      </c>
      <c r="O5" s="17">
        <f>B69*B70*B71</f>
        <v>317.43331510192507</v>
      </c>
      <c r="P5" s="17">
        <f>B77*B78*B79/1000-B77*B78*B79/1000/B80</f>
        <v>273.88294199981061</v>
      </c>
    </row>
    <row r="6" spans="1:16">
      <c r="A6" s="16" t="s">
        <v>611</v>
      </c>
      <c r="B6" s="783">
        <f>kWh_PV_kleiner_dan_10kW</f>
        <v>2867.8913784730357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17092.506088473037</v>
      </c>
      <c r="C8" s="21">
        <f>C5</f>
        <v>0</v>
      </c>
      <c r="D8" s="21">
        <f>D5</f>
        <v>40488.728906119999</v>
      </c>
      <c r="E8" s="21">
        <f>E5</f>
        <v>7064.2326691459466</v>
      </c>
      <c r="F8" s="21">
        <f>F5</f>
        <v>7006.5091710033566</v>
      </c>
      <c r="G8" s="21"/>
      <c r="H8" s="21"/>
      <c r="I8" s="21"/>
      <c r="J8" s="21">
        <f>J5</f>
        <v>413.50985550904858</v>
      </c>
      <c r="K8" s="21"/>
      <c r="L8" s="21">
        <f>L5</f>
        <v>0</v>
      </c>
      <c r="M8" s="21">
        <f>M5</f>
        <v>0</v>
      </c>
      <c r="N8" s="21">
        <f>N5</f>
        <v>13445.228463102138</v>
      </c>
      <c r="O8" s="21">
        <f>O5</f>
        <v>317.43331510192507</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0.21028404846547588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3594.2813787049058</v>
      </c>
      <c r="C12" s="23">
        <f ca="1">C10*C8</f>
        <v>0</v>
      </c>
      <c r="D12" s="23">
        <f>D8*D10</f>
        <v>8178.7232390362406</v>
      </c>
      <c r="E12" s="23">
        <f>E10*E8</f>
        <v>1603.5808158961299</v>
      </c>
      <c r="F12" s="23">
        <f>F10*F8</f>
        <v>1870.7379486578964</v>
      </c>
      <c r="G12" s="23"/>
      <c r="H12" s="23"/>
      <c r="I12" s="23"/>
      <c r="J12" s="23">
        <f>J10*J8</f>
        <v>146.3824888502032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2052</v>
      </c>
      <c r="C18" s="166" t="s">
        <v>110</v>
      </c>
      <c r="D18" s="228"/>
      <c r="E18" s="15"/>
    </row>
    <row r="19" spans="1:7">
      <c r="A19" s="171" t="s">
        <v>71</v>
      </c>
      <c r="B19" s="37">
        <f>aantalw2001_ander</f>
        <v>2</v>
      </c>
      <c r="C19" s="166" t="s">
        <v>110</v>
      </c>
      <c r="D19" s="229"/>
      <c r="E19" s="15"/>
    </row>
    <row r="20" spans="1:7">
      <c r="A20" s="171" t="s">
        <v>72</v>
      </c>
      <c r="B20" s="37">
        <f>aantalw2001_propaan</f>
        <v>59</v>
      </c>
      <c r="C20" s="167">
        <f>IF(ISERROR(B20/SUM($B$20,$B$21,$B$22)*100),0,B20/SUM($B$20,$B$21,$B$22)*100)</f>
        <v>13.501144164759726</v>
      </c>
      <c r="D20" s="229"/>
      <c r="E20" s="15"/>
    </row>
    <row r="21" spans="1:7">
      <c r="A21" s="171" t="s">
        <v>73</v>
      </c>
      <c r="B21" s="37">
        <f>aantalw2001_elektriciteit</f>
        <v>288</v>
      </c>
      <c r="C21" s="167">
        <f>IF(ISERROR(B21/SUM($B$20,$B$21,$B$22)*100),0,B21/SUM($B$20,$B$21,$B$22)*100)</f>
        <v>65.903890160183067</v>
      </c>
      <c r="D21" s="229"/>
      <c r="E21" s="15"/>
    </row>
    <row r="22" spans="1:7">
      <c r="A22" s="171" t="s">
        <v>74</v>
      </c>
      <c r="B22" s="37">
        <f>aantalw2001_hout</f>
        <v>90</v>
      </c>
      <c r="C22" s="167">
        <f>IF(ISERROR(B22/SUM($B$20,$B$21,$B$22)*100),0,B22/SUM($B$20,$B$21,$B$22)*100)</f>
        <v>20.59496567505721</v>
      </c>
      <c r="D22" s="229"/>
      <c r="E22" s="15"/>
    </row>
    <row r="23" spans="1:7">
      <c r="A23" s="171" t="s">
        <v>75</v>
      </c>
      <c r="B23" s="37">
        <f>aantalw2001_niet_gespec</f>
        <v>91</v>
      </c>
      <c r="C23" s="166" t="s">
        <v>110</v>
      </c>
      <c r="D23" s="228"/>
      <c r="E23" s="15"/>
    </row>
    <row r="24" spans="1:7">
      <c r="A24" s="171" t="s">
        <v>76</v>
      </c>
      <c r="B24" s="37">
        <f>aantalw2001_steenkool</f>
        <v>141</v>
      </c>
      <c r="C24" s="166" t="s">
        <v>110</v>
      </c>
      <c r="D24" s="229"/>
      <c r="E24" s="15"/>
    </row>
    <row r="25" spans="1:7">
      <c r="A25" s="171" t="s">
        <v>77</v>
      </c>
      <c r="B25" s="37">
        <f>aantalw2001_stookolie</f>
        <v>1324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4506</v>
      </c>
      <c r="C28" s="36"/>
      <c r="D28" s="228"/>
    </row>
    <row r="29" spans="1:7" s="15" customFormat="1">
      <c r="A29" s="230" t="s">
        <v>819</v>
      </c>
      <c r="B29" s="37">
        <f>SUM(HH_hh_gas_aantal,HH_rest_gas_aantal)</f>
        <v>3148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3148</v>
      </c>
      <c r="C32" s="167">
        <f>IF(ISERROR(B32/SUM($B$32,$B$34,$B$35,$B$36,$B$38,$B$39)*100),0,B32/SUM($B$32,$B$34,$B$35,$B$36,$B$38,$B$39)*100)</f>
        <v>70.267857142857139</v>
      </c>
      <c r="D32" s="233"/>
      <c r="G32" s="15"/>
    </row>
    <row r="33" spans="1:7">
      <c r="A33" s="171" t="s">
        <v>71</v>
      </c>
      <c r="B33" s="34" t="s">
        <v>110</v>
      </c>
      <c r="C33" s="167"/>
      <c r="D33" s="233"/>
      <c r="G33" s="15"/>
    </row>
    <row r="34" spans="1:7">
      <c r="A34" s="171" t="s">
        <v>72</v>
      </c>
      <c r="B34" s="33">
        <f>IF((($B$28-$B$32-$B$39-$B$77-$B$38)*C20/100)&lt;0,0,($B$28-$B$32-$B$39-$B$77-$B$38)*C20/100)</f>
        <v>130.01601830663617</v>
      </c>
      <c r="C34" s="167">
        <f>IF(ISERROR(B34/SUM($B$32,$B$34,$B$35,$B$36,$B$38,$B$39)*100),0,B34/SUM($B$32,$B$34,$B$35,$B$36,$B$38,$B$39)*100)</f>
        <v>2.902143265773129</v>
      </c>
      <c r="D34" s="233"/>
      <c r="G34" s="15"/>
    </row>
    <row r="35" spans="1:7">
      <c r="A35" s="171" t="s">
        <v>73</v>
      </c>
      <c r="B35" s="33">
        <f>IF((($B$28-$B$32-$B$39-$B$77-$B$38)*C21/100)&lt;0,0,($B$28-$B$32-$B$39-$B$77-$B$38)*C21/100)</f>
        <v>634.654462242563</v>
      </c>
      <c r="C35" s="167">
        <f>IF(ISERROR(B35/SUM($B$32,$B$34,$B$35,$B$36,$B$38,$B$39)*100),0,B35/SUM($B$32,$B$34,$B$35,$B$36,$B$38,$B$39)*100)</f>
        <v>14.16639424648578</v>
      </c>
      <c r="D35" s="233"/>
      <c r="G35" s="15"/>
    </row>
    <row r="36" spans="1:7">
      <c r="A36" s="171" t="s">
        <v>74</v>
      </c>
      <c r="B36" s="33">
        <f>IF((($B$28-$B$32-$B$39-$B$77-$B$38)*C22/100)&lt;0,0,($B$28-$B$32-$B$39-$B$77-$B$38)*C22/100)</f>
        <v>198.32951945080094</v>
      </c>
      <c r="C36" s="167">
        <f>IF(ISERROR(B36/SUM($B$32,$B$34,$B$35,$B$36,$B$38,$B$39)*100),0,B36/SUM($B$32,$B$34,$B$35,$B$36,$B$38,$B$39)*100)</f>
        <v>4.426998202026807</v>
      </c>
      <c r="D36" s="233"/>
      <c r="G36" s="15"/>
    </row>
    <row r="37" spans="1:7">
      <c r="A37" s="171" t="s">
        <v>75</v>
      </c>
      <c r="B37" s="34" t="s">
        <v>110</v>
      </c>
      <c r="C37" s="167"/>
      <c r="D37" s="173"/>
      <c r="G37" s="15"/>
    </row>
    <row r="38" spans="1:7">
      <c r="A38" s="171" t="s">
        <v>76</v>
      </c>
      <c r="B38" s="33">
        <f>IF((B24-(B29-B18)*0.1)&lt;0,0,B24-(B29-B18)*0.1)</f>
        <v>31.399999999999991</v>
      </c>
      <c r="C38" s="167">
        <f>IF(ISERROR(B38/SUM($B$32,$B$34,$B$35,$B$36,$B$38,$B$39)*100),0,B38/SUM($B$32,$B$34,$B$35,$B$36,$B$38,$B$39)*100)</f>
        <v>0.70089285714285698</v>
      </c>
      <c r="D38" s="234"/>
      <c r="G38" s="15"/>
    </row>
    <row r="39" spans="1:7">
      <c r="A39" s="171" t="s">
        <v>77</v>
      </c>
      <c r="B39" s="33">
        <f>IF((B25-(B29-B18))&lt;0,0,B25-(B29-B18)*0.9)</f>
        <v>337.6</v>
      </c>
      <c r="C39" s="167">
        <f>IF(ISERROR(B39/SUM($B$32,$B$34,$B$35,$B$36,$B$38,$B$39)*100),0,B39/SUM($B$32,$B$34,$B$35,$B$36,$B$38,$B$39)*100)</f>
        <v>7.5357142857142856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3148</v>
      </c>
      <c r="C44" s="34" t="s">
        <v>110</v>
      </c>
      <c r="D44" s="174"/>
    </row>
    <row r="45" spans="1:7">
      <c r="A45" s="171" t="s">
        <v>71</v>
      </c>
      <c r="B45" s="33" t="str">
        <f t="shared" si="0"/>
        <v>-</v>
      </c>
      <c r="C45" s="34" t="s">
        <v>110</v>
      </c>
      <c r="D45" s="174"/>
    </row>
    <row r="46" spans="1:7">
      <c r="A46" s="171" t="s">
        <v>72</v>
      </c>
      <c r="B46" s="33">
        <f t="shared" si="0"/>
        <v>130.01601830663617</v>
      </c>
      <c r="C46" s="34" t="s">
        <v>110</v>
      </c>
      <c r="D46" s="174"/>
    </row>
    <row r="47" spans="1:7">
      <c r="A47" s="171" t="s">
        <v>73</v>
      </c>
      <c r="B47" s="33">
        <f t="shared" si="0"/>
        <v>634.654462242563</v>
      </c>
      <c r="C47" s="34" t="s">
        <v>110</v>
      </c>
      <c r="D47" s="174"/>
    </row>
    <row r="48" spans="1:7">
      <c r="A48" s="171" t="s">
        <v>74</v>
      </c>
      <c r="B48" s="33">
        <f t="shared" si="0"/>
        <v>198.32951945080094</v>
      </c>
      <c r="C48" s="33">
        <f>B48*10</f>
        <v>1983.2951945080094</v>
      </c>
      <c r="D48" s="234"/>
    </row>
    <row r="49" spans="1:6">
      <c r="A49" s="171" t="s">
        <v>75</v>
      </c>
      <c r="B49" s="33" t="str">
        <f t="shared" si="0"/>
        <v>-</v>
      </c>
      <c r="C49" s="34" t="s">
        <v>110</v>
      </c>
      <c r="D49" s="234"/>
    </row>
    <row r="50" spans="1:6">
      <c r="A50" s="171" t="s">
        <v>76</v>
      </c>
      <c r="B50" s="33">
        <f t="shared" si="0"/>
        <v>31.399999999999991</v>
      </c>
      <c r="C50" s="33">
        <f>B50*2</f>
        <v>62.799999999999983</v>
      </c>
      <c r="D50" s="234"/>
    </row>
    <row r="51" spans="1:6">
      <c r="A51" s="171" t="s">
        <v>77</v>
      </c>
      <c r="B51" s="33">
        <f t="shared" si="0"/>
        <v>337.6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11419.635937000001</v>
      </c>
      <c r="C5" s="17">
        <f>IF(ISERROR('Eigen informatie GS &amp; warmtenet'!B60),0,'Eigen informatie GS &amp; warmtenet'!B60)</f>
        <v>0</v>
      </c>
      <c r="D5" s="30">
        <f>SUM(D6:D12)</f>
        <v>11813.140859783998</v>
      </c>
      <c r="E5" s="17">
        <f>SUM(E6:E12)</f>
        <v>179.50804945053892</v>
      </c>
      <c r="F5" s="17">
        <f>SUM(F6:F12)</f>
        <v>1241.9241648183861</v>
      </c>
      <c r="G5" s="18"/>
      <c r="H5" s="17"/>
      <c r="I5" s="17"/>
      <c r="J5" s="17">
        <f>SUM(J6:J12)</f>
        <v>1.574864065228419E-2</v>
      </c>
      <c r="K5" s="17"/>
      <c r="L5" s="17"/>
      <c r="M5" s="17"/>
      <c r="N5" s="17">
        <f>SUM(N6:N12)</f>
        <v>627.07236631143701</v>
      </c>
      <c r="O5" s="17">
        <f>B38*B39*B40</f>
        <v>14.691782297523464</v>
      </c>
      <c r="P5" s="17">
        <f>B46*B47*B48/1000-B46*B47*B48/1000/B49</f>
        <v>367.77396814546512</v>
      </c>
      <c r="R5" s="32"/>
    </row>
    <row r="6" spans="1:18">
      <c r="A6" s="32" t="s">
        <v>53</v>
      </c>
      <c r="B6" s="37">
        <f>B26</f>
        <v>1713.585075</v>
      </c>
      <c r="C6" s="33"/>
      <c r="D6" s="37">
        <f>IF(ISERROR(TER_kantoor_gas_kWh/1000),0,TER_kantoor_gas_kWh/1000)*0.902</f>
        <v>3133.3000005119998</v>
      </c>
      <c r="E6" s="33">
        <f>$C$26*'E Balans VL '!I12/100/3.6*1000000</f>
        <v>13.788669679865437</v>
      </c>
      <c r="F6" s="33">
        <f>$C$26*('E Balans VL '!L12+'E Balans VL '!N12)/100/3.6*1000000</f>
        <v>209.50380175661397</v>
      </c>
      <c r="G6" s="34"/>
      <c r="H6" s="33"/>
      <c r="I6" s="33"/>
      <c r="J6" s="33">
        <f>$C$26*('E Balans VL '!D12+'E Balans VL '!E12)/100/3.6*1000000</f>
        <v>0</v>
      </c>
      <c r="K6" s="33"/>
      <c r="L6" s="33"/>
      <c r="M6" s="33"/>
      <c r="N6" s="33">
        <f>$C$26*'E Balans VL '!Y12/100/3.6*1000000</f>
        <v>0.9209675928809169</v>
      </c>
      <c r="O6" s="33"/>
      <c r="P6" s="33"/>
      <c r="R6" s="32"/>
    </row>
    <row r="7" spans="1:18">
      <c r="A7" s="32" t="s">
        <v>52</v>
      </c>
      <c r="B7" s="37">
        <f t="shared" ref="B7:B12" si="0">B27</f>
        <v>635.93270700000005</v>
      </c>
      <c r="C7" s="33"/>
      <c r="D7" s="37">
        <f>IF(ISERROR(TER_horeca_gas_kWh/1000),0,TER_horeca_gas_kWh/1000)*0.902</f>
        <v>1034.102678796</v>
      </c>
      <c r="E7" s="33">
        <f>$C$27*'E Balans VL '!I9/100/3.6*1000000</f>
        <v>6.8283556954595381</v>
      </c>
      <c r="F7" s="33">
        <f>$C$27*('E Balans VL '!L9+'E Balans VL '!N9)/100/3.6*1000000</f>
        <v>76.487284115306622</v>
      </c>
      <c r="G7" s="34"/>
      <c r="H7" s="33"/>
      <c r="I7" s="33"/>
      <c r="J7" s="33">
        <f>$C$27*('E Balans VL '!D9+'E Balans VL '!E9)/100/3.6*1000000</f>
        <v>0</v>
      </c>
      <c r="K7" s="33"/>
      <c r="L7" s="33"/>
      <c r="M7" s="33"/>
      <c r="N7" s="33">
        <f>$C$27*'E Balans VL '!Y9/100/3.6*1000000</f>
        <v>9.5339201638893201E-2</v>
      </c>
      <c r="O7" s="33"/>
      <c r="P7" s="33"/>
      <c r="R7" s="32"/>
    </row>
    <row r="8" spans="1:18">
      <c r="A8" s="6" t="s">
        <v>51</v>
      </c>
      <c r="B8" s="37">
        <f t="shared" si="0"/>
        <v>4062.2628339999997</v>
      </c>
      <c r="C8" s="33"/>
      <c r="D8" s="37">
        <f>IF(ISERROR(TER_handel_gas_kWh/1000),0,TER_handel_gas_kWh/1000)*0.902</f>
        <v>1909.245813706</v>
      </c>
      <c r="E8" s="33">
        <f>$C$28*'E Balans VL '!I13/100/3.6*1000000</f>
        <v>109.01869796753761</v>
      </c>
      <c r="F8" s="33">
        <f>$C$28*('E Balans VL '!L13+'E Balans VL '!N13)/100/3.6*1000000</f>
        <v>387.665076532451</v>
      </c>
      <c r="G8" s="34"/>
      <c r="H8" s="33"/>
      <c r="I8" s="33"/>
      <c r="J8" s="33">
        <f>$C$28*('E Balans VL '!D13+'E Balans VL '!E13)/100/3.6*1000000</f>
        <v>0</v>
      </c>
      <c r="K8" s="33"/>
      <c r="L8" s="33"/>
      <c r="M8" s="33"/>
      <c r="N8" s="33">
        <f>$C$28*'E Balans VL '!Y13/100/3.6*1000000</f>
        <v>1.6103271768919463</v>
      </c>
      <c r="O8" s="33"/>
      <c r="P8" s="33"/>
      <c r="R8" s="32"/>
    </row>
    <row r="9" spans="1:18">
      <c r="A9" s="32" t="s">
        <v>50</v>
      </c>
      <c r="B9" s="37">
        <f t="shared" si="0"/>
        <v>887.81314599999996</v>
      </c>
      <c r="C9" s="33"/>
      <c r="D9" s="37">
        <f>IF(ISERROR(TER_gezond_gas_kWh/1000),0,TER_gezond_gas_kWh/1000)*0.902</f>
        <v>2067.515661332</v>
      </c>
      <c r="E9" s="33">
        <f>$C$29*'E Balans VL '!I10/100/3.6*1000000</f>
        <v>1.6640509201174847</v>
      </c>
      <c r="F9" s="33">
        <f>$C$29*('E Balans VL '!L10+'E Balans VL '!N10)/100/3.6*1000000</f>
        <v>72.986341271973728</v>
      </c>
      <c r="G9" s="34"/>
      <c r="H9" s="33"/>
      <c r="I9" s="33"/>
      <c r="J9" s="33">
        <f>$C$29*('E Balans VL '!D10+'E Balans VL '!E10)/100/3.6*1000000</f>
        <v>0</v>
      </c>
      <c r="K9" s="33"/>
      <c r="L9" s="33"/>
      <c r="M9" s="33"/>
      <c r="N9" s="33">
        <f>$C$29*'E Balans VL '!Y10/100/3.6*1000000</f>
        <v>6.9078486796656966</v>
      </c>
      <c r="O9" s="33"/>
      <c r="P9" s="33"/>
      <c r="R9" s="32"/>
    </row>
    <row r="10" spans="1:18">
      <c r="A10" s="32" t="s">
        <v>49</v>
      </c>
      <c r="B10" s="37">
        <f t="shared" si="0"/>
        <v>532.31584799999996</v>
      </c>
      <c r="C10" s="33"/>
      <c r="D10" s="37">
        <f>IF(ISERROR(TER_ander_gas_kWh/1000),0,TER_ander_gas_kWh/1000)*0.902</f>
        <v>393.32759116199998</v>
      </c>
      <c r="E10" s="33">
        <f>$C$30*'E Balans VL '!I14/100/3.6*1000000</f>
        <v>0.82057027356514534</v>
      </c>
      <c r="F10" s="33">
        <f>$C$30*('E Balans VL '!L14+'E Balans VL '!N14)/100/3.6*1000000</f>
        <v>82.642182355869167</v>
      </c>
      <c r="G10" s="34"/>
      <c r="H10" s="33"/>
      <c r="I10" s="33"/>
      <c r="J10" s="33">
        <f>$C$30*('E Balans VL '!D14+'E Balans VL '!E14)/100/3.6*1000000</f>
        <v>9.0366229132946441E-3</v>
      </c>
      <c r="K10" s="33"/>
      <c r="L10" s="33"/>
      <c r="M10" s="33"/>
      <c r="N10" s="33">
        <f>$C$30*'E Balans VL '!Y14/100/3.6*1000000</f>
        <v>352.16310444193476</v>
      </c>
      <c r="O10" s="33"/>
      <c r="P10" s="33"/>
      <c r="R10" s="32"/>
    </row>
    <row r="11" spans="1:18">
      <c r="A11" s="32" t="s">
        <v>54</v>
      </c>
      <c r="B11" s="37">
        <f t="shared" si="0"/>
        <v>85.402799000000002</v>
      </c>
      <c r="C11" s="33"/>
      <c r="D11" s="37">
        <f>IF(ISERROR(TER_onderwijs_gas_kWh/1000),0,TER_onderwijs_gas_kWh/1000)*0.902</f>
        <v>351.02327792399996</v>
      </c>
      <c r="E11" s="33">
        <f>$C$31*'E Balans VL '!I11/100/3.6*1000000</f>
        <v>2.178354680436736</v>
      </c>
      <c r="F11" s="33">
        <f>$C$31*('E Balans VL '!L11+'E Balans VL '!N11)/100/3.6*1000000</f>
        <v>10.270490421505553</v>
      </c>
      <c r="G11" s="34"/>
      <c r="H11" s="33"/>
      <c r="I11" s="33"/>
      <c r="J11" s="33">
        <f>$C$31*('E Balans VL '!D11+'E Balans VL '!E11)/100/3.6*1000000</f>
        <v>0</v>
      </c>
      <c r="K11" s="33"/>
      <c r="L11" s="33"/>
      <c r="M11" s="33"/>
      <c r="N11" s="33">
        <f>$C$31*'E Balans VL '!Y11/100/3.6*1000000</f>
        <v>0.18993374112974856</v>
      </c>
      <c r="O11" s="33"/>
      <c r="P11" s="33"/>
      <c r="R11" s="32"/>
    </row>
    <row r="12" spans="1:18">
      <c r="A12" s="32" t="s">
        <v>259</v>
      </c>
      <c r="B12" s="37">
        <f t="shared" si="0"/>
        <v>3502.3235279999999</v>
      </c>
      <c r="C12" s="33"/>
      <c r="D12" s="37">
        <f>IF(ISERROR(TER_rest_gas_kWh/1000),0,TER_rest_gas_kWh/1000)*0.902</f>
        <v>2924.6258363520001</v>
      </c>
      <c r="E12" s="33">
        <f>$C$32*'E Balans VL '!I8/100/3.6*1000000</f>
        <v>45.209350233556968</v>
      </c>
      <c r="F12" s="33">
        <f>$C$32*('E Balans VL '!L8+'E Balans VL '!N8)/100/3.6*1000000</f>
        <v>402.36898836466611</v>
      </c>
      <c r="G12" s="34"/>
      <c r="H12" s="33"/>
      <c r="I12" s="33"/>
      <c r="J12" s="33">
        <f>$C$32*('E Balans VL '!D8+'E Balans VL '!E8)/100/3.6*1000000</f>
        <v>6.7120177389895464E-3</v>
      </c>
      <c r="K12" s="33"/>
      <c r="L12" s="33"/>
      <c r="M12" s="33"/>
      <c r="N12" s="33">
        <f>$C$32*'E Balans VL '!Y8/100/3.6*1000000</f>
        <v>265.18484547729514</v>
      </c>
      <c r="O12" s="33"/>
      <c r="P12" s="33"/>
      <c r="R12" s="32"/>
    </row>
    <row r="13" spans="1:18">
      <c r="A13" s="16" t="s">
        <v>478</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11419.635937000001</v>
      </c>
      <c r="C16" s="21">
        <f t="shared" ca="1" si="1"/>
        <v>0</v>
      </c>
      <c r="D16" s="21">
        <f t="shared" ca="1" si="1"/>
        <v>11813.140859783998</v>
      </c>
      <c r="E16" s="21">
        <f t="shared" si="1"/>
        <v>179.50804945053892</v>
      </c>
      <c r="F16" s="21">
        <f t="shared" ca="1" si="1"/>
        <v>1241.9241648183861</v>
      </c>
      <c r="G16" s="21">
        <f t="shared" si="1"/>
        <v>0</v>
      </c>
      <c r="H16" s="21">
        <f t="shared" si="1"/>
        <v>0</v>
      </c>
      <c r="I16" s="21">
        <f t="shared" si="1"/>
        <v>0</v>
      </c>
      <c r="J16" s="21">
        <f t="shared" si="1"/>
        <v>1.574864065228419E-2</v>
      </c>
      <c r="K16" s="21">
        <f t="shared" si="1"/>
        <v>0</v>
      </c>
      <c r="L16" s="21">
        <f t="shared" ca="1" si="1"/>
        <v>0</v>
      </c>
      <c r="M16" s="21">
        <f t="shared" si="1"/>
        <v>0</v>
      </c>
      <c r="N16" s="21">
        <f t="shared" ca="1" si="1"/>
        <v>627.07236631143701</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0.21028404846547588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2401.3672768341985</v>
      </c>
      <c r="C20" s="23">
        <f t="shared" ref="C20:P20" ca="1" si="2">C16*C18</f>
        <v>0</v>
      </c>
      <c r="D20" s="23">
        <f t="shared" ca="1" si="2"/>
        <v>2386.2544536763676</v>
      </c>
      <c r="E20" s="23">
        <f t="shared" si="2"/>
        <v>40.748327225272334</v>
      </c>
      <c r="F20" s="23">
        <f t="shared" ca="1" si="2"/>
        <v>331.59375200650908</v>
      </c>
      <c r="G20" s="23">
        <f t="shared" si="2"/>
        <v>0</v>
      </c>
      <c r="H20" s="23">
        <f t="shared" si="2"/>
        <v>0</v>
      </c>
      <c r="I20" s="23">
        <f t="shared" si="2"/>
        <v>0</v>
      </c>
      <c r="J20" s="23">
        <f t="shared" si="2"/>
        <v>5.5750187909086027E-3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1713.585075</v>
      </c>
      <c r="C26" s="39">
        <f>IF(ISERROR(B26*3.6/1000000/'E Balans VL '!Z12*100),0,B26*3.6/1000000/'E Balans VL '!Z12*100)</f>
        <v>3.6352139615811893E-2</v>
      </c>
      <c r="D26" s="237" t="s">
        <v>708</v>
      </c>
      <c r="F26" s="6"/>
    </row>
    <row r="27" spans="1:18">
      <c r="A27" s="231" t="s">
        <v>52</v>
      </c>
      <c r="B27" s="33">
        <f>IF(ISERROR(TER_horeca_ele_kWh/1000),0,TER_horeca_ele_kWh/1000)</f>
        <v>635.93270700000005</v>
      </c>
      <c r="C27" s="39">
        <f>IF(ISERROR(B27*3.6/1000000/'E Balans VL '!Z9*100),0,B27*3.6/1000000/'E Balans VL '!Z9*100)</f>
        <v>4.789136625115515E-2</v>
      </c>
      <c r="D27" s="237" t="s">
        <v>708</v>
      </c>
      <c r="F27" s="6"/>
    </row>
    <row r="28" spans="1:18">
      <c r="A28" s="171" t="s">
        <v>51</v>
      </c>
      <c r="B28" s="33">
        <f>IF(ISERROR(TER_handel_ele_kWh/1000),0,TER_handel_ele_kWh/1000)</f>
        <v>4062.2628339999997</v>
      </c>
      <c r="C28" s="39">
        <f>IF(ISERROR(B28*3.6/1000000/'E Balans VL '!Z13*100),0,B28*3.6/1000000/'E Balans VL '!Z13*100)</f>
        <v>0.11791309635077513</v>
      </c>
      <c r="D28" s="237" t="s">
        <v>708</v>
      </c>
      <c r="F28" s="6"/>
    </row>
    <row r="29" spans="1:18">
      <c r="A29" s="231" t="s">
        <v>50</v>
      </c>
      <c r="B29" s="33">
        <f>IF(ISERROR(TER_gezond_ele_kWh/1000),0,TER_gezond_ele_kWh/1000)</f>
        <v>887.81314599999996</v>
      </c>
      <c r="C29" s="39">
        <f>IF(ISERROR(B29*3.6/1000000/'E Balans VL '!Z10*100),0,B29*3.6/1000000/'E Balans VL '!Z10*100)</f>
        <v>8.9537014534398968E-2</v>
      </c>
      <c r="D29" s="237" t="s">
        <v>708</v>
      </c>
      <c r="F29" s="6"/>
    </row>
    <row r="30" spans="1:18">
      <c r="A30" s="231" t="s">
        <v>49</v>
      </c>
      <c r="B30" s="33">
        <f>IF(ISERROR(TER_ander_ele_kWh/1000),0,TER_ander_ele_kWh/1000)</f>
        <v>532.31584799999996</v>
      </c>
      <c r="C30" s="39">
        <f>IF(ISERROR(B30*3.6/1000000/'E Balans VL '!Z14*100),0,B30*3.6/1000000/'E Balans VL '!Z14*100)</f>
        <v>3.8626776892113288E-2</v>
      </c>
      <c r="D30" s="237" t="s">
        <v>708</v>
      </c>
      <c r="F30" s="6"/>
    </row>
    <row r="31" spans="1:18">
      <c r="A31" s="231" t="s">
        <v>54</v>
      </c>
      <c r="B31" s="33">
        <f>IF(ISERROR(TER_onderwijs_ele_kWh/1000),0,TER_onderwijs_ele_kWh/1000)</f>
        <v>85.402799000000002</v>
      </c>
      <c r="C31" s="39">
        <f>IF(ISERROR(B31*3.6/1000000/'E Balans VL '!Z11*100),0,B31*3.6/1000000/'E Balans VL '!Z11*100)</f>
        <v>2.4343275478912577E-2</v>
      </c>
      <c r="D31" s="237" t="s">
        <v>708</v>
      </c>
    </row>
    <row r="32" spans="1:18">
      <c r="A32" s="231" t="s">
        <v>259</v>
      </c>
      <c r="B32" s="33">
        <f>IF(ISERROR(TER_rest_ele_kWh/1000),0,TER_rest_ele_kWh/1000)</f>
        <v>3502.3235279999999</v>
      </c>
      <c r="C32" s="39">
        <f>IF(ISERROR(B32*3.6/1000000/'E Balans VL '!Z8*100),0,B32*3.6/1000000/'E Balans VL '!Z8*100)</f>
        <v>2.8690320951472732E-2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18430.842971999999</v>
      </c>
      <c r="C5" s="17">
        <f>IF(ISERROR('Eigen informatie GS &amp; warmtenet'!B61),0,'Eigen informatie GS &amp; warmtenet'!B61)</f>
        <v>0</v>
      </c>
      <c r="D5" s="30">
        <f>SUM(D6:D15)</f>
        <v>14669.83613084</v>
      </c>
      <c r="E5" s="17">
        <f>SUM(E6:E15)</f>
        <v>1363.4286605154339</v>
      </c>
      <c r="F5" s="17">
        <f>SUM(F6:F15)</f>
        <v>4677.1421920400262</v>
      </c>
      <c r="G5" s="18"/>
      <c r="H5" s="17"/>
      <c r="I5" s="17"/>
      <c r="J5" s="17">
        <f>SUM(J6:J15)</f>
        <v>80.659922982400317</v>
      </c>
      <c r="K5" s="17"/>
      <c r="L5" s="17"/>
      <c r="M5" s="17"/>
      <c r="N5" s="17">
        <f>SUM(N6:N15)</f>
        <v>919.20020501814736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78.09854399999999</v>
      </c>
      <c r="C8" s="33"/>
      <c r="D8" s="37">
        <f>IF( ISERROR(IND_metaal_Gas_kWH/1000),0,IND_metaal_Gas_kWH/1000)*0.902</f>
        <v>0</v>
      </c>
      <c r="E8" s="33">
        <f>C30*'E Balans VL '!I18/100/3.6*1000000</f>
        <v>0.56342618027886471</v>
      </c>
      <c r="F8" s="33">
        <f>C30*'E Balans VL '!L18/100/3.6*1000000+C30*'E Balans VL '!N18/100/3.6*1000000</f>
        <v>7.3866822261234875</v>
      </c>
      <c r="G8" s="34"/>
      <c r="H8" s="33"/>
      <c r="I8" s="33"/>
      <c r="J8" s="40">
        <f>C30*'E Balans VL '!D18/100/3.6*1000000+C30*'E Balans VL '!E18/100/3.6*1000000</f>
        <v>7.8551969401311844E-2</v>
      </c>
      <c r="K8" s="33"/>
      <c r="L8" s="33"/>
      <c r="M8" s="33"/>
      <c r="N8" s="33">
        <f>C30*'E Balans VL '!Y18/100/3.6*1000000</f>
        <v>0.98737222450774065</v>
      </c>
      <c r="O8" s="33"/>
      <c r="P8" s="33"/>
      <c r="R8" s="32"/>
    </row>
    <row r="9" spans="1:18">
      <c r="A9" s="6" t="s">
        <v>32</v>
      </c>
      <c r="B9" s="37">
        <f t="shared" si="0"/>
        <v>3215.0546509999999</v>
      </c>
      <c r="C9" s="33"/>
      <c r="D9" s="37">
        <f>IF( ISERROR(IND_andere_gas_kWh/1000),0,IND_andere_gas_kWh/1000)*0.902</f>
        <v>1721.827874866</v>
      </c>
      <c r="E9" s="33">
        <f>C31*'E Balans VL '!I19/100/3.6*1000000</f>
        <v>890.93463445875045</v>
      </c>
      <c r="F9" s="33">
        <f>C31*'E Balans VL '!L19/100/3.6*1000000+C31*'E Balans VL '!N19/100/3.6*1000000</f>
        <v>2664.6442425354467</v>
      </c>
      <c r="G9" s="34"/>
      <c r="H9" s="33"/>
      <c r="I9" s="33"/>
      <c r="J9" s="40">
        <f>C31*'E Balans VL '!D19/100/3.6*1000000+C31*'E Balans VL '!E19/100/3.6*1000000</f>
        <v>0</v>
      </c>
      <c r="K9" s="33"/>
      <c r="L9" s="33"/>
      <c r="M9" s="33"/>
      <c r="N9" s="33">
        <f>C31*'E Balans VL '!Y19/100/3.6*1000000</f>
        <v>233.37364328702961</v>
      </c>
      <c r="O9" s="33"/>
      <c r="P9" s="33"/>
      <c r="R9" s="32"/>
    </row>
    <row r="10" spans="1:18">
      <c r="A10" s="6" t="s">
        <v>40</v>
      </c>
      <c r="B10" s="37">
        <f t="shared" si="0"/>
        <v>4579.0053280000002</v>
      </c>
      <c r="C10" s="33"/>
      <c r="D10" s="37">
        <f>IF( ISERROR(IND_voed_gas_kWh/1000),0,IND_voed_gas_kWh/1000)*0.902</f>
        <v>310.26088317399996</v>
      </c>
      <c r="E10" s="33">
        <f>C32*'E Balans VL '!I20/100/3.6*1000000</f>
        <v>8.1063904391041923</v>
      </c>
      <c r="F10" s="33">
        <f>C32*'E Balans VL '!L20/100/3.6*1000000+C32*'E Balans VL '!N20/100/3.6*1000000</f>
        <v>247.30687107218338</v>
      </c>
      <c r="G10" s="34"/>
      <c r="H10" s="33"/>
      <c r="I10" s="33"/>
      <c r="J10" s="40">
        <f>C32*'E Balans VL '!D20/100/3.6*1000000+C32*'E Balans VL '!E20/100/3.6*1000000</f>
        <v>0</v>
      </c>
      <c r="K10" s="33"/>
      <c r="L10" s="33"/>
      <c r="M10" s="33"/>
      <c r="N10" s="33">
        <f>C32*'E Balans VL '!Y20/100/3.6*1000000</f>
        <v>266.07517985625094</v>
      </c>
      <c r="O10" s="33"/>
      <c r="P10" s="33"/>
      <c r="R10" s="32"/>
    </row>
    <row r="11" spans="1:18">
      <c r="A11" s="6" t="s">
        <v>39</v>
      </c>
      <c r="B11" s="37">
        <f t="shared" si="0"/>
        <v>804.50354400000003</v>
      </c>
      <c r="C11" s="33"/>
      <c r="D11" s="37">
        <f>IF( ISERROR(IND_textiel_gas_kWh/1000),0,IND_textiel_gas_kWh/1000)*0.902</f>
        <v>0</v>
      </c>
      <c r="E11" s="33">
        <f>C33*'E Balans VL '!I21/100/3.6*1000000</f>
        <v>2.8359584960212922</v>
      </c>
      <c r="F11" s="33">
        <f>C33*'E Balans VL '!L21/100/3.6*1000000+C33*'E Balans VL '!N21/100/3.6*1000000</f>
        <v>23.613382039898198</v>
      </c>
      <c r="G11" s="34"/>
      <c r="H11" s="33"/>
      <c r="I11" s="33"/>
      <c r="J11" s="40">
        <f>C33*'E Balans VL '!D21/100/3.6*1000000+C33*'E Balans VL '!E21/100/3.6*1000000</f>
        <v>0</v>
      </c>
      <c r="K11" s="33"/>
      <c r="L11" s="33"/>
      <c r="M11" s="33"/>
      <c r="N11" s="33">
        <f>C33*'E Balans VL '!Y21/100/3.6*1000000</f>
        <v>35.446310986953215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9754.1809049999993</v>
      </c>
      <c r="C15" s="33"/>
      <c r="D15" s="37">
        <f>IF( ISERROR(IND_rest_gas_kWh/1000),0,IND_rest_gas_kWh/1000)*0.902</f>
        <v>12637.7473728</v>
      </c>
      <c r="E15" s="33">
        <f>C37*'E Balans VL '!I15/100/3.6*1000000</f>
        <v>460.98825094127903</v>
      </c>
      <c r="F15" s="33">
        <f>C37*'E Balans VL '!L15/100/3.6*1000000+C37*'E Balans VL '!N15/100/3.6*1000000</f>
        <v>1734.1910141663745</v>
      </c>
      <c r="G15" s="34"/>
      <c r="H15" s="33"/>
      <c r="I15" s="33"/>
      <c r="J15" s="40">
        <f>C37*'E Balans VL '!D15/100/3.6*1000000+C37*'E Balans VL '!E15/100/3.6*1000000</f>
        <v>80.581371012999</v>
      </c>
      <c r="K15" s="33"/>
      <c r="L15" s="33"/>
      <c r="M15" s="33"/>
      <c r="N15" s="33">
        <f>C37*'E Balans VL '!Y15/100/3.6*1000000</f>
        <v>383.31769866340585</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18430.842971999999</v>
      </c>
      <c r="C18" s="21">
        <f>C5+C16</f>
        <v>0</v>
      </c>
      <c r="D18" s="21">
        <f>MAX((D5+D16),0)</f>
        <v>14669.83613084</v>
      </c>
      <c r="E18" s="21">
        <f>MAX((E5+E16),0)</f>
        <v>1363.4286605154339</v>
      </c>
      <c r="F18" s="21">
        <f>MAX((F5+F16),0)</f>
        <v>4677.1421920400262</v>
      </c>
      <c r="G18" s="21"/>
      <c r="H18" s="21"/>
      <c r="I18" s="21"/>
      <c r="J18" s="21">
        <f>MAX((J5+J16),0)</f>
        <v>80.659922982400317</v>
      </c>
      <c r="K18" s="21"/>
      <c r="L18" s="21">
        <f>MAX((L5+L16),0)</f>
        <v>0</v>
      </c>
      <c r="M18" s="21"/>
      <c r="N18" s="21">
        <f>MAX((N5+N16),0)</f>
        <v>919.20020501814736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0.21028404846547588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3875.7122767836231</v>
      </c>
      <c r="C22" s="23">
        <f ca="1">C18*C20</f>
        <v>0</v>
      </c>
      <c r="D22" s="23">
        <f>D18*D20</f>
        <v>2963.3068984296801</v>
      </c>
      <c r="E22" s="23">
        <f>E18*E20</f>
        <v>309.49830593700352</v>
      </c>
      <c r="F22" s="23">
        <f>F18*F20</f>
        <v>1248.796965274687</v>
      </c>
      <c r="G22" s="23"/>
      <c r="H22" s="23"/>
      <c r="I22" s="23"/>
      <c r="J22" s="23">
        <f>J18*J20</f>
        <v>28.553612735769711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78.09854399999999</v>
      </c>
      <c r="C30" s="39">
        <f>IF(ISERROR(B30*3.6/1000000/'E Balans VL '!Z18*100),0,B30*3.6/1000000/'E Balans VL '!Z18*100)</f>
        <v>4.5085070842390117E-3</v>
      </c>
      <c r="D30" s="237" t="s">
        <v>708</v>
      </c>
    </row>
    <row r="31" spans="1:18">
      <c r="A31" s="6" t="s">
        <v>32</v>
      </c>
      <c r="B31" s="37">
        <f>IF( ISERROR(IND_ander_ele_kWh/1000),0,IND_ander_ele_kWh/1000)</f>
        <v>3215.0546509999999</v>
      </c>
      <c r="C31" s="39">
        <f>IF(ISERROR(B31*3.6/1000000/'E Balans VL '!Z19*100),0,B31*3.6/1000000/'E Balans VL '!Z19*100)</f>
        <v>0.16170682774916764</v>
      </c>
      <c r="D31" s="237" t="s">
        <v>708</v>
      </c>
    </row>
    <row r="32" spans="1:18">
      <c r="A32" s="171" t="s">
        <v>40</v>
      </c>
      <c r="B32" s="37">
        <f>IF( ISERROR(IND_voed_ele_kWh/1000),0,IND_voed_ele_kWh/1000)</f>
        <v>4579.0053280000002</v>
      </c>
      <c r="C32" s="39">
        <f>IF(ISERROR(B32*3.6/1000000/'E Balans VL '!Z20*100),0,B32*3.6/1000000/'E Balans VL '!Z20*100)</f>
        <v>0.15250806869202188</v>
      </c>
      <c r="D32" s="237" t="s">
        <v>708</v>
      </c>
    </row>
    <row r="33" spans="1:5">
      <c r="A33" s="171" t="s">
        <v>39</v>
      </c>
      <c r="B33" s="37">
        <f>IF( ISERROR(IND_textiel_ele_kWh/1000),0,IND_textiel_ele_kWh/1000)</f>
        <v>804.50354400000003</v>
      </c>
      <c r="C33" s="39">
        <f>IF(ISERROR(B33*3.6/1000000/'E Balans VL '!Z21*100),0,B33*3.6/1000000/'E Balans VL '!Z21*100)</f>
        <v>0.12543234177336784</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9754.1809049999993</v>
      </c>
      <c r="C37" s="39">
        <f>IF(ISERROR(B37*3.6/1000000/'E Balans VL '!Z15*100),0,B37*3.6/1000000/'E Balans VL '!Z15*100)</f>
        <v>7.6109285146366043E-2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3541.932902</v>
      </c>
      <c r="C5" s="17">
        <f>'Eigen informatie GS &amp; warmtenet'!B62</f>
        <v>0</v>
      </c>
      <c r="D5" s="30">
        <f>IF(ISERROR(SUM(LB_lb_gas_kWh,LB_rest_gas_kWh)/1000),0,SUM(LB_lb_gas_kWh,LB_rest_gas_kWh)/1000)*0.902</f>
        <v>70443.428902660002</v>
      </c>
      <c r="E5" s="17">
        <f>B17*'E Balans VL '!I25/3.6*1000000/100</f>
        <v>110.5425578860408</v>
      </c>
      <c r="F5" s="17">
        <f>B17*('E Balans VL '!L25/3.6*1000000+'E Balans VL '!N25/3.6*1000000)/100</f>
        <v>12517.583240410453</v>
      </c>
      <c r="G5" s="18"/>
      <c r="H5" s="17"/>
      <c r="I5" s="17"/>
      <c r="J5" s="17">
        <f>('E Balans VL '!D25+'E Balans VL '!E25)/3.6*1000000*landbouw!B17/100</f>
        <v>975.82707759040602</v>
      </c>
      <c r="K5" s="17"/>
      <c r="L5" s="17">
        <f>L6*(-1)</f>
        <v>0</v>
      </c>
      <c r="M5" s="17"/>
      <c r="N5" s="17">
        <f>N6*(-1)</f>
        <v>0</v>
      </c>
      <c r="O5" s="17"/>
      <c r="P5" s="17"/>
      <c r="R5" s="32"/>
    </row>
    <row r="6" spans="1:18">
      <c r="A6" s="16" t="s">
        <v>478</v>
      </c>
      <c r="B6" s="17" t="s">
        <v>210</v>
      </c>
      <c r="C6" s="17">
        <f>'lokale energieproductie'!O40+'lokale energieproductie'!O33</f>
        <v>31422.857142857145</v>
      </c>
      <c r="D6" s="308">
        <f>('lokale energieproductie'!P33+'lokale energieproductie'!P40)*(-1)</f>
        <v>-62845.71428571429</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3541.932902</v>
      </c>
      <c r="C8" s="21">
        <f>C5+C6</f>
        <v>31422.857142857145</v>
      </c>
      <c r="D8" s="21">
        <f>MAX((D5+D6),0)</f>
        <v>7597.7146169457119</v>
      </c>
      <c r="E8" s="21">
        <f>MAX((E5+E6),0)</f>
        <v>110.5425578860408</v>
      </c>
      <c r="F8" s="21">
        <f>MAX((F5+F6),0)</f>
        <v>12517.583240410453</v>
      </c>
      <c r="G8" s="21"/>
      <c r="H8" s="21"/>
      <c r="I8" s="21"/>
      <c r="J8" s="21">
        <f>MAX((J5+J6),0)</f>
        <v>975.82707759040602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0.21028404846547588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744.81199002563164</v>
      </c>
      <c r="C12" s="23">
        <f ca="1">C8*C10</f>
        <v>7467.5495798319334</v>
      </c>
      <c r="D12" s="23">
        <f>D8*D10</f>
        <v>1534.738352623034</v>
      </c>
      <c r="E12" s="23">
        <f>E8*E10</f>
        <v>25.093160640131263</v>
      </c>
      <c r="F12" s="23">
        <f>F8*F10</f>
        <v>3342.1947251895913</v>
      </c>
      <c r="G12" s="23"/>
      <c r="H12" s="23"/>
      <c r="I12" s="23"/>
      <c r="J12" s="23">
        <f>J8*J10</f>
        <v>345.44278546700372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0.52653371686243045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56.316955504124046</v>
      </c>
      <c r="C26" s="247">
        <f>B26*'GWP N2O_CH4'!B5</f>
        <v>1182.6560655866049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48.009961601719148</v>
      </c>
      <c r="C27" s="247">
        <f>B27*'GWP N2O_CH4'!B5</f>
        <v>1008.2091936361021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1.3688095355343539</v>
      </c>
      <c r="C28" s="247">
        <f>B28*'GWP N2O_CH4'!B4</f>
        <v>424.33095601564969</v>
      </c>
      <c r="D28" s="50"/>
    </row>
    <row r="29" spans="1:4">
      <c r="A29" s="41" t="s">
        <v>276</v>
      </c>
      <c r="B29" s="247">
        <f>B34*'ha_N2O bodem landbouw'!B4</f>
        <v>4.9853698568355895</v>
      </c>
      <c r="C29" s="247">
        <f>B29*'GWP N2O_CH4'!B4</f>
        <v>1545.4646556190328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1.0932018500379999E-3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1.1263460564642755E-4</v>
      </c>
      <c r="C5" s="437" t="s">
        <v>210</v>
      </c>
      <c r="D5" s="422">
        <f>SUM(D6:D11)</f>
        <v>4.0350699262147664E-4</v>
      </c>
      <c r="E5" s="422">
        <f>SUM(E6:E11)</f>
        <v>3.408404541016452E-4</v>
      </c>
      <c r="F5" s="435" t="s">
        <v>210</v>
      </c>
      <c r="G5" s="422">
        <f>SUM(G6:G11)</f>
        <v>0.18537211763127248</v>
      </c>
      <c r="H5" s="422">
        <f>SUM(H6:H11)</f>
        <v>3.764610894695531E-2</v>
      </c>
      <c r="I5" s="437" t="s">
        <v>210</v>
      </c>
      <c r="J5" s="437" t="s">
        <v>210</v>
      </c>
      <c r="K5" s="437" t="s">
        <v>210</v>
      </c>
      <c r="L5" s="437" t="s">
        <v>210</v>
      </c>
      <c r="M5" s="422">
        <f>SUM(M6:M11)</f>
        <v>1.317773416027716E-2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9.4452423885270047E-5</v>
      </c>
      <c r="C6" s="423"/>
      <c r="D6" s="890">
        <f>vkm_GW_PW*SUMIFS(TableVerdeelsleutelVkm[CNG],TableVerdeelsleutelVkm[Voertuigtype],"Lichte voertuigen")*SUMIFS(TableECFTransport[EnergieConsumptieFactor (PJ per km)],TableECFTransport[Index],CONCATENATE($A6,"_CNG_CNG"))</f>
        <v>3.0426926541733565E-4</v>
      </c>
      <c r="E6" s="890">
        <f>vkm_GW_PW*SUMIFS(TableVerdeelsleutelVkm[LPG],TableVerdeelsleutelVkm[Voertuigtype],"Lichte voertuigen")*SUMIFS(TableECFTransport[EnergieConsumptieFactor (PJ per km)],TableECFTransport[Index],CONCATENATE($A6,"_LPG_LPG"))</f>
        <v>2.6020395813315818E-4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8.4058742790009119E-2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2.8503804146805874E-2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6.7325553662920439E-3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6.7618147066508733E-2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9.6687878959369157E-7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3.8976727073928674E-3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1.8182181761157499E-5</v>
      </c>
      <c r="C8" s="423"/>
      <c r="D8" s="425">
        <f>vkm_NGW_PW*SUMIFS(TableVerdeelsleutelVkm[CNG],TableVerdeelsleutelVkm[Voertuigtype],"Lichte voertuigen")*SUMIFS(TableECFTransport[EnergieConsumptieFactor (PJ per km)],TableECFTransport[Index],CONCATENATE($A8,"_CNG_CNG"))</f>
        <v>9.9237727204140965E-5</v>
      </c>
      <c r="E8" s="425">
        <f>vkm_NGW_PW*SUMIFS(TableVerdeelsleutelVkm[LPG],TableVerdeelsleutelVkm[Voertuigtype],"Lichte voertuigen")*SUMIFS(TableECFTransport[EnergieConsumptieFactor (PJ per km)],TableECFTransport[Index],CONCATENATE($A8,"_LPG_LPG"))</f>
        <v>8.0636495968486988E-5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2.434174806943713E-2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9.1411683441106045E-3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2.008346636544834E-3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9.3534797053175158E-3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1.6957724923393461E-7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5.3915945004741458E-4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31.287390457340987</v>
      </c>
      <c r="C14" s="21"/>
      <c r="D14" s="21">
        <f t="shared" ref="D14:M14" si="0">((D5)*10^9/3600)+D12</f>
        <v>112.08527572818795</v>
      </c>
      <c r="E14" s="21">
        <f t="shared" si="0"/>
        <v>94.677903917123672</v>
      </c>
      <c r="F14" s="21"/>
      <c r="G14" s="21">
        <f t="shared" si="0"/>
        <v>51492.254897575694</v>
      </c>
      <c r="H14" s="21">
        <f t="shared" si="0"/>
        <v>10457.252485265364</v>
      </c>
      <c r="I14" s="21"/>
      <c r="J14" s="21"/>
      <c r="K14" s="21"/>
      <c r="L14" s="21"/>
      <c r="M14" s="21">
        <f t="shared" si="0"/>
        <v>3660.4817111880998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0.21028404846547588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6.5792391312897598</v>
      </c>
      <c r="C18" s="23"/>
      <c r="D18" s="23">
        <f t="shared" ref="D18:M18" si="1">D14*D16</f>
        <v>22.641225697093969</v>
      </c>
      <c r="E18" s="23">
        <f t="shared" si="1"/>
        <v>21.491884189187076</v>
      </c>
      <c r="F18" s="23"/>
      <c r="G18" s="23">
        <f t="shared" si="1"/>
        <v>13748.432057652712</v>
      </c>
      <c r="H18" s="23">
        <f t="shared" si="1"/>
        <v>2603.8558688310754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2.0321739109340547E-3</v>
      </c>
      <c r="H50" s="319">
        <f t="shared" si="2"/>
        <v>0</v>
      </c>
      <c r="I50" s="319">
        <f t="shared" si="2"/>
        <v>0</v>
      </c>
      <c r="J50" s="319">
        <f t="shared" si="2"/>
        <v>0</v>
      </c>
      <c r="K50" s="319">
        <f t="shared" si="2"/>
        <v>0</v>
      </c>
      <c r="L50" s="319">
        <f t="shared" si="2"/>
        <v>0</v>
      </c>
      <c r="M50" s="319">
        <f t="shared" si="2"/>
        <v>1.1293068067875721E-4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2.0321739109340547E-3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1.1293068067875721E-4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564.49275303723743</v>
      </c>
      <c r="H54" s="21">
        <f t="shared" si="3"/>
        <v>0</v>
      </c>
      <c r="I54" s="21">
        <f t="shared" si="3"/>
        <v>0</v>
      </c>
      <c r="J54" s="21">
        <f t="shared" si="3"/>
        <v>0</v>
      </c>
      <c r="K54" s="21">
        <f t="shared" si="3"/>
        <v>0</v>
      </c>
      <c r="L54" s="21">
        <f t="shared" si="3"/>
        <v>0</v>
      </c>
      <c r="M54" s="21">
        <f t="shared" si="3"/>
        <v>31.369633521876999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0.21028404846547588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150.71956506094241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4171.1805678577384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21996</v>
      </c>
      <c r="C8" s="548">
        <f>B49</f>
        <v>25877.647058823532</v>
      </c>
      <c r="D8" s="549"/>
      <c r="E8" s="549">
        <f>E49</f>
        <v>0</v>
      </c>
      <c r="F8" s="550"/>
      <c r="G8" s="551"/>
      <c r="H8" s="549">
        <f>I49</f>
        <v>0</v>
      </c>
      <c r="I8" s="549">
        <f>G49+F49</f>
        <v>0</v>
      </c>
      <c r="J8" s="549">
        <f>H49+D49+C49</f>
        <v>0</v>
      </c>
      <c r="K8" s="549"/>
      <c r="L8" s="549"/>
      <c r="M8" s="549"/>
      <c r="N8" s="552"/>
      <c r="O8" s="553">
        <f>C8*$C$12+D8*$D$12+E8*$E$12+F8*$F$12+G8*$G$12+H8*$H$12+I8*$I$12+J8*$J$12</f>
        <v>5227.2847058823536</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26167.180567857737</v>
      </c>
      <c r="C10" s="563">
        <f t="shared" ref="C10:L10" si="0">SUM(C8:C9)</f>
        <v>25877.647058823532</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5227.2847058823536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31422.857142857145</v>
      </c>
      <c r="C17" s="579">
        <f>B50</f>
        <v>36968.067226890758</v>
      </c>
      <c r="D17" s="580"/>
      <c r="E17" s="580">
        <f>E50</f>
        <v>0</v>
      </c>
      <c r="F17" s="581"/>
      <c r="G17" s="582"/>
      <c r="H17" s="579">
        <f>I50</f>
        <v>0</v>
      </c>
      <c r="I17" s="580">
        <f>G50+F50</f>
        <v>0</v>
      </c>
      <c r="J17" s="580">
        <f>H50+D50+C50</f>
        <v>0</v>
      </c>
      <c r="K17" s="580"/>
      <c r="L17" s="580"/>
      <c r="M17" s="580"/>
      <c r="N17" s="972"/>
      <c r="O17" s="583">
        <f>C17*$C$22+E17*$E$22+H17*$H$22+I17*$I$22+J17*$J$22+D17*$D$22+F17*$F$22+G17*$G$22+K17*$K$22+L17*$L$22</f>
        <v>7467.5495798319334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31422.857142857145</v>
      </c>
      <c r="C20" s="562">
        <f>SUM(C17:C19)</f>
        <v>36968.067226890758</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7467.5495798319334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36007</v>
      </c>
      <c r="C28" s="791">
        <v>8770</v>
      </c>
      <c r="D28" s="640" t="s">
        <v>888</v>
      </c>
      <c r="E28" s="639" t="s">
        <v>889</v>
      </c>
      <c r="F28" s="639" t="s">
        <v>890</v>
      </c>
      <c r="G28" s="639" t="s">
        <v>891</v>
      </c>
      <c r="H28" s="639" t="s">
        <v>892</v>
      </c>
      <c r="I28" s="639" t="s">
        <v>889</v>
      </c>
      <c r="J28" s="790">
        <v>41810</v>
      </c>
      <c r="K28" s="790">
        <v>40550</v>
      </c>
      <c r="L28" s="639" t="s">
        <v>893</v>
      </c>
      <c r="M28" s="639">
        <v>3488</v>
      </c>
      <c r="N28" s="639">
        <v>15696</v>
      </c>
      <c r="O28" s="639">
        <v>22422.857142857145</v>
      </c>
      <c r="P28" s="639">
        <v>44845.71428571429</v>
      </c>
      <c r="Q28" s="639">
        <v>0</v>
      </c>
      <c r="R28" s="639">
        <v>0</v>
      </c>
      <c r="S28" s="639">
        <v>0</v>
      </c>
      <c r="T28" s="639">
        <v>0</v>
      </c>
      <c r="U28" s="639">
        <v>0</v>
      </c>
      <c r="V28" s="639">
        <v>0</v>
      </c>
      <c r="W28" s="639">
        <v>0</v>
      </c>
      <c r="X28" s="639">
        <v>10</v>
      </c>
      <c r="Y28" s="639" t="s">
        <v>111</v>
      </c>
      <c r="Z28" s="641" t="s">
        <v>111</v>
      </c>
    </row>
    <row r="29" spans="1:26" s="593" customFormat="1" ht="25.5">
      <c r="A29" s="592"/>
      <c r="B29" s="791">
        <v>36007</v>
      </c>
      <c r="C29" s="791">
        <v>8770</v>
      </c>
      <c r="D29" s="640" t="s">
        <v>894</v>
      </c>
      <c r="E29" s="639" t="s">
        <v>895</v>
      </c>
      <c r="F29" s="639" t="s">
        <v>896</v>
      </c>
      <c r="G29" s="639" t="s">
        <v>891</v>
      </c>
      <c r="H29" s="639" t="s">
        <v>892</v>
      </c>
      <c r="I29" s="639" t="s">
        <v>895</v>
      </c>
      <c r="J29" s="790">
        <v>40681</v>
      </c>
      <c r="K29" s="790">
        <v>40681</v>
      </c>
      <c r="L29" s="639" t="s">
        <v>893</v>
      </c>
      <c r="M29" s="639">
        <v>1400</v>
      </c>
      <c r="N29" s="639">
        <v>6300</v>
      </c>
      <c r="O29" s="639">
        <v>9000</v>
      </c>
      <c r="P29" s="639">
        <v>18000</v>
      </c>
      <c r="Q29" s="639">
        <v>0</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4888</v>
      </c>
      <c r="N30" s="597">
        <f>SUM(N28:N29)</f>
        <v>21996</v>
      </c>
      <c r="O30" s="597">
        <f>SUM(O28:O29)</f>
        <v>31422.857142857145</v>
      </c>
      <c r="P30" s="597">
        <f>SUM(P28:P29)</f>
        <v>62845.71428571429</v>
      </c>
      <c r="Q30" s="597">
        <f>SUM(Q28:Q29)</f>
        <v>0</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4888</v>
      </c>
      <c r="N33" s="602">
        <f>SUMIF($Z$28:$Z$29,"landbouw",N28:N29)</f>
        <v>21996</v>
      </c>
      <c r="O33" s="602">
        <f>SUMIF($Z$28:$Z$29,"landbouw",O28:O29)</f>
        <v>31422.857142857145</v>
      </c>
      <c r="P33" s="602">
        <f>SUMIF($Z$28:$Z$29,"landbouw",P28:P29)</f>
        <v>62845.71428571429</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25877.647058823532</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36968.067226890758</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2020-06-20T15:33:53Z</dcterms:modified>
</cp:coreProperties>
</file>