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<sst xmlns="http://schemas.openxmlformats.org/spreadsheetml/2006/main" count="2402" uniqueCount="888">
  <si>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</si>
  <si>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</si>
  <si>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</si>
  <si>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</si>
  <si>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</si>
  <si>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</si>
  <si>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</si>
  <si>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</si>
  <si>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</si>
  <si>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</si>
  <si>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</si>
  <si>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</si>
  <si>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</si>
  <si>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</si>
  <si>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</si>
  <si>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</si>
  <si>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</si>
  <si>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</si>
  <si>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</si>
  <si>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</si>
  <si>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</si>
  <si>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</si>
  <si>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</si>
  <si>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</si>
  <si>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</si>
  <si>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</si>
  <si>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</si>
  <si>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</si>
  <si>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</si>
  <si>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</si>
  <si>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</si>
  <si>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</si>
  <si>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</si>
  <si>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</si>
  <si>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</si>
  <si>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</si>
  <si>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</si>
  <si>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</si>
  <si>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</si>
  <si>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</si>
  <si>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</si>
  <si>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</si>
  <si>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</si>
  <si>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</si>
  <si>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</si>
  <si>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</si>
  <si>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</si>
  <si>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</si>
  <si>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</si>
  <si>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</si>
  <si>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</si>
  <si>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</si>
  <si>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</si>
  <si>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</si>
  <si>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</si>
  <si>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</si>
  <si>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</si>
  <si>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</si>
  <si>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</si>
  <si>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</si>
  <si>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</si>
  <si>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</si>
  <si>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</si>
  <si>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</si>
  <si>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</si>
  <si>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</si>
  <si>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</si>
  <si>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</si>
  <si>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</si>
  <si>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</si>
  <si>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</si>
  <si>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</si>
  <si>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</si>
  <si>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</si>
  <si>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</si>
  <si>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</si>
  <si>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</si>
  <si>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</si>
  <si>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</si>
  <si>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</si>
  <si>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</si>
  <si>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</si>
  <si>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</si>
  <si>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</si>
  <si>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</si>
  <si>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</si>
  <si>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</si>
  <si>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</si>
  <si>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</si>
  <si>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</si>
  <si>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</si>
  <si>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</si>
  <si>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</si>
  <si>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</si>
  <si>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</si>
  <si>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</si>
  <si>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</si>
  <si>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</si>
  <si>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</si>
  <si>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</si>
  <si>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</si>
  <si>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</si>
  <si>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</si>
  <si>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</si>
  <si>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</si>
  <si>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</si>
  <si>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</si>
  <si>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</si>
  <si>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</si>
  <si>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</si>
  <si>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</si>
  <si>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</si>
  <si>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</si>
  <si>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</si>
  <si>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</si>
  <si>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</si>
  <si>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</si>
  <si>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</si>
  <si>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</si>
  <si>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</si>
  <si>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</si>
  <si>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</si>
  <si>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</si>
  <si>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</si>
  <si>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</si>
  <si>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</si>
  <si>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</si>
  <si>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</si>
  <si>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</si>
  <si>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</si>
  <si>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</si>
  <si>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</si>
  <si>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</si>
  <si>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</si>
  <si>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</si>
  <si>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</si>
  <si>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</si>
  <si>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</si>
  <si>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</si>
  <si>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</si>
  <si>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</si>
  <si>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</si>
  <si>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</si>
  <si>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</si>
  <si>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</si>
  <si>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</si>
  <si>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</si>
  <si>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</si>
  <si>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</si>
  <si>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</si>
  <si>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</si>
  <si>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</si>
  <si>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</si>
  <si>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</si>
  <si>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</si>
  <si>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</si>
  <si>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</si>
  <si>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</si>
  <si>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</si>
  <si>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</si>
  <si>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</si>
  <si>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</si>
  <si>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</si>
  <si>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</si>
  <si>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</si>
  <si>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</si>
  <si>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</si>
  <si>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</si>
  <si>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</si>
  <si>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</si>
  <si>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</si>
  <si>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</si>
  <si>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</si>
  <si>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</si>
  <si>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</si>
  <si>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</si>
  <si>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</si>
  <si>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</si>
  <si>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</si>
  <si>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</si>
  <si>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</si>
  <si>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</si>
  <si>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</si>
  <si>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</si>
  <si>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</si>
  <si>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</si>
  <si>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</si>
  <si>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</si>
  <si>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</si>
  <si>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</si>
  <si>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</si>
  <si>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</si>
  <si>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</si>
  <si>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</si>
  <si>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</si>
  <si>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</si>
  <si>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</si>
  <si>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</si>
  <si>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</si>
  <si>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</si>
  <si>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</si>
  <si>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</si>
  <si>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</si>
  <si>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</si>
  <si>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</si>
  <si>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</si>
  <si>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</si>
  <si>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</si>
  <si>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</si>
  <si>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</si>
  <si>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</si>
  <si>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</si>
  <si>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</si>
  <si>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</si>
  <si>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</si>
  <si>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</si>
  <si>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</si>
  <si>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</si>
  <si>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</si>
  <si>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</si>
  <si>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</si>
  <si>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</si>
  <si>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</si>
  <si>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</si>
  <si>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</si>
  <si>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</si>
  <si>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</si>
  <si>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</si>
  <si>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</si>
  <si>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</si>
  <si>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</si>
  <si>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</si>
  <si>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</si>
  <si>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</si>
  <si>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</si>
  <si>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</si>
  <si>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</si>
  <si>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</si>
  <si>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</si>
  <si>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</si>
  <si>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</si>
  <si>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</si>
  <si>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</si>
  <si>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</si>
  <si>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</si>
  <si>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</si>
  <si>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</si>
  <si>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</si>
  <si>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</si>
  <si>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</si>
  <si>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</si>
  <si>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</si>
  <si>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</si>
  <si>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</si>
  <si>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</si>
  <si>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</si>
  <si>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</si>
  <si>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</si>
  <si>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</si>
  <si>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</si>
  <si>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</si>
  <si>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</si>
  <si>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</si>
  <si>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</si>
  <si>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</si>
  <si>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</si>
  <si>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</si>
  <si>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</si>
  <si>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</si>
  <si>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</si>
  <si>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</si>
  <si>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</si>
  <si>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</si>
  <si>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</si>
  <si>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</si>
  <si>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</si>
  <si>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</si>
  <si>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</si>
  <si>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</si>
  <si>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</si>
  <si>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</si>
  <si>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</si>
  <si>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</si>
  <si>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</si>
  <si>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</si>
  <si>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</si>
  <si>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</si>
  <si>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</si>
  <si>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</si>
  <si>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</si>
  <si>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</si>
  <si>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</si>
  <si>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</si>
  <si>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</si>
  <si>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</si>
  <si>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</si>
  <si>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</si>
  <si>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</si>
  <si>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</si>
  <si>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</si>
  <si>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</si>
  <si>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</si>
  <si>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</si>
  <si>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</si>
  <si>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</si>
  <si>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</si>
  <si>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</si>
  <si>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</si>
  <si>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</si>
  <si>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</si>
  <si>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</si>
  <si>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</si>
  <si>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</si>
  <si>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</si>
  <si>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</si>
  <si>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</si>
  <si>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</si>
  <si>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</si>
  <si>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</si>
  <si>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</si>
  <si>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</si>
  <si>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</si>
  <si>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</si>
  <si>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</si>
  <si>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</si>
  <si>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</si>
  <si>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</si>
  <si>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</si>
  <si>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</si>
  <si>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</si>
  <si>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</si>
  <si>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</si>
  <si>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</si>
  <si>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</si>
  <si>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</si>
  <si>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</si>
  <si>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</si>
  <si>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</si>
  <si>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</si>
  <si>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</si>
  <si>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</si>
  <si>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</si>
  <si>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</si>
  <si>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</si>
  <si>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</si>
  <si>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</si>
  <si>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</si>
  <si>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</si>
  <si>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</si>
  <si>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</si>
  <si>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</si>
  <si>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</si>
  <si>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</si>
  <si>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</si>
  <si>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</si>
  <si>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</si>
  <si>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</si>
  <si>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</si>
  <si>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</si>
  <si>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</si>
  <si>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</si>
  <si>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</si>
  <si>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</si>
  <si>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</si>
  <si>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</si>
  <si>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</si>
  <si>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</si>
  <si>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</si>
  <si>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</si>
  <si>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</si>
  <si>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</si>
  <si>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</si>
  <si>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</si>
  <si>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</si>
  <si>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</si>
  <si>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</si>
  <si>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</si>
  <si>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</si>
  <si>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</si>
  <si>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</si>
  <si>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</si>
  <si>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</si>
  <si>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</si>
  <si>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</si>
  <si>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</si>
  <si>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</si>
  <si>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</si>
  <si>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</si>
  <si>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</si>
  <si>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</si>
  <si>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</si>
  <si>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</si>
  <si>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</si>
  <si>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</si>
  <si>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</si>
  <si>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</si>
  <si>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</si>
  <si>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</si>
  <si>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</si>
  <si>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</si>
  <si>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</si>
  <si>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</si>
  <si>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</si>
  <si>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</si>
  <si>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</si>
  <si>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</si>
  <si>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</si>
  <si>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</si>
  <si>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</si>
  <si>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</si>
  <si>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</si>
  <si>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</si>
  <si>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</si>
  <si>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</si>
  <si>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</si>
  <si>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</si>
  <si>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</si>
  <si>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</si>
  <si>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</si>
  <si>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</si>
  <si>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</si>
  <si>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</si>
  <si>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</si>
  <si>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</si>
  <si>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</si>
  <si>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</si>
  <si>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</si>
  <si>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</si>
  <si>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</si>
  <si>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</si>
  <si>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</si>
  <si>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</si>
  <si>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</si>
  <si>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</si>
  <si>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</si>
  <si>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</si>
  <si>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</si>
  <si>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</si>
  <si>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</si>
  <si>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</si>
  <si>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</si>
  <si>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</si>
  <si>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</si>
  <si>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</si>
  <si>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</si>
  <si>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</si>
  <si>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</si>
  <si>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</si>
  <si>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</si>
  <si>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</si>
  <si>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</si>
  <si>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</si>
  <si>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</si>
  <si>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</si>
  <si>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</si>
  <si>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</si>
  <si>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</si>
  <si>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</si>
  <si>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</si>
  <si>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</si>
  <si>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</si>
  <si>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</si>
  <si>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</si>
  <si>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</si>
  <si>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</si>
  <si>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</si>
  <si>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</si>
  <si>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</si>
  <si>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</si>
  <si>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</si>
  <si>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</si>
  <si>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</si>
  <si>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</si>
  <si>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</si>
  <si>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</si>
  <si>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</si>
  <si>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</si>
  <si>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</si>
  <si>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</si>
  <si>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</si>
  <si>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</si>
  <si>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</si>
  <si>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</si>
  <si>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</si>
  <si>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</si>
  <si>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</si>
  <si>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</si>
  <si>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</si>
  <si>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</si>
  <si>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</si>
  <si>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</si>
  <si>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</si>
  <si>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</si>
  <si>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</si>
  <si>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</si>
  <si>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</si>
  <si>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</si>
  <si>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</si>
  <si>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</si>
  <si>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</si>
  <si>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</si>
  <si>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</si>
  <si>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</si>
  <si>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</si>
  <si>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</si>
  <si>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</si>
  <si>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</si>
  <si>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</si>
  <si>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</si>
  <si>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</si>
  <si>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</si>
  <si>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</si>
  <si>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</si>
  <si>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</si>
  <si>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</si>
  <si>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</si>
  <si>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</si>
  <si>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</si>
  <si>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</si>
  <si>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</si>
  <si>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</si>
  <si>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</si>
  <si>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</si>
  <si>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</si>
  <si>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</si>
  <si>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</si>
  <si>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</si>
  <si>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</si>
  <si>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</si>
  <si>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</si>
  <si>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</si>
  <si>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</si>
  <si>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</si>
  <si>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</si>
  <si>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</si>
  <si>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</si>
  <si>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</si>
  <si>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</si>
  <si>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</si>
  <si>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</si>
  <si>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</si>
  <si>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</si>
  <si>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</si>
  <si>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</si>
  <si>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</si>
  <si>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</si>
  <si>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</si>
  <si>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</si>
  <si>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</si>
  <si>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</si>
  <si>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</si>
  <si>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</si>
  <si>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</si>
  <si>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</si>
  <si>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</si>
  <si>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</si>
  <si>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</si>
  <si>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</si>
  <si>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</si>
  <si>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</si>
  <si>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</si>
  <si>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</si>
  <si>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</si>
  <si>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</si>
  <si>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</si>
  <si>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</si>
  <si>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</si>
  <si>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</si>
  <si>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</si>
  <si>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</si>
  <si>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</si>
  <si>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</si>
  <si>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</si>
  <si>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</si>
  <si>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</si>
  <si>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</si>
  <si>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</si>
  <si>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</si>
  <si>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</si>
  <si>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</si>
  <si>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</si>
  <si>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</si>
  <si>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</si>
  <si>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</si>
  <si>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</si>
  <si>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</si>
  <si>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</si>
  <si>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</si>
  <si>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</si>
  <si>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</si>
  <si>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</si>
  <si>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</si>
  <si>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</si>
  <si>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</si>
  <si>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</si>
  <si>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</si>
  <si>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</si>
  <si>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</si>
  <si>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</si>
  <si>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</si>
  <si>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</si>
  <si>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</si>
  <si>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</si>
  <si>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</si>
  <si>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</si>
  <si>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</si>
  <si>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</si>
  <si>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</si>
  <si>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</si>
  <si>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</si>
  <si>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</si>
  <si>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</si>
  <si>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</si>
  <si>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</si>
  <si>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</si>
  <si>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</si>
  <si>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</si>
  <si>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</si>
  <si>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</si>
  <si>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</si>
  <si>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</si>
  <si>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</si>
  <si>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</si>
  <si>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</si>
  <si>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</si>
  <si>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</si>
  <si>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</si>
  <si>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</si>
  <si>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</si>
  <si>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</si>
  <si>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</si>
  <si>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</si>
  <si>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</si>
  <si>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</si>
  <si>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</si>
  <si>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</si>
  <si>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</si>
  <si>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</si>
  <si>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</si>
  <si>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</si>
  <si>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</si>
  <si>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</si>
  <si>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</si>
  <si>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</si>
  <si>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</si>
  <si>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</si>
  <si>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</si>
  <si>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</si>
  <si>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</si>
  <si>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</si>
  <si>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</si>
  <si>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</si>
  <si>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</si>
  <si>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</si>
  <si>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</si>
  <si>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</si>
  <si>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</si>
  <si>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</si>
  <si>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</si>
  <si>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</si>
  <si>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</si>
  <si>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</si>
  <si>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</si>
  <si>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</si>
  <si>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</si>
  <si>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</si>
  <si>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</si>
  <si>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</si>
  <si>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</si>
  <si>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</si>
  <si>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</si>
  <si>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</si>
  <si>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</si>
  <si>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</si>
  <si>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</si>
  <si>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</si>
  <si>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</si>
  <si>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</si>
  <si>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</si>
  <si>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</si>
  <si>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</si>
  <si>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</si>
  <si>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</si>
  <si>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</si>
  <si>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</si>
  <si>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</si>
  <si>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</si>
  <si>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</si>
  <si>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</si>
  <si>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</si>
  <si>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</si>
  <si>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</si>
  <si>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</si>
  <si>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</si>
  <si>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</si>
  <si>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</si>
  <si>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</si>
  <si>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</si>
  <si>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</si>
  <si>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</si>
  <si>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</si>
  <si>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</si>
  <si>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</si>
  <si>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</si>
  <si>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</si>
  <si>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</si>
  <si>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</si>
  <si>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</si>
  <si>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</si>
  <si>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</si>
  <si>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</si>
  <si>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</si>
  <si>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</si>
  <si>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</si>
  <si>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</si>
  <si>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</si>
  <si>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</si>
  <si>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</si>
  <si>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</si>
  <si>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</si>
  <si>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</si>
  <si>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</si>
  <si>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</si>
  <si>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</si>
  <si>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</si>
  <si>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</si>
  <si>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</si>
  <si>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</si>
  <si>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</si>
  <si>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</si>
  <si>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</si>
  <si>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</si>
  <si>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</si>
  <si>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</si>
  <si>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</si>
  <si>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</si>
  <si>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</si>
  <si>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</si>
  <si>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</si>
  <si>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</si>
  <si>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</si>
  <si>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</si>
  <si>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</si>
  <si>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</si>
  <si>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</si>
  <si>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</si>
  <si>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</si>
  <si>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</si>
  <si>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</si>
  <si>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</si>
  <si>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</si>
  <si>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</si>
  <si>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</si>
  <si>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</si>
  <si>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</si>
  <si>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</si>
  <si>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</si>
  <si>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</si>
  <si>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</si>
  <si>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</si>
  <si>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</si>
  <si>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</si>
  <si>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</si>
  <si>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</si>
  <si>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</si>
  <si>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</si>
  <si>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</si>
  <si>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</si>
  <si>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</si>
  <si>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</si>
  <si>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</si>
  <si>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</si>
  <si>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</si>
  <si>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</si>
  <si>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</si>
  <si>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</si>
  <si>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</si>
  <si>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</si>
  <si>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</si>
  <si>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</si>
  <si>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</si>
  <si>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</si>
  <si>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</si>
  <si>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</si>
  <si>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</si>
  <si>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</si>
  <si>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</si>
  <si>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</si>
  <si>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</si>
  <si>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</si>
  <si>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</si>
  <si>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</si>
  <si>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</si>
  <si>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</si>
  <si>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</si>
  <si>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</si>
  <si>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</si>
  <si>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</si>
  <si>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</si>
  <si>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</si>
  <si>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</si>
  <si>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</si>
  <si>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</si>
  <si>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</si>
  <si>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</si>
  <si>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</si>
  <si>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</si>
  <si>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</si>
  <si>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</si>
  <si>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</si>
  <si>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</si>
  <si>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</si>
  <si>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</si>
  <si>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</si>
  <si>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</si>
  <si>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</si>
  <si>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</si>
  <si>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</si>
  <si>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</si>
  <si>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</si>
  <si>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</si>
  <si>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</si>
  <si>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</si>
  <si>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</si>
  <si>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</si>
  <si>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</si>
  <si>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</si>
  <si>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</si>
  <si>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</si>
  <si>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</si>
  <si>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</si>
  <si>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</si>
  <si>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</si>
  <si>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</si>
  <si>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</si>
  <si>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</si>
  <si>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</si>
  <si>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</si>
  <si>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</si>
  <si>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</si>
  <si>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</si>
  <si>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</si>
  <si>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</si>
  <si>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</si>
  <si>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</si>
  <si>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</si>
  <si>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</si>
  <si>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</si>
  <si>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</si>
  <si>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</si>
  <si>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</si>
  <si>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</si>
  <si>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</si>
  <si>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</si>
  <si>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</si>
  <si>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</si>
  <si>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</si>
  <si>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</si>
  <si>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</si>
  <si>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</si>
  <si>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</si>
  <si>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</si>
  <si>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</si>
  <si>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</si>
  <si>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</si>
  <si>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</si>
  <si>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</si>
  <si>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</si>
  <si>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</si>
  <si>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</si>
  <si>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</si>
  <si>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</si>
  <si>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</si>
  <si>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</si>
  <si>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</si>
  <si>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</si>
  <si>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</si>
  <si>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</si>
  <si>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</si>
  <si>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</si>
  <si>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</si>
  <si>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</si>
  <si>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</si>
  <si>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</si>
  <si>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</si>
  <si>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35029</t>
  </si>
  <si>
    <t>DE_HAAN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</si>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</sst>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97731.842784481836</c:v>
                </c:pt>
                <c:pt idx="1">
                  <c:v>78203.699445239021</c:v>
                </c:pt>
                <c:pt idx="2">
                  <c:v>1290.3610000000001</c:v>
                </c:pt>
                <c:pt idx="3">
                  <c:v>4660.9239560035994</c:v>
                </c:pt>
                <c:pt idx="4">
                  <c:v>4908.4233409682365</c:v>
                </c:pt>
                <c:pt idx="5">
                  <c:v>80105.695252182064</c:v>
                </c:pt>
                <c:pt idx="6">
                  <c:v>1605.8142362436245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97731.842784481836</c:v>
                </c:pt>
                <c:pt idx="1">
                  <c:v>78203.699445239021</c:v>
                </c:pt>
                <c:pt idx="2">
                  <c:v>1290.3610000000001</c:v>
                </c:pt>
                <c:pt idx="3">
                  <c:v>4660.9239560035994</c:v>
                </c:pt>
                <c:pt idx="4">
                  <c:v>4908.4233409682365</c:v>
                </c:pt>
                <c:pt idx="5">
                  <c:v>80105.695252182064</c:v>
                </c:pt>
                <c:pt idx="6">
                  <c:v>1605.8142362436245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19735.228477592871</c:v>
                </c:pt>
                <c:pt idx="1">
                  <c:v>15971.42642125044</c:v>
                </c:pt>
                <c:pt idx="2">
                  <c:v>274.11272457214022</c:v>
                </c:pt>
                <c:pt idx="3">
                  <c:v>1205.6836617216784</c:v>
                </c:pt>
                <c:pt idx="4">
                  <c:v>1034.1967487450731</c:v>
                </c:pt>
                <c:pt idx="5">
                  <c:v>19947.214196314784</c:v>
                </c:pt>
                <c:pt idx="6">
                  <c:v>353.19539697014284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19735.228477592871</c:v>
                </c:pt>
                <c:pt idx="1">
                  <c:v>15971.42642125044</c:v>
                </c:pt>
                <c:pt idx="2">
                  <c:v>274.11272457214022</c:v>
                </c:pt>
                <c:pt idx="3">
                  <c:v>1205.6836617216784</c:v>
                </c:pt>
                <c:pt idx="4">
                  <c:v>1034.1967487450731</c:v>
                </c:pt>
                <c:pt idx="5">
                  <c:v>19947.214196314784</c:v>
                </c:pt>
                <c:pt idx="6">
                  <c:v>353.19539697014284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35029</v>
      </c>
      <c r="B6" s="390"/>
      <c r="C6" s="391"/>
    </row>
    <row r="7" spans="1:7" s="388" customFormat="1" ht="15.75" customHeight="1">
      <c r="A7" s="392" t="str">
        <f>txtMunicipality</f>
        <v>DE_HAAN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29188.269405000003</v>
      </c>
      <c r="D10" s="686">
        <f ca="1">tertiair!C16</f>
        <v>0</v>
      </c>
      <c r="E10" s="686">
        <f ca="1">tertiair!D16</f>
        <v>45003.046345356001</v>
      </c>
      <c r="F10" s="686">
        <f>tertiair!E16</f>
        <v>313.08529745647672</v>
      </c>
      <c r="G10" s="686">
        <f ca="1">tertiair!F16</f>
        <v>3308.4126132700139</v>
      </c>
      <c r="H10" s="686">
        <f>tertiair!G16</f>
        <v>0</v>
      </c>
      <c r="I10" s="686">
        <f>tertiair!H16</f>
        <v>0</v>
      </c>
      <c r="J10" s="686">
        <f>tertiair!I16</f>
        <v>0</v>
      </c>
      <c r="K10" s="686">
        <f>tertiair!J16</f>
        <v>3.6534172190604647E-2</v>
      </c>
      <c r="L10" s="686">
        <f>tertiair!K16</f>
        <v>0</v>
      </c>
      <c r="M10" s="686">
        <f ca="1">tertiair!L16</f>
        <v>0</v>
      </c>
      <c r="N10" s="686">
        <f>tertiair!M16</f>
        <v>0</v>
      </c>
      <c r="O10" s="686">
        <f ca="1">tertiair!N16</f>
        <v>1441.6701321633075</v>
      </c>
      <c r="P10" s="686">
        <f>tertiair!O16</f>
        <v>29.383564595046927</v>
      </c>
      <c r="Q10" s="687">
        <f>tertiair!P16</f>
        <v>210.15655322598008</v>
      </c>
      <c r="R10" s="689">
        <f ca="1">SUM(C10:Q10)</f>
        <v>79494.060445239025</v>
      </c>
      <c r="S10" s="67"/>
    </row>
    <row r="11" spans="1:19" s="448" customFormat="1">
      <c r="A11" s="808" t="s">
        <v>224</v>
      </c>
      <c r="B11" s="813"/>
      <c r="C11" s="686">
        <f>huishoudens!B8</f>
        <v>30156.184729167635</v>
      </c>
      <c r="D11" s="686">
        <f>huishoudens!C8</f>
        <v>0</v>
      </c>
      <c r="E11" s="686">
        <f>huishoudens!D8</f>
        <v>62942.890765699995</v>
      </c>
      <c r="F11" s="686">
        <f>huishoudens!E8</f>
        <v>2707.7311310753103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1364.3763501129872</v>
      </c>
      <c r="P11" s="686">
        <f>huishoudens!O8</f>
        <v>234.10706988766975</v>
      </c>
      <c r="Q11" s="687">
        <f>huishoudens!P8</f>
        <v>326.5527385382357</v>
      </c>
      <c r="R11" s="689">
        <f>SUM(C11:Q11)</f>
        <v>97731.842784481836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1255.594218</v>
      </c>
      <c r="D13" s="686">
        <f>industrie!C18</f>
        <v>0</v>
      </c>
      <c r="E13" s="686">
        <f>industrie!D18</f>
        <v>2767.1475803180001</v>
      </c>
      <c r="F13" s="686">
        <f>industrie!E18</f>
        <v>195.24451159784974</v>
      </c>
      <c r="G13" s="686">
        <f>industrie!F18</f>
        <v>608.99690052236247</v>
      </c>
      <c r="H13" s="686">
        <f>industrie!G18</f>
        <v>0</v>
      </c>
      <c r="I13" s="686">
        <f>industrie!H18</f>
        <v>0</v>
      </c>
      <c r="J13" s="686">
        <f>industrie!I18</f>
        <v>0</v>
      </c>
      <c r="K13" s="686">
        <f>industrie!J18</f>
        <v>4.4719771451706842</v>
      </c>
      <c r="L13" s="686">
        <f>industrie!K18</f>
        <v>0</v>
      </c>
      <c r="M13" s="686">
        <f>industrie!L18</f>
        <v>0</v>
      </c>
      <c r="N13" s="686">
        <f>industrie!M18</f>
        <v>0</v>
      </c>
      <c r="O13" s="686">
        <f>industrie!N18</f>
        <v>76.968153384852286</v>
      </c>
      <c r="P13" s="686">
        <f>industrie!O18</f>
        <v>0</v>
      </c>
      <c r="Q13" s="687">
        <f>industrie!P18</f>
        <v>0</v>
      </c>
      <c r="R13" s="689">
        <f>SUM(C13:Q13)</f>
        <v>4908.4233409682365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60600.048352167636</v>
      </c>
      <c r="D16" s="722">
        <f t="shared" ref="D16:R16" ca="1" si="0">SUM(D9:D15)</f>
        <v>0</v>
      </c>
      <c r="E16" s="722">
        <f t="shared" ca="1" si="0"/>
        <v>110713.08469137401</v>
      </c>
      <c r="F16" s="722">
        <f t="shared" si="0"/>
        <v>3216.0609401296369</v>
      </c>
      <c r="G16" s="722">
        <f t="shared" ca="1" si="0"/>
        <v>3917.4095137923764</v>
      </c>
      <c r="H16" s="722">
        <f t="shared" si="0"/>
        <v>0</v>
      </c>
      <c r="I16" s="722">
        <f t="shared" si="0"/>
        <v>0</v>
      </c>
      <c r="J16" s="722">
        <f t="shared" si="0"/>
        <v>0</v>
      </c>
      <c r="K16" s="722">
        <f t="shared" si="0"/>
        <v>4.5085113173612887</v>
      </c>
      <c r="L16" s="722">
        <f t="shared" si="0"/>
        <v>0</v>
      </c>
      <c r="M16" s="722">
        <f t="shared" ca="1" si="0"/>
        <v>0</v>
      </c>
      <c r="N16" s="722">
        <f t="shared" si="0"/>
        <v>0</v>
      </c>
      <c r="O16" s="722">
        <f t="shared" ca="1" si="0"/>
        <v>2883.0146356611472</v>
      </c>
      <c r="P16" s="722">
        <f t="shared" si="0"/>
        <v>263.4906344827167</v>
      </c>
      <c r="Q16" s="722">
        <f t="shared" si="0"/>
        <v>536.70929176421578</v>
      </c>
      <c r="R16" s="722">
        <f t="shared" ca="1" si="0"/>
        <v>182134.3265706891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1307.8666499999999</v>
      </c>
      <c r="D19" s="686">
        <f>transport!C54</f>
        <v>0</v>
      </c>
      <c r="E19" s="686">
        <f>transport!D54</f>
        <v>0</v>
      </c>
      <c r="F19" s="686">
        <f>transport!E54</f>
        <v>0</v>
      </c>
      <c r="G19" s="686">
        <f>transport!F54</f>
        <v>0</v>
      </c>
      <c r="H19" s="686">
        <f>transport!G54</f>
        <v>282.2619064624875</v>
      </c>
      <c r="I19" s="686">
        <f>transport!H54</f>
        <v>0</v>
      </c>
      <c r="J19" s="686">
        <f>transport!I54</f>
        <v>0</v>
      </c>
      <c r="K19" s="686">
        <f>transport!J54</f>
        <v>0</v>
      </c>
      <c r="L19" s="686">
        <f>transport!K54</f>
        <v>0</v>
      </c>
      <c r="M19" s="686">
        <f>transport!L54</f>
        <v>0</v>
      </c>
      <c r="N19" s="686">
        <f>transport!M54</f>
        <v>15.685679781136997</v>
      </c>
      <c r="O19" s="686">
        <f>transport!N54</f>
        <v>0</v>
      </c>
      <c r="P19" s="686">
        <f>transport!O54</f>
        <v>0</v>
      </c>
      <c r="Q19" s="687">
        <f>transport!P54</f>
        <v>0</v>
      </c>
      <c r="R19" s="689">
        <f>SUM(C19:Q19)</f>
        <v>1605.8142362436245</v>
      </c>
      <c r="S19" s="67"/>
    </row>
    <row r="20" spans="1:19" s="448" customFormat="1">
      <c r="A20" s="808" t="s">
        <v>306</v>
      </c>
      <c r="B20" s="813"/>
      <c r="C20" s="686">
        <f>transport!B14</f>
        <v>39.975433855105642</v>
      </c>
      <c r="D20" s="686">
        <f>transport!C14</f>
        <v>0</v>
      </c>
      <c r="E20" s="686">
        <f>transport!D14</f>
        <v>140.04160356023246</v>
      </c>
      <c r="F20" s="686">
        <f>transport!E14</f>
        <v>118.58876258740241</v>
      </c>
      <c r="G20" s="686">
        <f>transport!F14</f>
        <v>0</v>
      </c>
      <c r="H20" s="686">
        <f>transport!G14</f>
        <v>62275.283972492536</v>
      </c>
      <c r="I20" s="686">
        <f>transport!H14</f>
        <v>13076.358633686821</v>
      </c>
      <c r="J20" s="686">
        <f>transport!I14</f>
        <v>0</v>
      </c>
      <c r="K20" s="686">
        <f>transport!J14</f>
        <v>0</v>
      </c>
      <c r="L20" s="686">
        <f>transport!K14</f>
        <v>0</v>
      </c>
      <c r="M20" s="686">
        <f>transport!L14</f>
        <v>0</v>
      </c>
      <c r="N20" s="686">
        <f>transport!M14</f>
        <v>4455.4468459999625</v>
      </c>
      <c r="O20" s="686">
        <f>transport!N14</f>
        <v>0</v>
      </c>
      <c r="P20" s="686">
        <f>transport!O14</f>
        <v>0</v>
      </c>
      <c r="Q20" s="687">
        <f>transport!P14</f>
        <v>0</v>
      </c>
      <c r="R20" s="689">
        <f>SUM(C20:Q20)</f>
        <v>80105.695252182064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1347.8420838551056</v>
      </c>
      <c r="D22" s="811">
        <f t="shared" ref="D22:R22" si="1">SUM(D18:D21)</f>
        <v>0</v>
      </c>
      <c r="E22" s="811">
        <f t="shared" si="1"/>
        <v>140.04160356023246</v>
      </c>
      <c r="F22" s="811">
        <f t="shared" si="1"/>
        <v>118.58876258740241</v>
      </c>
      <c r="G22" s="811">
        <f t="shared" si="1"/>
        <v>0</v>
      </c>
      <c r="H22" s="811">
        <f t="shared" si="1"/>
        <v>62557.545878955025</v>
      </c>
      <c r="I22" s="811">
        <f t="shared" si="1"/>
        <v>13076.358633686821</v>
      </c>
      <c r="J22" s="811">
        <f t="shared" si="1"/>
        <v>0</v>
      </c>
      <c r="K22" s="811">
        <f t="shared" si="1"/>
        <v>0</v>
      </c>
      <c r="L22" s="811">
        <f t="shared" si="1"/>
        <v>0</v>
      </c>
      <c r="M22" s="811">
        <f t="shared" si="1"/>
        <v>0</v>
      </c>
      <c r="N22" s="811">
        <f t="shared" si="1"/>
        <v>4471.1325257810995</v>
      </c>
      <c r="O22" s="811">
        <f t="shared" si="1"/>
        <v>0</v>
      </c>
      <c r="P22" s="811">
        <f t="shared" si="1"/>
        <v>0</v>
      </c>
      <c r="Q22" s="811">
        <f t="shared" si="1"/>
        <v>0</v>
      </c>
      <c r="R22" s="811">
        <f t="shared" si="1"/>
        <v>81711.509488425683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934.12961199999995</v>
      </c>
      <c r="D24" s="686">
        <f>+landbouw!C8</f>
        <v>0</v>
      </c>
      <c r="E24" s="686">
        <f>+landbouw!D8</f>
        <v>138.96375171800003</v>
      </c>
      <c r="F24" s="686">
        <f>+landbouw!E8</f>
        <v>29.153877152575948</v>
      </c>
      <c r="G24" s="686">
        <f>+landbouw!F8</f>
        <v>3301.3175288949383</v>
      </c>
      <c r="H24" s="686">
        <f>+landbouw!G8</f>
        <v>0</v>
      </c>
      <c r="I24" s="686">
        <f>+landbouw!H8</f>
        <v>0</v>
      </c>
      <c r="J24" s="686">
        <f>+landbouw!I8</f>
        <v>0</v>
      </c>
      <c r="K24" s="686">
        <f>+landbouw!J8</f>
        <v>257.35918623808521</v>
      </c>
      <c r="L24" s="686">
        <f>+landbouw!K8</f>
        <v>0</v>
      </c>
      <c r="M24" s="686">
        <f>+landbouw!L8</f>
        <v>0</v>
      </c>
      <c r="N24" s="686">
        <f>+landbouw!M8</f>
        <v>0</v>
      </c>
      <c r="O24" s="686">
        <f>+landbouw!N8</f>
        <v>0</v>
      </c>
      <c r="P24" s="686">
        <f>+landbouw!O8</f>
        <v>0</v>
      </c>
      <c r="Q24" s="687">
        <f>+landbouw!P8</f>
        <v>0</v>
      </c>
      <c r="R24" s="689">
        <f>SUM(C24:Q24)</f>
        <v>4660.9239560035994</v>
      </c>
      <c r="S24" s="67"/>
    </row>
    <row r="25" spans="1:19" s="448" customFormat="1" ht="15" thickBot="1">
      <c r="A25" s="830" t="s">
        <v>724</v>
      </c>
      <c r="B25" s="949"/>
      <c r="C25" s="950">
        <f>IF(Onbekend_ele_kWh="---",0,Onbekend_ele_kWh)/1000+IF(REST_rest_ele_kWh="---",0,REST_rest_ele_kWh)/1000</f>
        <v>6102.5875459999997</v>
      </c>
      <c r="D25" s="950"/>
      <c r="E25" s="950">
        <f>IF(onbekend_gas_kWh="---",0,onbekend_gas_kWh)/1000+IF(REST_rest_gas_kWh="---",0,REST_rest_gas_kWh)/1000</f>
        <v>11883.97414</v>
      </c>
      <c r="F25" s="950"/>
      <c r="G25" s="950"/>
      <c r="H25" s="950"/>
      <c r="I25" s="950"/>
      <c r="J25" s="950"/>
      <c r="K25" s="950"/>
      <c r="L25" s="950"/>
      <c r="M25" s="950"/>
      <c r="N25" s="950"/>
      <c r="O25" s="950"/>
      <c r="P25" s="950"/>
      <c r="Q25" s="951"/>
      <c r="R25" s="689">
        <f>SUM(C25:Q25)</f>
        <v>17986.561686000001</v>
      </c>
      <c r="S25" s="67"/>
    </row>
    <row r="26" spans="1:19" s="448" customFormat="1" ht="15.75" thickBot="1">
      <c r="A26" s="694" t="s">
        <v>725</v>
      </c>
      <c r="B26" s="816"/>
      <c r="C26" s="811">
        <f>SUM(C24:C25)</f>
        <v>7036.7171579999995</v>
      </c>
      <c r="D26" s="811">
        <f t="shared" ref="D26:R26" si="2">SUM(D24:D25)</f>
        <v>0</v>
      </c>
      <c r="E26" s="811">
        <f t="shared" si="2"/>
        <v>12022.937891718</v>
      </c>
      <c r="F26" s="811">
        <f t="shared" si="2"/>
        <v>29.153877152575948</v>
      </c>
      <c r="G26" s="811">
        <f t="shared" si="2"/>
        <v>3301.3175288949383</v>
      </c>
      <c r="H26" s="811">
        <f t="shared" si="2"/>
        <v>0</v>
      </c>
      <c r="I26" s="811">
        <f t="shared" si="2"/>
        <v>0</v>
      </c>
      <c r="J26" s="811">
        <f t="shared" si="2"/>
        <v>0</v>
      </c>
      <c r="K26" s="811">
        <f t="shared" si="2"/>
        <v>257.35918623808521</v>
      </c>
      <c r="L26" s="811">
        <f t="shared" si="2"/>
        <v>0</v>
      </c>
      <c r="M26" s="811">
        <f t="shared" si="2"/>
        <v>0</v>
      </c>
      <c r="N26" s="811">
        <f t="shared" si="2"/>
        <v>0</v>
      </c>
      <c r="O26" s="811">
        <f t="shared" si="2"/>
        <v>0</v>
      </c>
      <c r="P26" s="811">
        <f t="shared" si="2"/>
        <v>0</v>
      </c>
      <c r="Q26" s="811">
        <f t="shared" si="2"/>
        <v>0</v>
      </c>
      <c r="R26" s="811">
        <f t="shared" si="2"/>
        <v>22647.485642003601</v>
      </c>
      <c r="S26" s="67"/>
    </row>
    <row r="27" spans="1:19" s="448" customFormat="1" ht="17.25" thickTop="1" thickBot="1">
      <c r="A27" s="695" t="s">
        <v>115</v>
      </c>
      <c r="B27" s="803"/>
      <c r="C27" s="696">
        <f ca="1">C22+C16+C26</f>
        <v>68984.607594022731</v>
      </c>
      <c r="D27" s="696">
        <f t="shared" ref="D27:R27" ca="1" si="3">D22+D16+D26</f>
        <v>0</v>
      </c>
      <c r="E27" s="696">
        <f t="shared" ca="1" si="3"/>
        <v>122876.06418665225</v>
      </c>
      <c r="F27" s="696">
        <f t="shared" si="3"/>
        <v>3363.8035798696155</v>
      </c>
      <c r="G27" s="696">
        <f t="shared" ca="1" si="3"/>
        <v>7218.7270426873147</v>
      </c>
      <c r="H27" s="696">
        <f t="shared" si="3"/>
        <v>62557.545878955025</v>
      </c>
      <c r="I27" s="696">
        <f t="shared" si="3"/>
        <v>13076.358633686821</v>
      </c>
      <c r="J27" s="696">
        <f t="shared" si="3"/>
        <v>0</v>
      </c>
      <c r="K27" s="696">
        <f t="shared" si="3"/>
        <v>261.86769755544651</v>
      </c>
      <c r="L27" s="696">
        <f t="shared" si="3"/>
        <v>0</v>
      </c>
      <c r="M27" s="696">
        <f t="shared" ca="1" si="3"/>
        <v>0</v>
      </c>
      <c r="N27" s="696">
        <f t="shared" si="3"/>
        <v>4471.1325257810995</v>
      </c>
      <c r="O27" s="696">
        <f t="shared" ca="1" si="3"/>
        <v>2883.0146356611472</v>
      </c>
      <c r="P27" s="696">
        <f t="shared" si="3"/>
        <v>263.4906344827167</v>
      </c>
      <c r="Q27" s="696">
        <f t="shared" si="3"/>
        <v>536.70929176421578</v>
      </c>
      <c r="R27" s="696">
        <f t="shared" ca="1" si="3"/>
        <v>286493.32170111837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6200.4943206979997</v>
      </c>
      <c r="D40" s="686">
        <f ca="1">tertiair!C20</f>
        <v>0</v>
      </c>
      <c r="E40" s="686">
        <f ca="1">tertiair!D20</f>
        <v>9090.6153617619129</v>
      </c>
      <c r="F40" s="686">
        <f>tertiair!E20</f>
        <v>71.070362522620215</v>
      </c>
      <c r="G40" s="686">
        <f ca="1">tertiair!F20</f>
        <v>883.34616774309382</v>
      </c>
      <c r="H40" s="686">
        <f>tertiair!G20</f>
        <v>0</v>
      </c>
      <c r="I40" s="686">
        <f>tertiair!H20</f>
        <v>0</v>
      </c>
      <c r="J40" s="686">
        <f>tertiair!I20</f>
        <v>0</v>
      </c>
      <c r="K40" s="686">
        <f>tertiair!J20</f>
        <v>1.2933096955474043E-2</v>
      </c>
      <c r="L40" s="686">
        <f>tertiair!K20</f>
        <v>0</v>
      </c>
      <c r="M40" s="686">
        <f ca="1">tertiair!L20</f>
        <v>0</v>
      </c>
      <c r="N40" s="686">
        <f>tertiair!M20</f>
        <v>0</v>
      </c>
      <c r="O40" s="686">
        <f ca="1">tertiair!N20</f>
        <v>0</v>
      </c>
      <c r="P40" s="686">
        <f>tertiair!O20</f>
        <v>0</v>
      </c>
      <c r="Q40" s="769">
        <f>tertiair!P20</f>
        <v>0</v>
      </c>
      <c r="R40" s="849">
        <f t="shared" ca="1" si="4"/>
        <v>16245.53914582258</v>
      </c>
    </row>
    <row r="41" spans="1:18">
      <c r="A41" s="821" t="s">
        <v>224</v>
      </c>
      <c r="B41" s="828"/>
      <c r="C41" s="686">
        <f ca="1">huishoudens!B12</f>
        <v>6406.1095761673732</v>
      </c>
      <c r="D41" s="686">
        <f ca="1">huishoudens!C12</f>
        <v>0</v>
      </c>
      <c r="E41" s="686">
        <f>huishoudens!D12</f>
        <v>12714.463934671399</v>
      </c>
      <c r="F41" s="686">
        <f>huishoudens!E12</f>
        <v>614.65496675409543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19735.228477592871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266.727181039264</v>
      </c>
      <c r="D43" s="686">
        <f ca="1">industrie!C22</f>
        <v>0</v>
      </c>
      <c r="E43" s="686">
        <f>industrie!D22</f>
        <v>558.96381122423611</v>
      </c>
      <c r="F43" s="686">
        <f>industrie!E22</f>
        <v>44.320504132711889</v>
      </c>
      <c r="G43" s="686">
        <f>industrie!F22</f>
        <v>162.60217243947079</v>
      </c>
      <c r="H43" s="686">
        <f>industrie!G22</f>
        <v>0</v>
      </c>
      <c r="I43" s="686">
        <f>industrie!H22</f>
        <v>0</v>
      </c>
      <c r="J43" s="686">
        <f>industrie!I22</f>
        <v>0</v>
      </c>
      <c r="K43" s="686">
        <f>industrie!J22</f>
        <v>1.5830799093904222</v>
      </c>
      <c r="L43" s="686">
        <f>industrie!K22</f>
        <v>0</v>
      </c>
      <c r="M43" s="686">
        <f>industrie!L22</f>
        <v>0</v>
      </c>
      <c r="N43" s="686">
        <f>industrie!M22</f>
        <v>0</v>
      </c>
      <c r="O43" s="686">
        <f>industrie!N22</f>
        <v>0</v>
      </c>
      <c r="P43" s="686">
        <f>industrie!O22</f>
        <v>0</v>
      </c>
      <c r="Q43" s="769">
        <f>industrie!P22</f>
        <v>0</v>
      </c>
      <c r="R43" s="848">
        <f t="shared" ca="1" si="4"/>
        <v>1034.1967487450731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12873.331077904637</v>
      </c>
      <c r="D46" s="722">
        <f t="shared" ref="D46:Q46" ca="1" si="5">SUM(D39:D45)</f>
        <v>0</v>
      </c>
      <c r="E46" s="722">
        <f t="shared" ca="1" si="5"/>
        <v>22364.043107657548</v>
      </c>
      <c r="F46" s="722">
        <f t="shared" si="5"/>
        <v>730.04583340942759</v>
      </c>
      <c r="G46" s="722">
        <f t="shared" ca="1" si="5"/>
        <v>1045.9483401825646</v>
      </c>
      <c r="H46" s="722">
        <f t="shared" si="5"/>
        <v>0</v>
      </c>
      <c r="I46" s="722">
        <f t="shared" si="5"/>
        <v>0</v>
      </c>
      <c r="J46" s="722">
        <f t="shared" si="5"/>
        <v>0</v>
      </c>
      <c r="K46" s="722">
        <f t="shared" si="5"/>
        <v>1.5960130063458962</v>
      </c>
      <c r="L46" s="722">
        <f t="shared" si="5"/>
        <v>0</v>
      </c>
      <c r="M46" s="722">
        <f t="shared" ca="1" si="5"/>
        <v>0</v>
      </c>
      <c r="N46" s="722">
        <f t="shared" si="5"/>
        <v>0</v>
      </c>
      <c r="O46" s="722">
        <f t="shared" ca="1" si="5"/>
        <v>0</v>
      </c>
      <c r="P46" s="722">
        <f t="shared" si="5"/>
        <v>0</v>
      </c>
      <c r="Q46" s="722">
        <f t="shared" si="5"/>
        <v>0</v>
      </c>
      <c r="R46" s="722">
        <f ca="1">SUM(R39:R45)</f>
        <v>37014.964372160524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277.83146794465864</v>
      </c>
      <c r="D49" s="686">
        <f ca="1">transport!C58</f>
        <v>0</v>
      </c>
      <c r="E49" s="686">
        <f>transport!D58</f>
        <v>0</v>
      </c>
      <c r="F49" s="686">
        <f>transport!E58</f>
        <v>0</v>
      </c>
      <c r="G49" s="686">
        <f>transport!F58</f>
        <v>0</v>
      </c>
      <c r="H49" s="686">
        <f>transport!G58</f>
        <v>75.363929025484168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353.19539697014284</v>
      </c>
    </row>
    <row r="50" spans="1:18">
      <c r="A50" s="824" t="s">
        <v>306</v>
      </c>
      <c r="B50" s="834"/>
      <c r="C50" s="692">
        <f ca="1">transport!B18</f>
        <v>8.4920228447514923</v>
      </c>
      <c r="D50" s="692">
        <f>transport!C18</f>
        <v>0</v>
      </c>
      <c r="E50" s="692">
        <f>transport!D18</f>
        <v>28.28840391916696</v>
      </c>
      <c r="F50" s="692">
        <f>transport!E18</f>
        <v>26.919649107340348</v>
      </c>
      <c r="G50" s="692">
        <f>transport!F18</f>
        <v>0</v>
      </c>
      <c r="H50" s="692">
        <f>transport!G18</f>
        <v>16627.500820655507</v>
      </c>
      <c r="I50" s="692">
        <f>transport!H18</f>
        <v>3256.0132997880182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19947.214196314784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286.32349078941013</v>
      </c>
      <c r="D52" s="722">
        <f t="shared" ref="D52:Q52" ca="1" si="6">SUM(D48:D51)</f>
        <v>0</v>
      </c>
      <c r="E52" s="722">
        <f t="shared" si="6"/>
        <v>28.28840391916696</v>
      </c>
      <c r="F52" s="722">
        <f t="shared" si="6"/>
        <v>26.919649107340348</v>
      </c>
      <c r="G52" s="722">
        <f t="shared" si="6"/>
        <v>0</v>
      </c>
      <c r="H52" s="722">
        <f t="shared" si="6"/>
        <v>16702.86474968099</v>
      </c>
      <c r="I52" s="722">
        <f t="shared" si="6"/>
        <v>3256.0132997880182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20300.409593284927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198.43812161777686</v>
      </c>
      <c r="D54" s="692">
        <f ca="1">+landbouw!C12</f>
        <v>0</v>
      </c>
      <c r="E54" s="692">
        <f>+landbouw!D12</f>
        <v>28.070677847036006</v>
      </c>
      <c r="F54" s="692">
        <f>+landbouw!E12</f>
        <v>6.6179301136347402</v>
      </c>
      <c r="G54" s="692">
        <f>+landbouw!F12</f>
        <v>881.4517802149486</v>
      </c>
      <c r="H54" s="692">
        <f>+landbouw!G12</f>
        <v>0</v>
      </c>
      <c r="I54" s="692">
        <f>+landbouw!H12</f>
        <v>0</v>
      </c>
      <c r="J54" s="692">
        <f>+landbouw!I12</f>
        <v>0</v>
      </c>
      <c r="K54" s="692">
        <f>+landbouw!J12</f>
        <v>91.105151928282154</v>
      </c>
      <c r="L54" s="692">
        <f>+landbouw!K12</f>
        <v>0</v>
      </c>
      <c r="M54" s="692">
        <f>+landbouw!L12</f>
        <v>0</v>
      </c>
      <c r="N54" s="692">
        <f>+landbouw!M12</f>
        <v>0</v>
      </c>
      <c r="O54" s="692">
        <f>+landbouw!N12</f>
        <v>0</v>
      </c>
      <c r="P54" s="692">
        <f>+landbouw!O12</f>
        <v>0</v>
      </c>
      <c r="Q54" s="693">
        <f>+landbouw!P12</f>
        <v>0</v>
      </c>
      <c r="R54" s="721">
        <f ca="1">SUM(C54:Q54)</f>
        <v>1205.6836617216784</v>
      </c>
    </row>
    <row r="55" spans="1:18" ht="15" thickBot="1">
      <c r="A55" s="824" t="s">
        <v>724</v>
      </c>
      <c r="B55" s="834"/>
      <c r="C55" s="692">
        <f ca="1">C25*'EF ele_warmte'!B12</f>
        <v>1296.378997175264</v>
      </c>
      <c r="D55" s="692"/>
      <c r="E55" s="692">
        <f>E25*EF_CO2_aardgas</f>
        <v>2400.56277628</v>
      </c>
      <c r="F55" s="692"/>
      <c r="G55" s="692"/>
      <c r="H55" s="692"/>
      <c r="I55" s="692"/>
      <c r="J55" s="692"/>
      <c r="K55" s="692"/>
      <c r="L55" s="692"/>
      <c r="M55" s="692"/>
      <c r="N55" s="692"/>
      <c r="O55" s="692"/>
      <c r="P55" s="692"/>
      <c r="Q55" s="693"/>
      <c r="R55" s="721">
        <f ca="1">SUM(C55:Q55)</f>
        <v>3696.941773455264</v>
      </c>
    </row>
    <row r="56" spans="1:18" ht="15.75" thickBot="1">
      <c r="A56" s="822" t="s">
        <v>725</v>
      </c>
      <c r="B56" s="835"/>
      <c r="C56" s="722">
        <f ca="1">SUM(C54:C55)</f>
        <v>1494.8171187930409</v>
      </c>
      <c r="D56" s="722">
        <f t="shared" ref="D56:Q56" ca="1" si="7">SUM(D54:D55)</f>
        <v>0</v>
      </c>
      <c r="E56" s="722">
        <f t="shared" si="7"/>
        <v>2428.6334541270362</v>
      </c>
      <c r="F56" s="722">
        <f t="shared" si="7"/>
        <v>6.6179301136347402</v>
      </c>
      <c r="G56" s="722">
        <f t="shared" si="7"/>
        <v>881.4517802149486</v>
      </c>
      <c r="H56" s="722">
        <f t="shared" si="7"/>
        <v>0</v>
      </c>
      <c r="I56" s="722">
        <f t="shared" si="7"/>
        <v>0</v>
      </c>
      <c r="J56" s="722">
        <f t="shared" si="7"/>
        <v>0</v>
      </c>
      <c r="K56" s="722">
        <f t="shared" si="7"/>
        <v>91.105151928282154</v>
      </c>
      <c r="L56" s="722">
        <f t="shared" si="7"/>
        <v>0</v>
      </c>
      <c r="M56" s="722">
        <f t="shared" si="7"/>
        <v>0</v>
      </c>
      <c r="N56" s="722">
        <f t="shared" si="7"/>
        <v>0</v>
      </c>
      <c r="O56" s="722">
        <f t="shared" si="7"/>
        <v>0</v>
      </c>
      <c r="P56" s="722">
        <f t="shared" si="7"/>
        <v>0</v>
      </c>
      <c r="Q56" s="723">
        <f t="shared" si="7"/>
        <v>0</v>
      </c>
      <c r="R56" s="724">
        <f ca="1">SUM(R54:R55)</f>
        <v>4902.6254351769421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14654.471687487086</v>
      </c>
      <c r="D61" s="730">
        <f t="shared" ref="D61:Q61" ca="1" si="8">D46+D52+D56</f>
        <v>0</v>
      </c>
      <c r="E61" s="730">
        <f t="shared" ca="1" si="8"/>
        <v>24820.964965703752</v>
      </c>
      <c r="F61" s="730">
        <f t="shared" si="8"/>
        <v>763.58341263040268</v>
      </c>
      <c r="G61" s="730">
        <f t="shared" ca="1" si="8"/>
        <v>1927.4001203975131</v>
      </c>
      <c r="H61" s="730">
        <f t="shared" si="8"/>
        <v>16702.86474968099</v>
      </c>
      <c r="I61" s="730">
        <f t="shared" si="8"/>
        <v>3256.0132997880182</v>
      </c>
      <c r="J61" s="730">
        <f t="shared" si="8"/>
        <v>0</v>
      </c>
      <c r="K61" s="730">
        <f t="shared" si="8"/>
        <v>92.701164934628054</v>
      </c>
      <c r="L61" s="730">
        <f t="shared" si="8"/>
        <v>0</v>
      </c>
      <c r="M61" s="730">
        <f t="shared" ca="1" si="8"/>
        <v>0</v>
      </c>
      <c r="N61" s="730">
        <f t="shared" si="8"/>
        <v>0</v>
      </c>
      <c r="O61" s="730">
        <f t="shared" ca="1" si="8"/>
        <v>0</v>
      </c>
      <c r="P61" s="730">
        <f t="shared" si="8"/>
        <v>0</v>
      </c>
      <c r="Q61" s="730">
        <f t="shared" si="8"/>
        <v>0</v>
      </c>
      <c r="R61" s="730">
        <f ca="1">R46+R52+R56</f>
        <v>62217.999400622401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0.21243103640929958</v>
      </c>
      <c r="D63" s="776">
        <f t="shared" ca="1" si="9"/>
        <v>0</v>
      </c>
      <c r="E63" s="975">
        <f t="shared" ca="1" si="9"/>
        <v>0.20199999999999999</v>
      </c>
      <c r="F63" s="776">
        <f t="shared" si="9"/>
        <v>0.22699999999999998</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2674.7809538096758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2674.7809538096758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30156.184729167635</v>
      </c>
      <c r="C4" s="452">
        <f>huishoudens!C8</f>
        <v>0</v>
      </c>
      <c r="D4" s="452">
        <f>huishoudens!D8</f>
        <v>62942.890765699995</v>
      </c>
      <c r="E4" s="452">
        <f>huishoudens!E8</f>
        <v>2707.7311310753103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1364.3763501129872</v>
      </c>
      <c r="O4" s="452">
        <f>huishoudens!O8</f>
        <v>234.10706988766975</v>
      </c>
      <c r="P4" s="453">
        <f>huishoudens!P8</f>
        <v>326.5527385382357</v>
      </c>
      <c r="Q4" s="454">
        <f>SUM(B4:P4)</f>
        <v>97731.842784481836</v>
      </c>
    </row>
    <row r="5" spans="1:17">
      <c r="A5" s="451" t="s">
        <v>155</v>
      </c>
      <c r="B5" s="452">
        <f ca="1">tertiair!B16</f>
        <v>27897.908405000002</v>
      </c>
      <c r="C5" s="452">
        <f ca="1">tertiair!C16</f>
        <v>0</v>
      </c>
      <c r="D5" s="452">
        <f ca="1">tertiair!D16</f>
        <v>45003.046345356001</v>
      </c>
      <c r="E5" s="452">
        <f>tertiair!E16</f>
        <v>313.08529745647672</v>
      </c>
      <c r="F5" s="452">
        <f ca="1">tertiair!F16</f>
        <v>3308.4126132700139</v>
      </c>
      <c r="G5" s="452">
        <f>tertiair!G16</f>
        <v>0</v>
      </c>
      <c r="H5" s="452">
        <f>tertiair!H16</f>
        <v>0</v>
      </c>
      <c r="I5" s="452">
        <f>tertiair!I16</f>
        <v>0</v>
      </c>
      <c r="J5" s="452">
        <f>tertiair!J16</f>
        <v>3.6534172190604647E-2</v>
      </c>
      <c r="K5" s="452">
        <f>tertiair!K16</f>
        <v>0</v>
      </c>
      <c r="L5" s="452">
        <f ca="1">tertiair!L16</f>
        <v>0</v>
      </c>
      <c r="M5" s="452">
        <f>tertiair!M16</f>
        <v>0</v>
      </c>
      <c r="N5" s="452">
        <f ca="1">tertiair!N16</f>
        <v>1441.6701321633075</v>
      </c>
      <c r="O5" s="452">
        <f>tertiair!O16</f>
        <v>29.383564595046927</v>
      </c>
      <c r="P5" s="453">
        <f>tertiair!P16</f>
        <v>210.15655322598008</v>
      </c>
      <c r="Q5" s="451">
        <f t="shared" ref="Q5:Q14" ca="1" si="0">SUM(B5:P5)</f>
        <v>78203.699445239021</v>
      </c>
    </row>
    <row r="6" spans="1:17">
      <c r="A6" s="451" t="s">
        <v>193</v>
      </c>
      <c r="B6" s="452">
        <f>'openbare verlichting'!B8</f>
        <v>1290.3610000000001</v>
      </c>
      <c r="C6" s="452"/>
      <c r="D6" s="452"/>
      <c r="E6" s="452"/>
      <c r="F6" s="452"/>
      <c r="G6" s="452"/>
      <c r="H6" s="452"/>
      <c r="I6" s="452"/>
      <c r="J6" s="452"/>
      <c r="K6" s="452"/>
      <c r="L6" s="452"/>
      <c r="M6" s="452"/>
      <c r="N6" s="452"/>
      <c r="O6" s="452"/>
      <c r="P6" s="453"/>
      <c r="Q6" s="451">
        <f t="shared" si="0"/>
        <v>1290.3610000000001</v>
      </c>
    </row>
    <row r="7" spans="1:17">
      <c r="A7" s="451" t="s">
        <v>111</v>
      </c>
      <c r="B7" s="452">
        <f>landbouw!B8</f>
        <v>934.12961199999995</v>
      </c>
      <c r="C7" s="452">
        <f>landbouw!C8</f>
        <v>0</v>
      </c>
      <c r="D7" s="452">
        <f>landbouw!D8</f>
        <v>138.96375171800003</v>
      </c>
      <c r="E7" s="452">
        <f>landbouw!E8</f>
        <v>29.153877152575948</v>
      </c>
      <c r="F7" s="452">
        <f>landbouw!F8</f>
        <v>3301.3175288949383</v>
      </c>
      <c r="G7" s="452">
        <f>landbouw!G8</f>
        <v>0</v>
      </c>
      <c r="H7" s="452">
        <f>landbouw!H8</f>
        <v>0</v>
      </c>
      <c r="I7" s="452">
        <f>landbouw!I8</f>
        <v>0</v>
      </c>
      <c r="J7" s="452">
        <f>landbouw!J8</f>
        <v>257.35918623808521</v>
      </c>
      <c r="K7" s="452">
        <f>landbouw!K8</f>
        <v>0</v>
      </c>
      <c r="L7" s="452">
        <f>landbouw!L8</f>
        <v>0</v>
      </c>
      <c r="M7" s="452">
        <f>landbouw!M8</f>
        <v>0</v>
      </c>
      <c r="N7" s="452">
        <f>landbouw!N8</f>
        <v>0</v>
      </c>
      <c r="O7" s="452">
        <f>landbouw!O8</f>
        <v>0</v>
      </c>
      <c r="P7" s="453">
        <f>landbouw!P8</f>
        <v>0</v>
      </c>
      <c r="Q7" s="451">
        <f t="shared" si="0"/>
        <v>4660.9239560035994</v>
      </c>
    </row>
    <row r="8" spans="1:17">
      <c r="A8" s="451" t="s">
        <v>625</v>
      </c>
      <c r="B8" s="452">
        <f>industrie!B18</f>
        <v>1255.594218</v>
      </c>
      <c r="C8" s="452">
        <f>industrie!C18</f>
        <v>0</v>
      </c>
      <c r="D8" s="452">
        <f>industrie!D18</f>
        <v>2767.1475803180001</v>
      </c>
      <c r="E8" s="452">
        <f>industrie!E18</f>
        <v>195.24451159784974</v>
      </c>
      <c r="F8" s="452">
        <f>industrie!F18</f>
        <v>608.99690052236247</v>
      </c>
      <c r="G8" s="452">
        <f>industrie!G18</f>
        <v>0</v>
      </c>
      <c r="H8" s="452">
        <f>industrie!H18</f>
        <v>0</v>
      </c>
      <c r="I8" s="452">
        <f>industrie!I18</f>
        <v>0</v>
      </c>
      <c r="J8" s="452">
        <f>industrie!J18</f>
        <v>4.4719771451706842</v>
      </c>
      <c r="K8" s="452">
        <f>industrie!K18</f>
        <v>0</v>
      </c>
      <c r="L8" s="452">
        <f>industrie!L18</f>
        <v>0</v>
      </c>
      <c r="M8" s="452">
        <f>industrie!M18</f>
        <v>0</v>
      </c>
      <c r="N8" s="452">
        <f>industrie!N18</f>
        <v>76.968153384852286</v>
      </c>
      <c r="O8" s="452">
        <f>industrie!O18</f>
        <v>0</v>
      </c>
      <c r="P8" s="453">
        <f>industrie!P18</f>
        <v>0</v>
      </c>
      <c r="Q8" s="451">
        <f t="shared" si="0"/>
        <v>4908.4233409682365</v>
      </c>
    </row>
    <row r="9" spans="1:17" s="457" customFormat="1">
      <c r="A9" s="455" t="s">
        <v>551</v>
      </c>
      <c r="B9" s="456">
        <f>transport!B14</f>
        <v>39.975433855105642</v>
      </c>
      <c r="C9" s="456">
        <f>transport!C14</f>
        <v>0</v>
      </c>
      <c r="D9" s="456">
        <f>transport!D14</f>
        <v>140.04160356023246</v>
      </c>
      <c r="E9" s="456">
        <f>transport!E14</f>
        <v>118.58876258740241</v>
      </c>
      <c r="F9" s="456">
        <f>transport!F14</f>
        <v>0</v>
      </c>
      <c r="G9" s="456">
        <f>transport!G14</f>
        <v>62275.283972492536</v>
      </c>
      <c r="H9" s="456">
        <f>transport!H14</f>
        <v>13076.358633686821</v>
      </c>
      <c r="I9" s="456">
        <f>transport!I14</f>
        <v>0</v>
      </c>
      <c r="J9" s="456">
        <f>transport!J14</f>
        <v>0</v>
      </c>
      <c r="K9" s="456">
        <f>transport!K14</f>
        <v>0</v>
      </c>
      <c r="L9" s="456">
        <f>transport!L14</f>
        <v>0</v>
      </c>
      <c r="M9" s="456">
        <f>transport!M14</f>
        <v>4455.4468459999625</v>
      </c>
      <c r="N9" s="456">
        <f>transport!N14</f>
        <v>0</v>
      </c>
      <c r="O9" s="456">
        <f>transport!O14</f>
        <v>0</v>
      </c>
      <c r="P9" s="456">
        <f>transport!P14</f>
        <v>0</v>
      </c>
      <c r="Q9" s="455">
        <f>SUM(B9:P9)</f>
        <v>80105.695252182064</v>
      </c>
    </row>
    <row r="10" spans="1:17">
      <c r="A10" s="451" t="s">
        <v>541</v>
      </c>
      <c r="B10" s="452">
        <f>transport!B54</f>
        <v>1307.8666499999999</v>
      </c>
      <c r="C10" s="452">
        <f>transport!C54</f>
        <v>0</v>
      </c>
      <c r="D10" s="452">
        <f>transport!D54</f>
        <v>0</v>
      </c>
      <c r="E10" s="452">
        <f>transport!E54</f>
        <v>0</v>
      </c>
      <c r="F10" s="452">
        <f>transport!F54</f>
        <v>0</v>
      </c>
      <c r="G10" s="452">
        <f>transport!G54</f>
        <v>282.2619064624875</v>
      </c>
      <c r="H10" s="452">
        <f>transport!H54</f>
        <v>0</v>
      </c>
      <c r="I10" s="452">
        <f>transport!I54</f>
        <v>0</v>
      </c>
      <c r="J10" s="452">
        <f>transport!J54</f>
        <v>0</v>
      </c>
      <c r="K10" s="452">
        <f>transport!K54</f>
        <v>0</v>
      </c>
      <c r="L10" s="452">
        <f>transport!L54</f>
        <v>0</v>
      </c>
      <c r="M10" s="452">
        <f>transport!M54</f>
        <v>15.685679781136997</v>
      </c>
      <c r="N10" s="452">
        <f>transport!N54</f>
        <v>0</v>
      </c>
      <c r="O10" s="452">
        <f>transport!O54</f>
        <v>0</v>
      </c>
      <c r="P10" s="453">
        <f>transport!P54</f>
        <v>0</v>
      </c>
      <c r="Q10" s="451">
        <f t="shared" si="0"/>
        <v>1605.8142362436245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6102.5875459999997</v>
      </c>
      <c r="C14" s="459"/>
      <c r="D14" s="459">
        <f>'SEAP template'!E25</f>
        <v>11883.97414</v>
      </c>
      <c r="E14" s="459"/>
      <c r="F14" s="459"/>
      <c r="G14" s="459"/>
      <c r="H14" s="459"/>
      <c r="I14" s="459"/>
      <c r="J14" s="459"/>
      <c r="K14" s="459"/>
      <c r="L14" s="459"/>
      <c r="M14" s="459"/>
      <c r="N14" s="459"/>
      <c r="O14" s="459"/>
      <c r="P14" s="460"/>
      <c r="Q14" s="451">
        <f t="shared" si="0"/>
        <v>17986.561686000001</v>
      </c>
    </row>
    <row r="15" spans="1:17" s="463" customFormat="1">
      <c r="A15" s="461" t="s">
        <v>545</v>
      </c>
      <c r="B15" s="462">
        <f ca="1">SUM(B4:B14)</f>
        <v>68984.607594022731</v>
      </c>
      <c r="C15" s="462">
        <f t="shared" ref="C15:Q15" ca="1" si="1">SUM(C4:C14)</f>
        <v>0</v>
      </c>
      <c r="D15" s="462">
        <f t="shared" ca="1" si="1"/>
        <v>122876.06418665225</v>
      </c>
      <c r="E15" s="462">
        <f t="shared" si="1"/>
        <v>3363.8035798696155</v>
      </c>
      <c r="F15" s="462">
        <f t="shared" ca="1" si="1"/>
        <v>7218.7270426873147</v>
      </c>
      <c r="G15" s="462">
        <f t="shared" si="1"/>
        <v>62557.545878955025</v>
      </c>
      <c r="H15" s="462">
        <f t="shared" si="1"/>
        <v>13076.358633686821</v>
      </c>
      <c r="I15" s="462">
        <f t="shared" si="1"/>
        <v>0</v>
      </c>
      <c r="J15" s="462">
        <f t="shared" si="1"/>
        <v>261.86769755544651</v>
      </c>
      <c r="K15" s="462">
        <f t="shared" si="1"/>
        <v>0</v>
      </c>
      <c r="L15" s="462">
        <f t="shared" ca="1" si="1"/>
        <v>0</v>
      </c>
      <c r="M15" s="462">
        <f t="shared" si="1"/>
        <v>4471.1325257810995</v>
      </c>
      <c r="N15" s="462">
        <f t="shared" ca="1" si="1"/>
        <v>2883.0146356611472</v>
      </c>
      <c r="O15" s="462">
        <f t="shared" si="1"/>
        <v>263.4906344827167</v>
      </c>
      <c r="P15" s="462">
        <f t="shared" si="1"/>
        <v>536.70929176421578</v>
      </c>
      <c r="Q15" s="462">
        <f t="shared" ca="1" si="1"/>
        <v>286493.32170111837</v>
      </c>
    </row>
    <row r="17" spans="1:17">
      <c r="A17" s="464" t="s">
        <v>546</v>
      </c>
      <c r="B17" s="781">
        <f ca="1">huishoudens!B10</f>
        <v>0.21243103640929956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6406.1095761673732</v>
      </c>
      <c r="C22" s="452">
        <f t="shared" ref="C22:C32" ca="1" si="3">C4*$C$17</f>
        <v>0</v>
      </c>
      <c r="D22" s="452">
        <f t="shared" ref="D22:D32" si="4">D4*$D$17</f>
        <v>12714.463934671399</v>
      </c>
      <c r="E22" s="452">
        <f t="shared" ref="E22:E32" si="5">E4*$E$17</f>
        <v>614.65496675409543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19735.228477592871</v>
      </c>
    </row>
    <row r="23" spans="1:17">
      <c r="A23" s="451" t="s">
        <v>155</v>
      </c>
      <c r="B23" s="452">
        <f t="shared" ca="1" si="2"/>
        <v>5926.3815961258597</v>
      </c>
      <c r="C23" s="452">
        <f t="shared" ca="1" si="3"/>
        <v>0</v>
      </c>
      <c r="D23" s="452">
        <f t="shared" ca="1" si="4"/>
        <v>9090.6153617619129</v>
      </c>
      <c r="E23" s="452">
        <f t="shared" si="5"/>
        <v>71.070362522620215</v>
      </c>
      <c r="F23" s="452">
        <f t="shared" ca="1" si="6"/>
        <v>883.34616774309382</v>
      </c>
      <c r="G23" s="452">
        <f t="shared" si="7"/>
        <v>0</v>
      </c>
      <c r="H23" s="452">
        <f t="shared" si="8"/>
        <v>0</v>
      </c>
      <c r="I23" s="452">
        <f t="shared" si="9"/>
        <v>0</v>
      </c>
      <c r="J23" s="452">
        <f t="shared" si="10"/>
        <v>1.2933096955474043E-2</v>
      </c>
      <c r="K23" s="452">
        <f t="shared" si="11"/>
        <v>0</v>
      </c>
      <c r="L23" s="452">
        <f t="shared" ca="1" si="12"/>
        <v>0</v>
      </c>
      <c r="M23" s="452">
        <f t="shared" si="13"/>
        <v>0</v>
      </c>
      <c r="N23" s="452">
        <f t="shared" ca="1" si="14"/>
        <v>0</v>
      </c>
      <c r="O23" s="452">
        <f t="shared" si="15"/>
        <v>0</v>
      </c>
      <c r="P23" s="453">
        <f t="shared" si="16"/>
        <v>0</v>
      </c>
      <c r="Q23" s="451">
        <f t="shared" ref="Q23:Q31" ca="1" si="17">SUM(B23:P23)</f>
        <v>15971.42642125044</v>
      </c>
    </row>
    <row r="24" spans="1:17">
      <c r="A24" s="451" t="s">
        <v>193</v>
      </c>
      <c r="B24" s="452">
        <f t="shared" ca="1" si="2"/>
        <v>274.11272457214022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274.11272457214022</v>
      </c>
    </row>
    <row r="25" spans="1:17">
      <c r="A25" s="451" t="s">
        <v>111</v>
      </c>
      <c r="B25" s="452">
        <f t="shared" ca="1" si="2"/>
        <v>198.43812161777686</v>
      </c>
      <c r="C25" s="452">
        <f t="shared" ca="1" si="3"/>
        <v>0</v>
      </c>
      <c r="D25" s="452">
        <f t="shared" si="4"/>
        <v>28.070677847036006</v>
      </c>
      <c r="E25" s="452">
        <f t="shared" si="5"/>
        <v>6.6179301136347402</v>
      </c>
      <c r="F25" s="452">
        <f t="shared" si="6"/>
        <v>881.4517802149486</v>
      </c>
      <c r="G25" s="452">
        <f t="shared" si="7"/>
        <v>0</v>
      </c>
      <c r="H25" s="452">
        <f t="shared" si="8"/>
        <v>0</v>
      </c>
      <c r="I25" s="452">
        <f t="shared" si="9"/>
        <v>0</v>
      </c>
      <c r="J25" s="452">
        <f t="shared" si="10"/>
        <v>91.105151928282154</v>
      </c>
      <c r="K25" s="452">
        <f t="shared" si="11"/>
        <v>0</v>
      </c>
      <c r="L25" s="452">
        <f t="shared" si="12"/>
        <v>0</v>
      </c>
      <c r="M25" s="452">
        <f t="shared" si="13"/>
        <v>0</v>
      </c>
      <c r="N25" s="452">
        <f t="shared" si="14"/>
        <v>0</v>
      </c>
      <c r="O25" s="452">
        <f t="shared" si="15"/>
        <v>0</v>
      </c>
      <c r="P25" s="453">
        <f t="shared" si="16"/>
        <v>0</v>
      </c>
      <c r="Q25" s="451">
        <f t="shared" ca="1" si="17"/>
        <v>1205.6836617216784</v>
      </c>
    </row>
    <row r="26" spans="1:17">
      <c r="A26" s="451" t="s">
        <v>625</v>
      </c>
      <c r="B26" s="452">
        <f t="shared" ca="1" si="2"/>
        <v>266.727181039264</v>
      </c>
      <c r="C26" s="452">
        <f t="shared" ca="1" si="3"/>
        <v>0</v>
      </c>
      <c r="D26" s="452">
        <f t="shared" si="4"/>
        <v>558.96381122423611</v>
      </c>
      <c r="E26" s="452">
        <f t="shared" si="5"/>
        <v>44.320504132711889</v>
      </c>
      <c r="F26" s="452">
        <f t="shared" si="6"/>
        <v>162.60217243947079</v>
      </c>
      <c r="G26" s="452">
        <f t="shared" si="7"/>
        <v>0</v>
      </c>
      <c r="H26" s="452">
        <f t="shared" si="8"/>
        <v>0</v>
      </c>
      <c r="I26" s="452">
        <f t="shared" si="9"/>
        <v>0</v>
      </c>
      <c r="J26" s="452">
        <f t="shared" si="10"/>
        <v>1.5830799093904222</v>
      </c>
      <c r="K26" s="452">
        <f t="shared" si="11"/>
        <v>0</v>
      </c>
      <c r="L26" s="452">
        <f t="shared" si="12"/>
        <v>0</v>
      </c>
      <c r="M26" s="452">
        <f t="shared" si="13"/>
        <v>0</v>
      </c>
      <c r="N26" s="452">
        <f t="shared" si="14"/>
        <v>0</v>
      </c>
      <c r="O26" s="452">
        <f t="shared" si="15"/>
        <v>0</v>
      </c>
      <c r="P26" s="453">
        <f t="shared" si="16"/>
        <v>0</v>
      </c>
      <c r="Q26" s="451">
        <f t="shared" ca="1" si="17"/>
        <v>1034.1967487450731</v>
      </c>
    </row>
    <row r="27" spans="1:17" s="457" customFormat="1">
      <c r="A27" s="455" t="s">
        <v>551</v>
      </c>
      <c r="B27" s="775">
        <f t="shared" ca="1" si="2"/>
        <v>8.4920228447514923</v>
      </c>
      <c r="C27" s="456">
        <f t="shared" ca="1" si="3"/>
        <v>0</v>
      </c>
      <c r="D27" s="456">
        <f t="shared" si="4"/>
        <v>28.28840391916696</v>
      </c>
      <c r="E27" s="456">
        <f t="shared" si="5"/>
        <v>26.919649107340348</v>
      </c>
      <c r="F27" s="456">
        <f t="shared" si="6"/>
        <v>0</v>
      </c>
      <c r="G27" s="456">
        <f t="shared" si="7"/>
        <v>16627.500820655507</v>
      </c>
      <c r="H27" s="456">
        <f t="shared" si="8"/>
        <v>3256.0132997880182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19947.214196314784</v>
      </c>
    </row>
    <row r="28" spans="1:17" ht="16.5" customHeight="1">
      <c r="A28" s="451" t="s">
        <v>541</v>
      </c>
      <c r="B28" s="452">
        <f t="shared" ca="1" si="2"/>
        <v>277.83146794465864</v>
      </c>
      <c r="C28" s="452">
        <f t="shared" ca="1" si="3"/>
        <v>0</v>
      </c>
      <c r="D28" s="452">
        <f t="shared" si="4"/>
        <v>0</v>
      </c>
      <c r="E28" s="452">
        <f t="shared" si="5"/>
        <v>0</v>
      </c>
      <c r="F28" s="452">
        <f t="shared" si="6"/>
        <v>0</v>
      </c>
      <c r="G28" s="452">
        <f t="shared" si="7"/>
        <v>75.363929025484168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353.19539697014284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1296.378997175264</v>
      </c>
      <c r="C32" s="452">
        <f t="shared" ca="1" si="3"/>
        <v>0</v>
      </c>
      <c r="D32" s="452">
        <f t="shared" si="4"/>
        <v>2400.56277628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3696.941773455264</v>
      </c>
    </row>
    <row r="33" spans="1:17" s="463" customFormat="1">
      <c r="A33" s="461" t="s">
        <v>545</v>
      </c>
      <c r="B33" s="462">
        <f ca="1">SUM(B22:B32)</f>
        <v>14654.47168748709</v>
      </c>
      <c r="C33" s="462">
        <f t="shared" ref="C33:Q33" ca="1" si="19">SUM(C22:C32)</f>
        <v>0</v>
      </c>
      <c r="D33" s="462">
        <f t="shared" ca="1" si="19"/>
        <v>24820.964965703752</v>
      </c>
      <c r="E33" s="462">
        <f t="shared" si="19"/>
        <v>763.58341263040268</v>
      </c>
      <c r="F33" s="462">
        <f t="shared" ca="1" si="19"/>
        <v>1927.4001203975131</v>
      </c>
      <c r="G33" s="462">
        <f t="shared" si="19"/>
        <v>16702.86474968099</v>
      </c>
      <c r="H33" s="462">
        <f t="shared" si="19"/>
        <v>3256.0132997880182</v>
      </c>
      <c r="I33" s="462">
        <f t="shared" si="19"/>
        <v>0</v>
      </c>
      <c r="J33" s="462">
        <f t="shared" si="19"/>
        <v>92.701164934628054</v>
      </c>
      <c r="K33" s="462">
        <f t="shared" si="19"/>
        <v>0</v>
      </c>
      <c r="L33" s="462">
        <f t="shared" ca="1" si="19"/>
        <v>0</v>
      </c>
      <c r="M33" s="462">
        <f t="shared" si="19"/>
        <v>0</v>
      </c>
      <c r="N33" s="462">
        <f t="shared" ca="1" si="19"/>
        <v>0</v>
      </c>
      <c r="O33" s="462">
        <f t="shared" si="19"/>
        <v>0</v>
      </c>
      <c r="P33" s="462">
        <f t="shared" si="19"/>
        <v>0</v>
      </c>
      <c r="Q33" s="462">
        <f t="shared" ca="1" si="19"/>
        <v>62217.999400622393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2674.7809538096758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2674.7809538096758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0.21243103640929956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0.21243103640929956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0.21243103640929956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0.21243103640929956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6312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2690.26</v>
      </c>
      <c r="C14" s="330"/>
      <c r="D14" s="330"/>
      <c r="E14" s="330"/>
      <c r="F14" s="330"/>
    </row>
    <row r="15" spans="1:6">
      <c r="A15" s="1298" t="s">
        <v>183</v>
      </c>
      <c r="B15" s="1299">
        <v>461</v>
      </c>
      <c r="C15" s="330"/>
      <c r="D15" s="330"/>
      <c r="E15" s="330"/>
      <c r="F15" s="330"/>
    </row>
    <row r="16" spans="1:6">
      <c r="A16" s="1298" t="s">
        <v>6</v>
      </c>
      <c r="B16" s="1299">
        <v>887</v>
      </c>
      <c r="C16" s="330"/>
      <c r="D16" s="330"/>
      <c r="E16" s="330"/>
      <c r="F16" s="330"/>
    </row>
    <row r="17" spans="1:6">
      <c r="A17" s="1298" t="s">
        <v>7</v>
      </c>
      <c r="B17" s="1299">
        <v>429</v>
      </c>
      <c r="C17" s="330"/>
      <c r="D17" s="330"/>
      <c r="E17" s="330"/>
      <c r="F17" s="330"/>
    </row>
    <row r="18" spans="1:6">
      <c r="A18" s="1298" t="s">
        <v>8</v>
      </c>
      <c r="B18" s="1299">
        <v>673</v>
      </c>
      <c r="C18" s="330"/>
      <c r="D18" s="330"/>
      <c r="E18" s="330"/>
      <c r="F18" s="330"/>
    </row>
    <row r="19" spans="1:6">
      <c r="A19" s="1298" t="s">
        <v>9</v>
      </c>
      <c r="B19" s="1299">
        <v>681</v>
      </c>
      <c r="C19" s="330"/>
      <c r="D19" s="330"/>
      <c r="E19" s="330"/>
      <c r="F19" s="330"/>
    </row>
    <row r="20" spans="1:6">
      <c r="A20" s="1298" t="s">
        <v>10</v>
      </c>
      <c r="B20" s="1299">
        <v>479</v>
      </c>
      <c r="C20" s="330"/>
      <c r="D20" s="330"/>
      <c r="E20" s="330"/>
      <c r="F20" s="330"/>
    </row>
    <row r="21" spans="1:6">
      <c r="A21" s="1298" t="s">
        <v>11</v>
      </c>
      <c r="B21" s="1299">
        <v>1533</v>
      </c>
      <c r="C21" s="330"/>
      <c r="D21" s="330"/>
      <c r="E21" s="330"/>
      <c r="F21" s="330"/>
    </row>
    <row r="22" spans="1:6">
      <c r="A22" s="1298" t="s">
        <v>12</v>
      </c>
      <c r="B22" s="1299">
        <v>4168</v>
      </c>
      <c r="C22" s="330"/>
      <c r="D22" s="330"/>
      <c r="E22" s="330"/>
      <c r="F22" s="330"/>
    </row>
    <row r="23" spans="1:6">
      <c r="A23" s="1298" t="s">
        <v>13</v>
      </c>
      <c r="B23" s="1299">
        <v>122</v>
      </c>
      <c r="C23" s="330"/>
      <c r="D23" s="330"/>
      <c r="E23" s="330"/>
      <c r="F23" s="330"/>
    </row>
    <row r="24" spans="1:6">
      <c r="A24" s="1298" t="s">
        <v>14</v>
      </c>
      <c r="B24" s="1299">
        <v>3</v>
      </c>
      <c r="C24" s="330"/>
      <c r="D24" s="330"/>
      <c r="E24" s="330"/>
      <c r="F24" s="330"/>
    </row>
    <row r="25" spans="1:6">
      <c r="A25" s="1298" t="s">
        <v>15</v>
      </c>
      <c r="B25" s="1299">
        <v>353</v>
      </c>
      <c r="C25" s="330"/>
      <c r="D25" s="330"/>
      <c r="E25" s="330"/>
      <c r="F25" s="330"/>
    </row>
    <row r="26" spans="1:6">
      <c r="A26" s="1298" t="s">
        <v>16</v>
      </c>
      <c r="B26" s="1299">
        <v>494</v>
      </c>
      <c r="C26" s="330"/>
      <c r="D26" s="330"/>
      <c r="E26" s="330"/>
      <c r="F26" s="330"/>
    </row>
    <row r="27" spans="1:6">
      <c r="A27" s="1298" t="s">
        <v>17</v>
      </c>
      <c r="B27" s="1299">
        <v>409</v>
      </c>
      <c r="C27" s="330"/>
      <c r="D27" s="330"/>
      <c r="E27" s="330"/>
      <c r="F27" s="330"/>
    </row>
    <row r="28" spans="1:6" s="43" customFormat="1">
      <c r="A28" s="1300" t="s">
        <v>18</v>
      </c>
      <c r="B28" s="1301">
        <v>21304</v>
      </c>
      <c r="C28" s="336"/>
      <c r="D28" s="336"/>
      <c r="E28" s="336"/>
      <c r="F28" s="336"/>
    </row>
    <row r="29" spans="1:6">
      <c r="A29" s="1300" t="s">
        <v>705</v>
      </c>
      <c r="B29" s="1301">
        <v>170</v>
      </c>
      <c r="C29" s="336"/>
      <c r="D29" s="336"/>
      <c r="E29" s="336"/>
      <c r="F29" s="336"/>
    </row>
    <row r="30" spans="1:6">
      <c r="A30" s="1293" t="s">
        <v>706</v>
      </c>
      <c r="B30" s="1302">
        <v>26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25107.875</v>
      </c>
      <c r="E38" s="1299">
        <v>4</v>
      </c>
      <c r="F38" s="1299">
        <v>12329.382</v>
      </c>
    </row>
    <row r="39" spans="1:6">
      <c r="A39" s="1298" t="s">
        <v>29</v>
      </c>
      <c r="B39" s="1298" t="s">
        <v>30</v>
      </c>
      <c r="C39" s="1299">
        <v>5763</v>
      </c>
      <c r="D39" s="1299">
        <v>69781475.349999994</v>
      </c>
      <c r="E39" s="1299">
        <v>9539</v>
      </c>
      <c r="F39" s="1299">
        <v>27800302.940000001</v>
      </c>
    </row>
    <row r="40" spans="1:6">
      <c r="A40" s="1298" t="s">
        <v>29</v>
      </c>
      <c r="B40" s="1298" t="s">
        <v>28</v>
      </c>
      <c r="C40" s="1299">
        <v>0</v>
      </c>
      <c r="D40" s="1299">
        <v>0</v>
      </c>
      <c r="E40" s="1299">
        <v>0</v>
      </c>
      <c r="F40" s="1299">
        <v>0</v>
      </c>
    </row>
    <row r="41" spans="1:6">
      <c r="A41" s="1298" t="s">
        <v>31</v>
      </c>
      <c r="B41" s="1298" t="s">
        <v>32</v>
      </c>
      <c r="C41" s="1299">
        <v>77</v>
      </c>
      <c r="D41" s="1299">
        <v>1350598.0889999999</v>
      </c>
      <c r="E41" s="1299">
        <v>150</v>
      </c>
      <c r="F41" s="1299">
        <v>664029.72499999998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59901.758999999998</v>
      </c>
      <c r="E47" s="1299">
        <v>7</v>
      </c>
      <c r="F47" s="1299">
        <v>23955.874</v>
      </c>
    </row>
    <row r="48" spans="1:6">
      <c r="A48" s="1298" t="s">
        <v>31</v>
      </c>
      <c r="B48" s="1298" t="s">
        <v>28</v>
      </c>
      <c r="C48" s="1299">
        <v>27</v>
      </c>
      <c r="D48" s="1299">
        <v>1079157.966</v>
      </c>
      <c r="E48" s="1299">
        <v>38</v>
      </c>
      <c r="F48" s="1299">
        <v>224067.58900000001</v>
      </c>
    </row>
    <row r="49" spans="1:6">
      <c r="A49" s="1298" t="s">
        <v>31</v>
      </c>
      <c r="B49" s="1298" t="s">
        <v>39</v>
      </c>
      <c r="C49" s="1299">
        <v>0</v>
      </c>
      <c r="D49" s="1299">
        <v>0</v>
      </c>
      <c r="E49" s="1299">
        <v>0</v>
      </c>
      <c r="F49" s="1299">
        <v>0</v>
      </c>
    </row>
    <row r="50" spans="1:6">
      <c r="A50" s="1298" t="s">
        <v>31</v>
      </c>
      <c r="B50" s="1298" t="s">
        <v>40</v>
      </c>
      <c r="C50" s="1299">
        <v>8</v>
      </c>
      <c r="D50" s="1299">
        <v>578133.29500000004</v>
      </c>
      <c r="E50" s="1299">
        <v>19</v>
      </c>
      <c r="F50" s="1299">
        <v>343541.03</v>
      </c>
    </row>
    <row r="51" spans="1:6">
      <c r="A51" s="1298" t="s">
        <v>41</v>
      </c>
      <c r="B51" s="1298" t="s">
        <v>42</v>
      </c>
      <c r="C51" s="1299">
        <v>0</v>
      </c>
      <c r="D51" s="1299">
        <v>0</v>
      </c>
      <c r="E51" s="1299">
        <v>43</v>
      </c>
      <c r="F51" s="1299">
        <v>722291.72499999998</v>
      </c>
    </row>
    <row r="52" spans="1:6">
      <c r="A52" s="1298" t="s">
        <v>41</v>
      </c>
      <c r="B52" s="1298" t="s">
        <v>28</v>
      </c>
      <c r="C52" s="1299">
        <v>6</v>
      </c>
      <c r="D52" s="1299">
        <v>154061.80900000001</v>
      </c>
      <c r="E52" s="1299">
        <v>14</v>
      </c>
      <c r="F52" s="1299">
        <v>211837.88699999999</v>
      </c>
    </row>
    <row r="53" spans="1:6">
      <c r="A53" s="1298" t="s">
        <v>43</v>
      </c>
      <c r="B53" s="1298" t="s">
        <v>44</v>
      </c>
      <c r="C53" s="1299">
        <v>1287</v>
      </c>
      <c r="D53" s="1299">
        <v>11883974.140000001</v>
      </c>
      <c r="E53" s="1299">
        <v>3041</v>
      </c>
      <c r="F53" s="1299">
        <v>6102587.5460000001</v>
      </c>
    </row>
    <row r="54" spans="1:6">
      <c r="A54" s="1298" t="s">
        <v>45</v>
      </c>
      <c r="B54" s="1298" t="s">
        <v>46</v>
      </c>
      <c r="C54" s="1299">
        <v>0</v>
      </c>
      <c r="D54" s="1299">
        <v>0</v>
      </c>
      <c r="E54" s="1299">
        <v>1</v>
      </c>
      <c r="F54" s="1299">
        <v>1290361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81</v>
      </c>
      <c r="D57" s="1299">
        <v>1886359.327</v>
      </c>
      <c r="E57" s="1299">
        <v>149</v>
      </c>
      <c r="F57" s="1299">
        <v>1770645.5190000001</v>
      </c>
    </row>
    <row r="58" spans="1:6">
      <c r="A58" s="1298" t="s">
        <v>48</v>
      </c>
      <c r="B58" s="1298" t="s">
        <v>50</v>
      </c>
      <c r="C58" s="1299">
        <v>33</v>
      </c>
      <c r="D58" s="1299">
        <v>4358683.1160000004</v>
      </c>
      <c r="E58" s="1299">
        <v>65</v>
      </c>
      <c r="F58" s="1299">
        <v>908508.28399999999</v>
      </c>
    </row>
    <row r="59" spans="1:6">
      <c r="A59" s="1298" t="s">
        <v>48</v>
      </c>
      <c r="B59" s="1298" t="s">
        <v>51</v>
      </c>
      <c r="C59" s="1299">
        <v>64</v>
      </c>
      <c r="D59" s="1299">
        <v>985345.89599999995</v>
      </c>
      <c r="E59" s="1299">
        <v>199</v>
      </c>
      <c r="F59" s="1299">
        <v>2834702.602</v>
      </c>
    </row>
    <row r="60" spans="1:6">
      <c r="A60" s="1298" t="s">
        <v>48</v>
      </c>
      <c r="B60" s="1298" t="s">
        <v>52</v>
      </c>
      <c r="C60" s="1299">
        <v>180</v>
      </c>
      <c r="D60" s="1299">
        <v>22216875.280000001</v>
      </c>
      <c r="E60" s="1299">
        <v>245</v>
      </c>
      <c r="F60" s="1299">
        <v>11527957.630000001</v>
      </c>
    </row>
    <row r="61" spans="1:6">
      <c r="A61" s="1298" t="s">
        <v>48</v>
      </c>
      <c r="B61" s="1298" t="s">
        <v>53</v>
      </c>
      <c r="C61" s="1299">
        <v>310</v>
      </c>
      <c r="D61" s="1299">
        <v>11797627.609999999</v>
      </c>
      <c r="E61" s="1299">
        <v>1064</v>
      </c>
      <c r="F61" s="1299">
        <v>7190008.7029999997</v>
      </c>
    </row>
    <row r="62" spans="1:6">
      <c r="A62" s="1298" t="s">
        <v>48</v>
      </c>
      <c r="B62" s="1298" t="s">
        <v>54</v>
      </c>
      <c r="C62" s="1299">
        <v>3</v>
      </c>
      <c r="D62" s="1299">
        <v>259080.39199999999</v>
      </c>
      <c r="E62" s="1299">
        <v>6</v>
      </c>
      <c r="F62" s="1299">
        <v>287126.15000000002</v>
      </c>
    </row>
    <row r="63" spans="1:6">
      <c r="A63" s="1298" t="s">
        <v>48</v>
      </c>
      <c r="B63" s="1298" t="s">
        <v>28</v>
      </c>
      <c r="C63" s="1299">
        <v>147</v>
      </c>
      <c r="D63" s="1299">
        <v>8388540.9570000004</v>
      </c>
      <c r="E63" s="1299">
        <v>145</v>
      </c>
      <c r="F63" s="1299">
        <v>3378959.517</v>
      </c>
    </row>
    <row r="64" spans="1:6">
      <c r="A64" s="1298" t="s">
        <v>55</v>
      </c>
      <c r="B64" s="1298" t="s">
        <v>56</v>
      </c>
      <c r="C64" s="1299">
        <v>0</v>
      </c>
      <c r="D64" s="1299">
        <v>0</v>
      </c>
      <c r="E64" s="1299">
        <v>0</v>
      </c>
      <c r="F64" s="1299">
        <v>0</v>
      </c>
    </row>
    <row r="65" spans="1:6">
      <c r="A65" s="1298" t="s">
        <v>55</v>
      </c>
      <c r="B65" s="1298" t="s">
        <v>28</v>
      </c>
      <c r="C65" s="1299">
        <v>2</v>
      </c>
      <c r="D65" s="1299">
        <v>47695.974999999999</v>
      </c>
      <c r="E65" s="1299">
        <v>5</v>
      </c>
      <c r="F65" s="1299">
        <v>16006.278</v>
      </c>
    </row>
    <row r="66" spans="1:6">
      <c r="A66" s="1298" t="s">
        <v>55</v>
      </c>
      <c r="B66" s="1298" t="s">
        <v>57</v>
      </c>
      <c r="C66" s="1299">
        <v>0</v>
      </c>
      <c r="D66" s="1299">
        <v>0</v>
      </c>
      <c r="E66" s="1299">
        <v>16</v>
      </c>
      <c r="F66" s="1299">
        <v>453980.01699999999</v>
      </c>
    </row>
    <row r="67" spans="1:6">
      <c r="A67" s="1300" t="s">
        <v>55</v>
      </c>
      <c r="B67" s="1300" t="s">
        <v>58</v>
      </c>
      <c r="C67" s="1299">
        <v>0</v>
      </c>
      <c r="D67" s="1299">
        <v>0</v>
      </c>
      <c r="E67" s="1299">
        <v>0</v>
      </c>
      <c r="F67" s="1299">
        <v>0</v>
      </c>
    </row>
    <row r="68" spans="1:6">
      <c r="A68" s="1293" t="s">
        <v>55</v>
      </c>
      <c r="B68" s="1293" t="s">
        <v>59</v>
      </c>
      <c r="C68" s="1302">
        <v>3</v>
      </c>
      <c r="D68" s="1302">
        <v>50084.131000000001</v>
      </c>
      <c r="E68" s="1302">
        <v>12</v>
      </c>
      <c r="F68" s="1302">
        <v>1735466.08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73053898</v>
      </c>
      <c r="E73" s="450"/>
      <c r="F73" s="330"/>
    </row>
    <row r="74" spans="1:6">
      <c r="A74" s="1298" t="s">
        <v>63</v>
      </c>
      <c r="B74" s="1298" t="s">
        <v>647</v>
      </c>
      <c r="C74" s="1312" t="s">
        <v>649</v>
      </c>
      <c r="D74" s="1313">
        <v>7613261.5</v>
      </c>
      <c r="E74" s="450"/>
      <c r="F74" s="330"/>
    </row>
    <row r="75" spans="1:6">
      <c r="A75" s="1298" t="s">
        <v>64</v>
      </c>
      <c r="B75" s="1298" t="s">
        <v>646</v>
      </c>
      <c r="C75" s="1312" t="s">
        <v>650</v>
      </c>
      <c r="D75" s="1313">
        <v>10531036</v>
      </c>
      <c r="E75" s="450"/>
      <c r="F75" s="330"/>
    </row>
    <row r="76" spans="1:6">
      <c r="A76" s="1298" t="s">
        <v>64</v>
      </c>
      <c r="B76" s="1298" t="s">
        <v>647</v>
      </c>
      <c r="C76" s="1312" t="s">
        <v>651</v>
      </c>
      <c r="D76" s="1313">
        <v>1284891.5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81789</v>
      </c>
      <c r="C83" s="450"/>
      <c r="D83" s="330"/>
      <c r="E83" s="330"/>
      <c r="F83" s="330"/>
    </row>
    <row r="84" spans="1:6">
      <c r="A84" s="1293" t="s">
        <v>336</v>
      </c>
      <c r="B84" s="1314">
        <v>371026</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2355.8817891676335</v>
      </c>
      <c r="C91" s="330"/>
      <c r="D91" s="330"/>
      <c r="E91" s="330"/>
      <c r="F91" s="330"/>
    </row>
    <row r="92" spans="1:6">
      <c r="A92" s="1293" t="s">
        <v>68</v>
      </c>
      <c r="B92" s="1294">
        <v>318.89916464204231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2725</v>
      </c>
      <c r="C97" s="330"/>
      <c r="D97" s="330"/>
      <c r="E97" s="330"/>
      <c r="F97" s="330"/>
    </row>
    <row r="98" spans="1:6">
      <c r="A98" s="1298" t="s">
        <v>71</v>
      </c>
      <c r="B98" s="1299">
        <v>0</v>
      </c>
      <c r="C98" s="330"/>
      <c r="D98" s="330"/>
      <c r="E98" s="330"/>
      <c r="F98" s="330"/>
    </row>
    <row r="99" spans="1:6">
      <c r="A99" s="1298" t="s">
        <v>72</v>
      </c>
      <c r="B99" s="1299">
        <v>104</v>
      </c>
      <c r="C99" s="330"/>
      <c r="D99" s="330"/>
      <c r="E99" s="330"/>
      <c r="F99" s="330"/>
    </row>
    <row r="100" spans="1:6">
      <c r="A100" s="1298" t="s">
        <v>73</v>
      </c>
      <c r="B100" s="1299">
        <v>935</v>
      </c>
      <c r="C100" s="330"/>
      <c r="D100" s="330"/>
      <c r="E100" s="330"/>
      <c r="F100" s="330"/>
    </row>
    <row r="101" spans="1:6">
      <c r="A101" s="1298" t="s">
        <v>74</v>
      </c>
      <c r="B101" s="1299">
        <v>42</v>
      </c>
      <c r="C101" s="330"/>
      <c r="D101" s="330"/>
      <c r="E101" s="330"/>
      <c r="F101" s="330"/>
    </row>
    <row r="102" spans="1:6">
      <c r="A102" s="1298" t="s">
        <v>75</v>
      </c>
      <c r="B102" s="1299">
        <v>139</v>
      </c>
      <c r="C102" s="330"/>
      <c r="D102" s="330"/>
      <c r="E102" s="330"/>
      <c r="F102" s="330"/>
    </row>
    <row r="103" spans="1:6">
      <c r="A103" s="1298" t="s">
        <v>76</v>
      </c>
      <c r="B103" s="1299">
        <v>66</v>
      </c>
      <c r="C103" s="330"/>
      <c r="D103" s="330"/>
      <c r="E103" s="330"/>
      <c r="F103" s="330"/>
    </row>
    <row r="104" spans="1:6">
      <c r="A104" s="1298" t="s">
        <v>77</v>
      </c>
      <c r="B104" s="1299">
        <v>967</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11</v>
      </c>
      <c r="C123" s="1299">
        <v>21</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96</v>
      </c>
      <c r="C129" s="330"/>
      <c r="D129" s="330"/>
      <c r="E129" s="330"/>
      <c r="F129" s="330"/>
    </row>
    <row r="130" spans="1:6">
      <c r="A130" s="1298" t="s">
        <v>294</v>
      </c>
      <c r="B130" s="1299">
        <v>6</v>
      </c>
      <c r="C130" s="330"/>
      <c r="D130" s="330"/>
      <c r="E130" s="330"/>
      <c r="F130" s="330"/>
    </row>
    <row r="131" spans="1:6">
      <c r="A131" s="1298" t="s">
        <v>295</v>
      </c>
      <c r="B131" s="1299">
        <v>4</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68984.607594022731</v>
      </c>
      <c r="C3" s="43" t="s">
        <v>169</v>
      </c>
      <c r="D3" s="43"/>
      <c r="E3" s="154"/>
      <c r="F3" s="43"/>
      <c r="G3" s="43"/>
      <c r="H3" s="43"/>
      <c r="I3" s="43"/>
      <c r="J3" s="43"/>
      <c r="K3" s="96"/>
    </row>
    <row r="4" spans="1:11">
      <c r="A4" s="358" t="s">
        <v>170</v>
      </c>
      <c r="B4" s="49">
        <f>IF(ISERROR('SEAP template'!B78+'SEAP template'!C78),0,'SEAP template'!B78+'SEAP template'!C78)</f>
        <v>2674.7809538096758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0.21243103640929956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1290.3610000000001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1290.3610000000001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0.21243103640929956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274.11272457214022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27800.302940000001</v>
      </c>
      <c r="C5" s="17">
        <f>IF(ISERROR('Eigen informatie GS &amp; warmtenet'!B59),0,'Eigen informatie GS &amp; warmtenet'!B59)</f>
        <v>0</v>
      </c>
      <c r="D5" s="30">
        <f>(SUM(HH_hh_gas_kWh,HH_rest_gas_kWh)/1000)*0.902</f>
        <v>62942.890765699995</v>
      </c>
      <c r="E5" s="17">
        <f>B46*B57</f>
        <v>2707.7311310753103</v>
      </c>
      <c r="F5" s="17">
        <f>B51*B62</f>
        <v>0</v>
      </c>
      <c r="G5" s="18"/>
      <c r="H5" s="17"/>
      <c r="I5" s="17"/>
      <c r="J5" s="17">
        <f>B50*B61+C50*C61</f>
        <v>0</v>
      </c>
      <c r="K5" s="17"/>
      <c r="L5" s="17"/>
      <c r="M5" s="17"/>
      <c r="N5" s="17">
        <f>B48*B59+C48*C59</f>
        <v>1364.3763501129872</v>
      </c>
      <c r="O5" s="17">
        <f>B69*B70*B71</f>
        <v>234.10706988766975</v>
      </c>
      <c r="P5" s="17">
        <f>B77*B78*B79/1000-B77*B78*B79/1000/B80</f>
        <v>326.5527385382357</v>
      </c>
    </row>
    <row r="6" spans="1:16">
      <c r="A6" s="16" t="s">
        <v>611</v>
      </c>
      <c r="B6" s="783">
        <f>kWh_PV_kleiner_dan_10kW</f>
        <v>2355.8817891676335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30156.184729167635</v>
      </c>
      <c r="C8" s="21">
        <f>C5</f>
        <v>0</v>
      </c>
      <c r="D8" s="21">
        <f>D5</f>
        <v>62942.890765699995</v>
      </c>
      <c r="E8" s="21">
        <f>E5</f>
        <v>2707.7311310753103</v>
      </c>
      <c r="F8" s="21">
        <f>F5</f>
        <v>0</v>
      </c>
      <c r="G8" s="21"/>
      <c r="H8" s="21"/>
      <c r="I8" s="21"/>
      <c r="J8" s="21">
        <f>J5</f>
        <v>0</v>
      </c>
      <c r="K8" s="21"/>
      <c r="L8" s="21">
        <f>L5</f>
        <v>0</v>
      </c>
      <c r="M8" s="21">
        <f>M5</f>
        <v>0</v>
      </c>
      <c r="N8" s="21">
        <f>N5</f>
        <v>1364.3763501129872</v>
      </c>
      <c r="O8" s="21">
        <f>O5</f>
        <v>234.10706988766975</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0.21243103640929956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6406.1095761673732</v>
      </c>
      <c r="C12" s="23">
        <f ca="1">C10*C8</f>
        <v>0</v>
      </c>
      <c r="D12" s="23">
        <f>D8*D10</f>
        <v>12714.463934671399</v>
      </c>
      <c r="E12" s="23">
        <f>E10*E8</f>
        <v>614.65496675409543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6312</v>
      </c>
      <c r="C28" s="36"/>
      <c r="D28" s="228"/>
    </row>
    <row r="29" spans="1:7" s="15" customFormat="1">
      <c r="A29" s="230" t="s">
        <v>819</v>
      </c>
      <c r="B29" s="37">
        <f>SUM(HH_hh_gas_aantal,HH_rest_gas_aantal)</f>
        <v>5763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5763</v>
      </c>
      <c r="C32" s="167">
        <f>IF(ISERROR(B32/SUM($B$32,$B$34,$B$35,$B$36,$B$38,$B$39)*100),0,B32/SUM($B$32,$B$34,$B$35,$B$36,$B$38,$B$39)*100)</f>
        <v>91.752905588282118</v>
      </c>
      <c r="D32" s="233"/>
      <c r="G32" s="15"/>
    </row>
    <row r="33" spans="1:7">
      <c r="A33" s="171" t="s">
        <v>71</v>
      </c>
      <c r="B33" s="34" t="s">
        <v>110</v>
      </c>
      <c r="C33" s="167"/>
      <c r="D33" s="233"/>
      <c r="G33" s="15"/>
    </row>
    <row r="34" spans="1:7">
      <c r="A34" s="171" t="s">
        <v>72</v>
      </c>
      <c r="B34" s="33">
        <f>IF((($B$28-$B$32-$B$39-$B$77-$B$38)*C20/100)&lt;0,0,($B$28-$B$32-$B$39-$B$77-$B$38)*C20/100)</f>
        <v>49.835337650323773</v>
      </c>
      <c r="C34" s="167">
        <f>IF(ISERROR(B34/SUM($B$32,$B$34,$B$35,$B$36,$B$38,$B$39)*100),0,B34/SUM($B$32,$B$34,$B$35,$B$36,$B$38,$B$39)*100)</f>
        <v>0.79342998965648426</v>
      </c>
      <c r="D34" s="233"/>
      <c r="G34" s="15"/>
    </row>
    <row r="35" spans="1:7">
      <c r="A35" s="171" t="s">
        <v>73</v>
      </c>
      <c r="B35" s="33">
        <f>IF((($B$28-$B$32-$B$39-$B$77-$B$38)*C21/100)&lt;0,0,($B$28-$B$32-$B$39-$B$77-$B$38)*C21/100)</f>
        <v>448.03885291396853</v>
      </c>
      <c r="C35" s="167">
        <f>IF(ISERROR(B35/SUM($B$32,$B$34,$B$35,$B$36,$B$38,$B$39)*100),0,B35/SUM($B$32,$B$34,$B$35,$B$36,$B$38,$B$39)*100)</f>
        <v>7.1332407723924298</v>
      </c>
      <c r="D35" s="233"/>
      <c r="G35" s="15"/>
    </row>
    <row r="36" spans="1:7">
      <c r="A36" s="171" t="s">
        <v>74</v>
      </c>
      <c r="B36" s="33">
        <f>IF((($B$28-$B$32-$B$39-$B$77-$B$38)*C22/100)&lt;0,0,($B$28-$B$32-$B$39-$B$77-$B$38)*C22/100)</f>
        <v>20.12580943570768</v>
      </c>
      <c r="C36" s="167">
        <f>IF(ISERROR(B36/SUM($B$32,$B$34,$B$35,$B$36,$B$38,$B$39)*100),0,B36/SUM($B$32,$B$34,$B$35,$B$36,$B$38,$B$39)*100)</f>
        <v>0.32042364966896481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5763</v>
      </c>
      <c r="C44" s="34" t="s">
        <v>110</v>
      </c>
      <c r="D44" s="174"/>
    </row>
    <row r="45" spans="1:7">
      <c r="A45" s="171" t="s">
        <v>71</v>
      </c>
      <c r="B45" s="33" t="str">
        <f t="shared" si="0"/>
        <v>-</v>
      </c>
      <c r="C45" s="34" t="s">
        <v>110</v>
      </c>
      <c r="D45" s="174"/>
    </row>
    <row r="46" spans="1:7">
      <c r="A46" s="171" t="s">
        <v>72</v>
      </c>
      <c r="B46" s="33">
        <f t="shared" si="0"/>
        <v>49.835337650323773</v>
      </c>
      <c r="C46" s="34" t="s">
        <v>110</v>
      </c>
      <c r="D46" s="174"/>
    </row>
    <row r="47" spans="1:7">
      <c r="A47" s="171" t="s">
        <v>73</v>
      </c>
      <c r="B47" s="33">
        <f t="shared" si="0"/>
        <v>448.03885291396853</v>
      </c>
      <c r="C47" s="34" t="s">
        <v>110</v>
      </c>
      <c r="D47" s="174"/>
    </row>
    <row r="48" spans="1:7">
      <c r="A48" s="171" t="s">
        <v>74</v>
      </c>
      <c r="B48" s="33">
        <f t="shared" si="0"/>
        <v>20.12580943570768</v>
      </c>
      <c r="C48" s="33">
        <f>B48*10</f>
        <v>201.2580943570768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27897.908405000002</v>
      </c>
      <c r="C5" s="17">
        <f>IF(ISERROR('Eigen informatie GS &amp; warmtenet'!B60),0,'Eigen informatie GS &amp; warmtenet'!B60)</f>
        <v>0</v>
      </c>
      <c r="D5" s="30">
        <f>SUM(D6:D12)</f>
        <v>45003.046345356001</v>
      </c>
      <c r="E5" s="17">
        <f>SUM(E6:E12)</f>
        <v>313.08529745647672</v>
      </c>
      <c r="F5" s="17">
        <f>SUM(F6:F12)</f>
        <v>3308.4126132700139</v>
      </c>
      <c r="G5" s="18"/>
      <c r="H5" s="17"/>
      <c r="I5" s="17"/>
      <c r="J5" s="17">
        <f>SUM(J6:J12)</f>
        <v>3.6534172190604647E-2</v>
      </c>
      <c r="K5" s="17"/>
      <c r="L5" s="17"/>
      <c r="M5" s="17"/>
      <c r="N5" s="17">
        <f>SUM(N6:N12)</f>
        <v>1441.6701321633075</v>
      </c>
      <c r="O5" s="17">
        <f>B38*B39*B40</f>
        <v>29.383564595046927</v>
      </c>
      <c r="P5" s="17">
        <f>B46*B47*B48/1000-B46*B47*B48/1000/B49</f>
        <v>210.15655322598008</v>
      </c>
      <c r="R5" s="32"/>
    </row>
    <row r="6" spans="1:18">
      <c r="A6" s="32" t="s">
        <v>53</v>
      </c>
      <c r="B6" s="37">
        <f>B26</f>
        <v>7190.0087029999995</v>
      </c>
      <c r="C6" s="33"/>
      <c r="D6" s="37">
        <f>IF(ISERROR(TER_kantoor_gas_kWh/1000),0,TER_kantoor_gas_kWh/1000)*0.902</f>
        <v>10641.460104219999</v>
      </c>
      <c r="E6" s="33">
        <f>$C$26*'E Balans VL '!I12/100/3.6*1000000</f>
        <v>57.855694734633893</v>
      </c>
      <c r="F6" s="33">
        <f>$C$26*('E Balans VL '!L12+'E Balans VL '!N12)/100/3.6*1000000</f>
        <v>879.05420041175421</v>
      </c>
      <c r="G6" s="34"/>
      <c r="H6" s="33"/>
      <c r="I6" s="33"/>
      <c r="J6" s="33">
        <f>$C$26*('E Balans VL '!D12+'E Balans VL '!E12)/100/3.6*1000000</f>
        <v>0</v>
      </c>
      <c r="K6" s="33"/>
      <c r="L6" s="33"/>
      <c r="M6" s="33"/>
      <c r="N6" s="33">
        <f>$C$26*'E Balans VL '!Y12/100/3.6*1000000</f>
        <v>3.864275608256424</v>
      </c>
      <c r="O6" s="33"/>
      <c r="P6" s="33"/>
      <c r="R6" s="32"/>
    </row>
    <row r="7" spans="1:18">
      <c r="A7" s="32" t="s">
        <v>52</v>
      </c>
      <c r="B7" s="37">
        <f t="shared" ref="B7:B12" si="0">B27</f>
        <v>11527.957630000001</v>
      </c>
      <c r="C7" s="33"/>
      <c r="D7" s="37">
        <f>IF(ISERROR(TER_horeca_gas_kWh/1000),0,TER_horeca_gas_kWh/1000)*0.902</f>
        <v>20039.621502559999</v>
      </c>
      <c r="E7" s="33">
        <f>$C$27*'E Balans VL '!I9/100/3.6*1000000</f>
        <v>123.78195723124951</v>
      </c>
      <c r="F7" s="33">
        <f>$C$27*('E Balans VL '!L9+'E Balans VL '!N9)/100/3.6*1000000</f>
        <v>1386.5337649869089</v>
      </c>
      <c r="G7" s="34"/>
      <c r="H7" s="33"/>
      <c r="I7" s="33"/>
      <c r="J7" s="33">
        <f>$C$27*('E Balans VL '!D9+'E Balans VL '!E9)/100/3.6*1000000</f>
        <v>0</v>
      </c>
      <c r="K7" s="33"/>
      <c r="L7" s="33"/>
      <c r="M7" s="33"/>
      <c r="N7" s="33">
        <f>$C$27*'E Balans VL '!Y9/100/3.6*1000000</f>
        <v>1.7282744933123675</v>
      </c>
      <c r="O7" s="33"/>
      <c r="P7" s="33"/>
      <c r="R7" s="32"/>
    </row>
    <row r="8" spans="1:18">
      <c r="A8" s="6" t="s">
        <v>51</v>
      </c>
      <c r="B8" s="37">
        <f t="shared" si="0"/>
        <v>2834.7026019999998</v>
      </c>
      <c r="C8" s="33"/>
      <c r="D8" s="37">
        <f>IF(ISERROR(TER_handel_gas_kWh/1000),0,TER_handel_gas_kWh/1000)*0.902</f>
        <v>888.78199819199995</v>
      </c>
      <c r="E8" s="33">
        <f>$C$28*'E Balans VL '!I13/100/3.6*1000000</f>
        <v>76.074739479850948</v>
      </c>
      <c r="F8" s="33">
        <f>$C$28*('E Balans VL '!L13+'E Balans VL '!N13)/100/3.6*1000000</f>
        <v>270.51799601775053</v>
      </c>
      <c r="G8" s="34"/>
      <c r="H8" s="33"/>
      <c r="I8" s="33"/>
      <c r="J8" s="33">
        <f>$C$28*('E Balans VL '!D13+'E Balans VL '!E13)/100/3.6*1000000</f>
        <v>0</v>
      </c>
      <c r="K8" s="33"/>
      <c r="L8" s="33"/>
      <c r="M8" s="33"/>
      <c r="N8" s="33">
        <f>$C$28*'E Balans VL '!Y13/100/3.6*1000000</f>
        <v>1.1237083430941082</v>
      </c>
      <c r="O8" s="33"/>
      <c r="P8" s="33"/>
      <c r="R8" s="32"/>
    </row>
    <row r="9" spans="1:18">
      <c r="A9" s="32" t="s">
        <v>50</v>
      </c>
      <c r="B9" s="37">
        <f t="shared" si="0"/>
        <v>908.508284</v>
      </c>
      <c r="C9" s="33"/>
      <c r="D9" s="37">
        <f>IF(ISERROR(TER_gezond_gas_kWh/1000),0,TER_gezond_gas_kWh/1000)*0.902</f>
        <v>3931.5321706320001</v>
      </c>
      <c r="E9" s="33">
        <f>$C$29*'E Balans VL '!I10/100/3.6*1000000</f>
        <v>1.7028403473590348</v>
      </c>
      <c r="F9" s="33">
        <f>$C$29*('E Balans VL '!L10+'E Balans VL '!N10)/100/3.6*1000000</f>
        <v>74.687670444158101</v>
      </c>
      <c r="G9" s="34"/>
      <c r="H9" s="33"/>
      <c r="I9" s="33"/>
      <c r="J9" s="33">
        <f>$C$29*('E Balans VL '!D10+'E Balans VL '!E10)/100/3.6*1000000</f>
        <v>0</v>
      </c>
      <c r="K9" s="33"/>
      <c r="L9" s="33"/>
      <c r="M9" s="33"/>
      <c r="N9" s="33">
        <f>$C$29*'E Balans VL '!Y10/100/3.6*1000000</f>
        <v>7.0688722940972877</v>
      </c>
      <c r="O9" s="33"/>
      <c r="P9" s="33"/>
      <c r="R9" s="32"/>
    </row>
    <row r="10" spans="1:18">
      <c r="A10" s="32" t="s">
        <v>49</v>
      </c>
      <c r="B10" s="37">
        <f t="shared" si="0"/>
        <v>1770.6455190000001</v>
      </c>
      <c r="C10" s="33"/>
      <c r="D10" s="37">
        <f>IF(ISERROR(TER_ander_gas_kWh/1000),0,TER_ander_gas_kWh/1000)*0.902</f>
        <v>1701.4961129540002</v>
      </c>
      <c r="E10" s="33">
        <f>$C$30*'E Balans VL '!I14/100/3.6*1000000</f>
        <v>2.7294680092123222</v>
      </c>
      <c r="F10" s="33">
        <f>$C$30*('E Balans VL '!L14+'E Balans VL '!N14)/100/3.6*1000000</f>
        <v>274.8932056383199</v>
      </c>
      <c r="G10" s="34"/>
      <c r="H10" s="33"/>
      <c r="I10" s="33"/>
      <c r="J10" s="33">
        <f>$C$30*('E Balans VL '!D14+'E Balans VL '!E14)/100/3.6*1000000</f>
        <v>3.005857505170105E-2</v>
      </c>
      <c r="K10" s="33"/>
      <c r="L10" s="33"/>
      <c r="M10" s="33"/>
      <c r="N10" s="33">
        <f>$C$30*'E Balans VL '!Y14/100/3.6*1000000</f>
        <v>1171.4023266074933</v>
      </c>
      <c r="O10" s="33"/>
      <c r="P10" s="33"/>
      <c r="R10" s="32"/>
    </row>
    <row r="11" spans="1:18">
      <c r="A11" s="32" t="s">
        <v>54</v>
      </c>
      <c r="B11" s="37">
        <f t="shared" si="0"/>
        <v>287.12615</v>
      </c>
      <c r="C11" s="33"/>
      <c r="D11" s="37">
        <f>IF(ISERROR(TER_onderwijs_gas_kWh/1000),0,TER_onderwijs_gas_kWh/1000)*0.902</f>
        <v>233.69051358400003</v>
      </c>
      <c r="E11" s="33">
        <f>$C$31*'E Balans VL '!I11/100/3.6*1000000</f>
        <v>7.3236779128079901</v>
      </c>
      <c r="F11" s="33">
        <f>$C$31*('E Balans VL '!L11+'E Balans VL '!N11)/100/3.6*1000000</f>
        <v>34.529622071739908</v>
      </c>
      <c r="G11" s="34"/>
      <c r="H11" s="33"/>
      <c r="I11" s="33"/>
      <c r="J11" s="33">
        <f>$C$31*('E Balans VL '!D11+'E Balans VL '!E11)/100/3.6*1000000</f>
        <v>0</v>
      </c>
      <c r="K11" s="33"/>
      <c r="L11" s="33"/>
      <c r="M11" s="33"/>
      <c r="N11" s="33">
        <f>$C$31*'E Balans VL '!Y11/100/3.6*1000000</f>
        <v>0.63856155166157214</v>
      </c>
      <c r="O11" s="33"/>
      <c r="P11" s="33"/>
      <c r="R11" s="32"/>
    </row>
    <row r="12" spans="1:18">
      <c r="A12" s="32" t="s">
        <v>259</v>
      </c>
      <c r="B12" s="37">
        <f t="shared" si="0"/>
        <v>3378.9595169999998</v>
      </c>
      <c r="C12" s="33"/>
      <c r="D12" s="37">
        <f>IF(ISERROR(TER_rest_gas_kWh/1000),0,TER_rest_gas_kWh/1000)*0.902</f>
        <v>7566.4639432140011</v>
      </c>
      <c r="E12" s="33">
        <f>$C$32*'E Balans VL '!I8/100/3.6*1000000</f>
        <v>43.616919741363056</v>
      </c>
      <c r="F12" s="33">
        <f>$C$32*('E Balans VL '!L8+'E Balans VL '!N8)/100/3.6*1000000</f>
        <v>388.19615369938225</v>
      </c>
      <c r="G12" s="34"/>
      <c r="H12" s="33"/>
      <c r="I12" s="33"/>
      <c r="J12" s="33">
        <f>$C$32*('E Balans VL '!D8+'E Balans VL '!E8)/100/3.6*1000000</f>
        <v>6.4755971389035974E-3</v>
      </c>
      <c r="K12" s="33"/>
      <c r="L12" s="33"/>
      <c r="M12" s="33"/>
      <c r="N12" s="33">
        <f>$C$32*'E Balans VL '!Y8/100/3.6*1000000</f>
        <v>255.84411326539242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27897.908405000002</v>
      </c>
      <c r="C16" s="21">
        <f t="shared" ca="1" si="1"/>
        <v>0</v>
      </c>
      <c r="D16" s="21">
        <f t="shared" ca="1" si="1"/>
        <v>45003.046345356001</v>
      </c>
      <c r="E16" s="21">
        <f t="shared" si="1"/>
        <v>313.08529745647672</v>
      </c>
      <c r="F16" s="21">
        <f t="shared" ca="1" si="1"/>
        <v>3308.4126132700139</v>
      </c>
      <c r="G16" s="21">
        <f t="shared" si="1"/>
        <v>0</v>
      </c>
      <c r="H16" s="21">
        <f t="shared" si="1"/>
        <v>0</v>
      </c>
      <c r="I16" s="21">
        <f t="shared" si="1"/>
        <v>0</v>
      </c>
      <c r="J16" s="21">
        <f t="shared" si="1"/>
        <v>3.6534172190604647E-2</v>
      </c>
      <c r="K16" s="21">
        <f t="shared" si="1"/>
        <v>0</v>
      </c>
      <c r="L16" s="21">
        <f t="shared" ca="1" si="1"/>
        <v>0</v>
      </c>
      <c r="M16" s="21">
        <f t="shared" si="1"/>
        <v>0</v>
      </c>
      <c r="N16" s="21">
        <f t="shared" ca="1" si="1"/>
        <v>1441.6701321633075</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0.21243103640929956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5926.3815961258597</v>
      </c>
      <c r="C20" s="23">
        <f t="shared" ref="C20:P20" ca="1" si="2">C16*C18</f>
        <v>0</v>
      </c>
      <c r="D20" s="23">
        <f t="shared" ca="1" si="2"/>
        <v>9090.6153617619129</v>
      </c>
      <c r="E20" s="23">
        <f t="shared" si="2"/>
        <v>71.070362522620215</v>
      </c>
      <c r="F20" s="23">
        <f t="shared" ca="1" si="2"/>
        <v>883.34616774309382</v>
      </c>
      <c r="G20" s="23">
        <f t="shared" si="2"/>
        <v>0</v>
      </c>
      <c r="H20" s="23">
        <f t="shared" si="2"/>
        <v>0</v>
      </c>
      <c r="I20" s="23">
        <f t="shared" si="2"/>
        <v>0</v>
      </c>
      <c r="J20" s="23">
        <f t="shared" si="2"/>
        <v>1.2933096955474043E-2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7190.0087029999995</v>
      </c>
      <c r="C26" s="39">
        <f>IF(ISERROR(B26*3.6/1000000/'E Balans VL '!Z12*100),0,B26*3.6/1000000/'E Balans VL '!Z12*100)</f>
        <v>0.15252945653156941</v>
      </c>
      <c r="D26" s="237" t="s">
        <v>708</v>
      </c>
      <c r="F26" s="6"/>
    </row>
    <row r="27" spans="1:18">
      <c r="A27" s="231" t="s">
        <v>52</v>
      </c>
      <c r="B27" s="33">
        <f>IF(ISERROR(TER_horeca_ele_kWh/1000),0,TER_horeca_ele_kWh/1000)</f>
        <v>11527.957630000001</v>
      </c>
      <c r="C27" s="39">
        <f>IF(ISERROR(B27*3.6/1000000/'E Balans VL '!Z9*100),0,B27*3.6/1000000/'E Balans VL '!Z9*100)</f>
        <v>0.86815733002726103</v>
      </c>
      <c r="D27" s="237" t="s">
        <v>708</v>
      </c>
      <c r="F27" s="6"/>
    </row>
    <row r="28" spans="1:18">
      <c r="A28" s="171" t="s">
        <v>51</v>
      </c>
      <c r="B28" s="33">
        <f>IF(ISERROR(TER_handel_ele_kWh/1000),0,TER_handel_ele_kWh/1000)</f>
        <v>2834.7026019999998</v>
      </c>
      <c r="C28" s="39">
        <f>IF(ISERROR(B28*3.6/1000000/'E Balans VL '!Z13*100),0,B28*3.6/1000000/'E Balans VL '!Z13*100)</f>
        <v>8.2281372401079605E-2</v>
      </c>
      <c r="D28" s="237" t="s">
        <v>708</v>
      </c>
      <c r="F28" s="6"/>
    </row>
    <row r="29" spans="1:18">
      <c r="A29" s="231" t="s">
        <v>50</v>
      </c>
      <c r="B29" s="33">
        <f>IF(ISERROR(TER_gezond_ele_kWh/1000),0,TER_gezond_ele_kWh/1000)</f>
        <v>908.508284</v>
      </c>
      <c r="C29" s="39">
        <f>IF(ISERROR(B29*3.6/1000000/'E Balans VL '!Z10*100),0,B29*3.6/1000000/'E Balans VL '!Z10*100)</f>
        <v>9.1624143881656239E-2</v>
      </c>
      <c r="D29" s="237" t="s">
        <v>708</v>
      </c>
      <c r="F29" s="6"/>
    </row>
    <row r="30" spans="1:18">
      <c r="A30" s="231" t="s">
        <v>49</v>
      </c>
      <c r="B30" s="33">
        <f>IF(ISERROR(TER_ander_ele_kWh/1000),0,TER_ander_ele_kWh/1000)</f>
        <v>1770.6455190000001</v>
      </c>
      <c r="C30" s="39">
        <f>IF(ISERROR(B30*3.6/1000000/'E Balans VL '!Z14*100),0,B30*3.6/1000000/'E Balans VL '!Z14*100)</f>
        <v>0.1284844884374608</v>
      </c>
      <c r="D30" s="237" t="s">
        <v>708</v>
      </c>
      <c r="F30" s="6"/>
    </row>
    <row r="31" spans="1:18">
      <c r="A31" s="231" t="s">
        <v>54</v>
      </c>
      <c r="B31" s="33">
        <f>IF(ISERROR(TER_onderwijs_ele_kWh/1000),0,TER_onderwijs_ele_kWh/1000)</f>
        <v>287.12615</v>
      </c>
      <c r="C31" s="39">
        <f>IF(ISERROR(B31*3.6/1000000/'E Balans VL '!Z11*100),0,B31*3.6/1000000/'E Balans VL '!Z11*100)</f>
        <v>8.1842645071264875E-2</v>
      </c>
      <c r="D31" s="237" t="s">
        <v>708</v>
      </c>
    </row>
    <row r="32" spans="1:18">
      <c r="A32" s="231" t="s">
        <v>259</v>
      </c>
      <c r="B32" s="33">
        <f>IF(ISERROR(TER_rest_ele_kWh/1000),0,TER_rest_ele_kWh/1000)</f>
        <v>3378.9595169999998</v>
      </c>
      <c r="C32" s="39">
        <f>IF(ISERROR(B32*3.6/1000000/'E Balans VL '!Z8*100),0,B32*3.6/1000000/'E Balans VL '!Z8*100)</f>
        <v>2.7679748101433331E-2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1255.594218</v>
      </c>
      <c r="C5" s="17">
        <f>IF(ISERROR('Eigen informatie GS &amp; warmtenet'!B61),0,'Eigen informatie GS &amp; warmtenet'!B61)</f>
        <v>0</v>
      </c>
      <c r="D5" s="30">
        <f>SUM(D6:D15)</f>
        <v>2767.1475803180001</v>
      </c>
      <c r="E5" s="17">
        <f>SUM(E6:E15)</f>
        <v>195.24451159784974</v>
      </c>
      <c r="F5" s="17">
        <f>SUM(F6:F15)</f>
        <v>608.99690052236247</v>
      </c>
      <c r="G5" s="18"/>
      <c r="H5" s="17"/>
      <c r="I5" s="17"/>
      <c r="J5" s="17">
        <f>SUM(J6:J15)</f>
        <v>4.4719771451706842</v>
      </c>
      <c r="K5" s="17"/>
      <c r="L5" s="17"/>
      <c r="M5" s="17"/>
      <c r="N5" s="17">
        <f>SUM(N6:N15)</f>
        <v>76.968153384852286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664.02972499999998</v>
      </c>
      <c r="C9" s="33"/>
      <c r="D9" s="37">
        <f>IF( ISERROR(IND_andere_gas_kWh/1000),0,IND_andere_gas_kWh/1000)*0.902</f>
        <v>1218.239476278</v>
      </c>
      <c r="E9" s="33">
        <f>C31*'E Balans VL '!I19/100/3.6*1000000</f>
        <v>184.01151598732798</v>
      </c>
      <c r="F9" s="33">
        <f>C31*'E Balans VL '!L19/100/3.6*1000000+C31*'E Balans VL '!N19/100/3.6*1000000</f>
        <v>550.34927105929512</v>
      </c>
      <c r="G9" s="34"/>
      <c r="H9" s="33"/>
      <c r="I9" s="33"/>
      <c r="J9" s="40">
        <f>C31*'E Balans VL '!D19/100/3.6*1000000+C31*'E Balans VL '!E19/100/3.6*1000000</f>
        <v>0</v>
      </c>
      <c r="K9" s="33"/>
      <c r="L9" s="33"/>
      <c r="M9" s="33"/>
      <c r="N9" s="33">
        <f>C31*'E Balans VL '!Y19/100/3.6*1000000</f>
        <v>48.200436072193675</v>
      </c>
      <c r="O9" s="33"/>
      <c r="P9" s="33"/>
      <c r="R9" s="32"/>
    </row>
    <row r="10" spans="1:18">
      <c r="A10" s="6" t="s">
        <v>40</v>
      </c>
      <c r="B10" s="37">
        <f t="shared" si="0"/>
        <v>343.54103000000003</v>
      </c>
      <c r="C10" s="33"/>
      <c r="D10" s="37">
        <f>IF( ISERROR(IND_voed_gas_kWh/1000),0,IND_voed_gas_kWh/1000)*0.902</f>
        <v>521.47623209000005</v>
      </c>
      <c r="E10" s="33">
        <f>C32*'E Balans VL '!I20/100/3.6*1000000</f>
        <v>0.60818398790734207</v>
      </c>
      <c r="F10" s="33">
        <f>C32*'E Balans VL '!L20/100/3.6*1000000+C32*'E Balans VL '!N20/100/3.6*1000000</f>
        <v>18.554260396836796</v>
      </c>
      <c r="G10" s="34"/>
      <c r="H10" s="33"/>
      <c r="I10" s="33"/>
      <c r="J10" s="40">
        <f>C32*'E Balans VL '!D20/100/3.6*1000000+C32*'E Balans VL '!E20/100/3.6*1000000</f>
        <v>0</v>
      </c>
      <c r="K10" s="33"/>
      <c r="L10" s="33"/>
      <c r="M10" s="33"/>
      <c r="N10" s="33">
        <f>C32*'E Balans VL '!Y20/100/3.6*1000000</f>
        <v>19.962357498539191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23.955874000000001</v>
      </c>
      <c r="C13" s="33"/>
      <c r="D13" s="37">
        <f>IF( ISERROR(IND_papier_gas_kWh/1000),0,IND_papier_gas_kWh/1000)*0.902</f>
        <v>54.031386617999999</v>
      </c>
      <c r="E13" s="33">
        <f>C35*'E Balans VL '!I23/100/3.6*1000000</f>
        <v>3.5247316626232379E-2</v>
      </c>
      <c r="F13" s="33">
        <f>C35*'E Balans VL '!L23/100/3.6*1000000+C35*'E Balans VL '!N23/100/3.6*1000000</f>
        <v>0.25650288605343202</v>
      </c>
      <c r="G13" s="34"/>
      <c r="H13" s="33"/>
      <c r="I13" s="33"/>
      <c r="J13" s="40">
        <f>C35*'E Balans VL '!D23/100/3.6*1000000+C35*'E Balans VL '!E23/100/3.6*1000000</f>
        <v>2.6209069531116236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224.067589</v>
      </c>
      <c r="C15" s="33"/>
      <c r="D15" s="37">
        <f>IF( ISERROR(IND_rest_gas_kWh/1000),0,IND_rest_gas_kWh/1000)*0.902</f>
        <v>973.40048533200002</v>
      </c>
      <c r="E15" s="33">
        <f>C37*'E Balans VL '!I15/100/3.6*1000000</f>
        <v>10.589564305988169</v>
      </c>
      <c r="F15" s="33">
        <f>C37*'E Balans VL '!L15/100/3.6*1000000+C37*'E Balans VL '!N15/100/3.6*1000000</f>
        <v>39.836866180177168</v>
      </c>
      <c r="G15" s="34"/>
      <c r="H15" s="33"/>
      <c r="I15" s="33"/>
      <c r="J15" s="40">
        <f>C37*'E Balans VL '!D15/100/3.6*1000000+C37*'E Balans VL '!E15/100/3.6*1000000</f>
        <v>1.8510701920590606</v>
      </c>
      <c r="K15" s="33"/>
      <c r="L15" s="33"/>
      <c r="M15" s="33"/>
      <c r="N15" s="33">
        <f>C37*'E Balans VL '!Y15/100/3.6*1000000</f>
        <v>8.8053598141194076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1255.594218</v>
      </c>
      <c r="C18" s="21">
        <f>C5+C16</f>
        <v>0</v>
      </c>
      <c r="D18" s="21">
        <f>MAX((D5+D16),0)</f>
        <v>2767.1475803180001</v>
      </c>
      <c r="E18" s="21">
        <f>MAX((E5+E16),0)</f>
        <v>195.24451159784974</v>
      </c>
      <c r="F18" s="21">
        <f>MAX((F5+F16),0)</f>
        <v>608.99690052236247</v>
      </c>
      <c r="G18" s="21"/>
      <c r="H18" s="21"/>
      <c r="I18" s="21"/>
      <c r="J18" s="21">
        <f>MAX((J5+J16),0)</f>
        <v>4.4719771451706842</v>
      </c>
      <c r="K18" s="21"/>
      <c r="L18" s="21">
        <f>MAX((L5+L16),0)</f>
        <v>0</v>
      </c>
      <c r="M18" s="21"/>
      <c r="N18" s="21">
        <f>MAX((N5+N16),0)</f>
        <v>76.968153384852286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0.21243103640929956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266.727181039264</v>
      </c>
      <c r="C22" s="23">
        <f ca="1">C18*C20</f>
        <v>0</v>
      </c>
      <c r="D22" s="23">
        <f>D18*D20</f>
        <v>558.96381122423611</v>
      </c>
      <c r="E22" s="23">
        <f>E18*E20</f>
        <v>44.320504132711889</v>
      </c>
      <c r="F22" s="23">
        <f>F18*F20</f>
        <v>162.60217243947079</v>
      </c>
      <c r="G22" s="23"/>
      <c r="H22" s="23"/>
      <c r="I22" s="23"/>
      <c r="J22" s="23">
        <f>J18*J20</f>
        <v>1.5830799093904222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664.02972499999998</v>
      </c>
      <c r="C31" s="39">
        <f>IF(ISERROR(B31*3.6/1000000/'E Balans VL '!Z19*100),0,B31*3.6/1000000/'E Balans VL '!Z19*100)</f>
        <v>3.3398542798488244E-2</v>
      </c>
      <c r="D31" s="237" t="s">
        <v>708</v>
      </c>
    </row>
    <row r="32" spans="1:18">
      <c r="A32" s="171" t="s">
        <v>40</v>
      </c>
      <c r="B32" s="37">
        <f>IF( ISERROR(IND_voed_ele_kWh/1000),0,IND_voed_ele_kWh/1000)</f>
        <v>343.54103000000003</v>
      </c>
      <c r="C32" s="39">
        <f>IF(ISERROR(B32*3.6/1000000/'E Balans VL '!Z20*100),0,B32*3.6/1000000/'E Balans VL '!Z20*100)</f>
        <v>1.1441956330863643E-2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23.955874000000001</v>
      </c>
      <c r="C35" s="39">
        <f>IF(ISERROR(B35*3.6/1000000/'E Balans VL '!Z22*100),0,B35*3.6/1000000/'E Balans VL '!Z22*100)</f>
        <v>4.4685796431829673E-3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224.067589</v>
      </c>
      <c r="C37" s="39">
        <f>IF(ISERROR(B37*3.6/1000000/'E Balans VL '!Z15*100),0,B37*3.6/1000000/'E Balans VL '!Z15*100)</f>
        <v>1.7483399364182442E-3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934.12961199999995</v>
      </c>
      <c r="C5" s="17">
        <f>'Eigen informatie GS &amp; warmtenet'!B62</f>
        <v>0</v>
      </c>
      <c r="D5" s="30">
        <f>IF(ISERROR(SUM(LB_lb_gas_kWh,LB_rest_gas_kWh)/1000),0,SUM(LB_lb_gas_kWh,LB_rest_gas_kWh)/1000)*0.902</f>
        <v>138.96375171800003</v>
      </c>
      <c r="E5" s="17">
        <f>B17*'E Balans VL '!I25/3.6*1000000/100</f>
        <v>29.153877152575948</v>
      </c>
      <c r="F5" s="17">
        <f>B17*('E Balans VL '!L25/3.6*1000000+'E Balans VL '!N25/3.6*1000000)/100</f>
        <v>3301.3175288949383</v>
      </c>
      <c r="G5" s="18"/>
      <c r="H5" s="17"/>
      <c r="I5" s="17"/>
      <c r="J5" s="17">
        <f>('E Balans VL '!D25+'E Balans VL '!E25)/3.6*1000000*landbouw!B17/100</f>
        <v>257.35918623808521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934.12961199999995</v>
      </c>
      <c r="C8" s="21">
        <f>C5+C6</f>
        <v>0</v>
      </c>
      <c r="D8" s="21">
        <f>MAX((D5+D6),0)</f>
        <v>138.96375171800003</v>
      </c>
      <c r="E8" s="21">
        <f>MAX((E5+E6),0)</f>
        <v>29.153877152575948</v>
      </c>
      <c r="F8" s="21">
        <f>MAX((F5+F6),0)</f>
        <v>3301.3175288949383</v>
      </c>
      <c r="G8" s="21"/>
      <c r="H8" s="21"/>
      <c r="I8" s="21"/>
      <c r="J8" s="21">
        <f>MAX((J5+J6),0)</f>
        <v>257.35918623808521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0.21243103640929956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198.43812161777686</v>
      </c>
      <c r="C12" s="23">
        <f ca="1">C8*C10</f>
        <v>0</v>
      </c>
      <c r="D12" s="23">
        <f>D8*D10</f>
        <v>28.070677847036006</v>
      </c>
      <c r="E12" s="23">
        <f>E8*E10</f>
        <v>6.6179301136347402</v>
      </c>
      <c r="F12" s="23">
        <f>F8*F10</f>
        <v>881.4517802149486</v>
      </c>
      <c r="G12" s="23"/>
      <c r="H12" s="23"/>
      <c r="I12" s="23"/>
      <c r="J12" s="23">
        <f>J8*J10</f>
        <v>91.105151928282154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0.13886506329916351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275.30250160886442</v>
      </c>
      <c r="C26" s="247">
        <f>B26*'GWP N2O_CH4'!B5</f>
        <v>5781.3525337861529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71.99289553584272</v>
      </c>
      <c r="C27" s="247">
        <f>B27*'GWP N2O_CH4'!B5</f>
        <v>1511.8508062526971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3.5337611517863556</v>
      </c>
      <c r="C28" s="247">
        <f>B28*'GWP N2O_CH4'!B4</f>
        <v>1095.4659570537704</v>
      </c>
      <c r="D28" s="50"/>
    </row>
    <row r="29" spans="1:4">
      <c r="A29" s="41" t="s">
        <v>276</v>
      </c>
      <c r="B29" s="247">
        <f>B34*'ha_N2O bodem landbouw'!B4</f>
        <v>18.164255198681577</v>
      </c>
      <c r="C29" s="247">
        <f>B29*'GWP N2O_CH4'!B4</f>
        <v>5630.919111591289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3.9830941250094528E-3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1.4391156187838031E-4</v>
      </c>
      <c r="C5" s="437" t="s">
        <v>210</v>
      </c>
      <c r="D5" s="422">
        <f>SUM(D6:D11)</f>
        <v>5.0414977281683685E-4</v>
      </c>
      <c r="E5" s="422">
        <f>SUM(E6:E11)</f>
        <v>4.2691954531464868E-4</v>
      </c>
      <c r="F5" s="435" t="s">
        <v>210</v>
      </c>
      <c r="G5" s="422">
        <f>SUM(G6:G11)</f>
        <v>0.22419102230097313</v>
      </c>
      <c r="H5" s="422">
        <f>SUM(H6:H11)</f>
        <v>4.7074891081272559E-2</v>
      </c>
      <c r="I5" s="437" t="s">
        <v>210</v>
      </c>
      <c r="J5" s="437" t="s">
        <v>210</v>
      </c>
      <c r="K5" s="437" t="s">
        <v>210</v>
      </c>
      <c r="L5" s="437" t="s">
        <v>210</v>
      </c>
      <c r="M5" s="422">
        <f>SUM(M6:M11)</f>
        <v>1.6039608645599866E-2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1.2577985121677411E-4</v>
      </c>
      <c r="C6" s="423"/>
      <c r="D6" s="890">
        <f>vkm_GW_PW*SUMIFS(TableVerdeelsleutelVkm[CNG],TableVerdeelsleutelVkm[Voertuigtype],"Lichte voertuigen")*SUMIFS(TableECFTransport[EnergieConsumptieFactor (PJ per km)],TableECFTransport[Index],CONCATENATE($A6,"_CNG_CNG"))</f>
        <v>4.0518751515066219E-4</v>
      </c>
      <c r="E6" s="890">
        <f>vkm_GW_PW*SUMIFS(TableVerdeelsleutelVkm[LPG],TableVerdeelsleutelVkm[Voertuigtype],"Lichte voertuigen")*SUMIFS(TableECFTransport[EnergieConsumptieFactor (PJ per km)],TableECFTransport[Index],CONCATENATE($A6,"_LPG_LPG"))</f>
        <v>3.4650688456401151E-4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0.11193885478724369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3.7957779136004025E-2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8.9655699393117409E-3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7.227547854928193E-2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1.0334744480398061E-6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4.1661325010608563E-3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1.8131710661606202E-5</v>
      </c>
      <c r="C8" s="423"/>
      <c r="D8" s="425">
        <f>vkm_NGW_PW*SUMIFS(TableVerdeelsleutelVkm[CNG],TableVerdeelsleutelVkm[Voertuigtype],"Lichte voertuigen")*SUMIFS(TableECFTransport[EnergieConsumptieFactor (PJ per km)],TableECFTransport[Index],CONCATENATE($A8,"_CNG_CNG"))</f>
        <v>9.8962257666174698E-5</v>
      </c>
      <c r="E8" s="425">
        <f>vkm_NGW_PW*SUMIFS(TableVerdeelsleutelVkm[LPG],TableVerdeelsleutelVkm[Voertuigtype],"Lichte voertuigen")*SUMIFS(TableECFTransport[EnergieConsumptieFactor (PJ per km)],TableECFTransport[Index],CONCATENATE($A8,"_LPG_LPG"))</f>
        <v>8.0412660750637177E-5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2.4274178907154869E-2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9.1157937865590788E-3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2.0027717575584678E-3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1.5702510057292639E-2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2.846842614166432E-7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9.0513444766879953E-4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39.975433855105642</v>
      </c>
      <c r="C14" s="21"/>
      <c r="D14" s="21">
        <f t="shared" ref="D14:M14" si="0">((D5)*10^9/3600)+D12</f>
        <v>140.04160356023246</v>
      </c>
      <c r="E14" s="21">
        <f t="shared" si="0"/>
        <v>118.58876258740241</v>
      </c>
      <c r="F14" s="21"/>
      <c r="G14" s="21">
        <f t="shared" si="0"/>
        <v>62275.283972492536</v>
      </c>
      <c r="H14" s="21">
        <f t="shared" si="0"/>
        <v>13076.358633686821</v>
      </c>
      <c r="I14" s="21"/>
      <c r="J14" s="21"/>
      <c r="K14" s="21"/>
      <c r="L14" s="21"/>
      <c r="M14" s="21">
        <f t="shared" si="0"/>
        <v>4455.4468459999625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0.21243103640929956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8.4920228447514923</v>
      </c>
      <c r="C18" s="23"/>
      <c r="D18" s="23">
        <f t="shared" ref="D18:M18" si="1">D14*D16</f>
        <v>28.28840391916696</v>
      </c>
      <c r="E18" s="23">
        <f t="shared" si="1"/>
        <v>26.919649107340348</v>
      </c>
      <c r="F18" s="23"/>
      <c r="G18" s="23">
        <f t="shared" si="1"/>
        <v>16627.500820655507</v>
      </c>
      <c r="H18" s="23">
        <f t="shared" si="1"/>
        <v>3256.0132997880182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4.7083199399999996E-3</v>
      </c>
      <c r="C50" s="319">
        <f t="shared" ref="C50:P50" si="2">SUM(C51:C52)</f>
        <v>0</v>
      </c>
      <c r="D50" s="319">
        <f t="shared" si="2"/>
        <v>0</v>
      </c>
      <c r="E50" s="319">
        <f t="shared" si="2"/>
        <v>0</v>
      </c>
      <c r="F50" s="319">
        <f t="shared" si="2"/>
        <v>0</v>
      </c>
      <c r="G50" s="319">
        <f t="shared" si="2"/>
        <v>1.016142863264955E-3</v>
      </c>
      <c r="H50" s="319">
        <f t="shared" si="2"/>
        <v>0</v>
      </c>
      <c r="I50" s="319">
        <f t="shared" si="2"/>
        <v>0</v>
      </c>
      <c r="J50" s="319">
        <f t="shared" si="2"/>
        <v>0</v>
      </c>
      <c r="K50" s="319">
        <f t="shared" si="2"/>
        <v>0</v>
      </c>
      <c r="L50" s="319">
        <f t="shared" si="2"/>
        <v>0</v>
      </c>
      <c r="M50" s="319">
        <f t="shared" si="2"/>
        <v>5.6468447212093192E-5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1.016142863264955E-3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5.6468447212093192E-5</v>
      </c>
      <c r="N51" s="321"/>
      <c r="O51" s="321"/>
      <c r="P51" s="324"/>
    </row>
    <row r="52" spans="1:18">
      <c r="A52" s="4" t="s">
        <v>329</v>
      </c>
      <c r="B52" s="891">
        <f>vkm_tram*SUMIFS(TableECFTransport[EnergieConsumptieFactor (PJ per km)],TableECFTransport[Index],"Tram_gemiddeld_Electric_Electric")</f>
        <v>4.7083199399999996E-3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1307.8666499999999</v>
      </c>
      <c r="C54" s="21">
        <f t="shared" ref="C54:P54" si="3">(C50)*10^9/3600</f>
        <v>0</v>
      </c>
      <c r="D54" s="21">
        <f t="shared" si="3"/>
        <v>0</v>
      </c>
      <c r="E54" s="21">
        <f t="shared" si="3"/>
        <v>0</v>
      </c>
      <c r="F54" s="21">
        <f t="shared" si="3"/>
        <v>0</v>
      </c>
      <c r="G54" s="21">
        <f t="shared" si="3"/>
        <v>282.2619064624875</v>
      </c>
      <c r="H54" s="21">
        <f t="shared" si="3"/>
        <v>0</v>
      </c>
      <c r="I54" s="21">
        <f t="shared" si="3"/>
        <v>0</v>
      </c>
      <c r="J54" s="21">
        <f t="shared" si="3"/>
        <v>0</v>
      </c>
      <c r="K54" s="21">
        <f t="shared" si="3"/>
        <v>0</v>
      </c>
      <c r="L54" s="21">
        <f t="shared" si="3"/>
        <v>0</v>
      </c>
      <c r="M54" s="21">
        <f t="shared" si="3"/>
        <v>15.685679781136997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0.21243103640929956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277.83146794465864</v>
      </c>
      <c r="C58" s="23">
        <f t="shared" ref="C58:P58" ca="1" si="4">C54*C56</f>
        <v>0</v>
      </c>
      <c r="D58" s="23">
        <f t="shared" si="4"/>
        <v>0</v>
      </c>
      <c r="E58" s="23">
        <f t="shared" si="4"/>
        <v>0</v>
      </c>
      <c r="F58" s="23">
        <f t="shared" si="4"/>
        <v>0</v>
      </c>
      <c r="G58" s="23">
        <f t="shared" si="4"/>
        <v>75.363929025484168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2674.7809538096758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2674.7809538096758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2020-06-20T15:33:49Z</dcterms:modified>
</cp:coreProperties>
</file>