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56" i="22"/>
  <c r="C58" i="22" s="1"/>
  <c r="D49" i="14" s="1"/>
  <c r="D52" i="14" s="1"/>
  <c r="C10" i="17"/>
  <c r="C12" i="17" s="1"/>
  <c r="D54" i="14" s="1"/>
  <c r="D56" i="14" s="1"/>
  <c r="C17" i="49"/>
  <c r="C22" i="59"/>
  <c r="C17" i="19"/>
  <c r="C19" i="19" s="1"/>
  <c r="D39" i="14" s="1"/>
  <c r="C18" i="15"/>
  <c r="C20" i="15" s="1"/>
  <c r="D40"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<sst xmlns="http://schemas.openxmlformats.org/spreadsheetml/2006/main" count="2411" uniqueCount="894">
  <si>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</si>
  <si>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</si>
  <si>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</si>
  <si>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</si>
  <si>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</si>
  <si>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</si>
  <si>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</si>
  <si>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</si>
  <si>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</si>
  <si>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</si>
  <si>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</si>
  <si>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</si>
  <si>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</si>
  <si>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</si>
  <si>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</si>
  <si>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</si>
  <si>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</si>
  <si>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</si>
  <si>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</si>
  <si>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</si>
  <si>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</si>
  <si>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</si>
  <si>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</si>
  <si>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</si>
  <si>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</si>
  <si>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</si>
  <si>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</si>
  <si>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</si>
  <si>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</si>
  <si>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</si>
  <si>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</si>
  <si>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</si>
  <si>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</si>
  <si>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</si>
  <si>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</si>
  <si>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</si>
  <si>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</si>
  <si>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</si>
  <si>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</si>
  <si>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</si>
  <si>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</si>
  <si>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</si>
  <si>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</si>
  <si>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</si>
  <si>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</si>
  <si>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</si>
  <si>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</si>
  <si>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</si>
  <si>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</si>
  <si>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</si>
  <si>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</si>
  <si>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</si>
  <si>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</si>
  <si>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</si>
  <si>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</si>
  <si>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</si>
  <si>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</si>
  <si>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</si>
  <si>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</si>
  <si>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</si>
  <si>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</si>
  <si>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</si>
  <si>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</si>
  <si>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</si>
  <si>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</si>
  <si>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</si>
  <si>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</si>
  <si>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</si>
  <si>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</si>
  <si>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</si>
  <si>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</si>
  <si>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</si>
  <si>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</si>
  <si>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</si>
  <si>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</si>
  <si>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</si>
  <si>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</si>
  <si>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</si>
  <si>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</si>
  <si>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</si>
  <si>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</si>
  <si>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</si>
  <si>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</si>
  <si>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</si>
  <si>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</si>
  <si>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</si>
  <si>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</si>
  <si>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</si>
  <si>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</si>
  <si>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</si>
  <si>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</si>
  <si>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</si>
  <si>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</si>
  <si>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</si>
  <si>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</si>
  <si>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</si>
  <si>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</si>
  <si>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</si>
  <si>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</si>
  <si>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</si>
  <si>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</si>
  <si>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</si>
  <si>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</si>
  <si>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</si>
  <si>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</si>
  <si>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</si>
  <si>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</si>
  <si>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</si>
  <si>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</si>
  <si>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</si>
  <si>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</si>
  <si>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</si>
  <si>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</si>
  <si>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</si>
  <si>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</si>
  <si>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</si>
  <si>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</si>
  <si>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</si>
  <si>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</si>
  <si>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</si>
  <si>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</si>
  <si>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</si>
  <si>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</si>
  <si>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</si>
  <si>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</si>
  <si>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</si>
  <si>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</si>
  <si>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</si>
  <si>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</si>
  <si>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</si>
  <si>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</si>
  <si>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</si>
  <si>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</si>
  <si>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</si>
  <si>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</si>
  <si>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</si>
  <si>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</si>
  <si>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</si>
  <si>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</si>
  <si>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</si>
  <si>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</si>
  <si>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</si>
  <si>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</si>
  <si>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</si>
  <si>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</si>
  <si>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</si>
  <si>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</si>
  <si>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</si>
  <si>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</si>
  <si>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</si>
  <si>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</si>
  <si>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</si>
  <si>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</si>
  <si>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</si>
  <si>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</si>
  <si>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</si>
  <si>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</si>
  <si>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</si>
  <si>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</si>
  <si>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</si>
  <si>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</si>
  <si>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</si>
  <si>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</si>
  <si>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</si>
  <si>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</si>
  <si>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</si>
  <si>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</si>
  <si>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</si>
  <si>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</si>
  <si>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</si>
  <si>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</si>
  <si>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</si>
  <si>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</si>
  <si>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</si>
  <si>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</si>
  <si>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</si>
  <si>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</si>
  <si>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</si>
  <si>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</si>
  <si>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</si>
  <si>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</si>
  <si>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</si>
  <si>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</si>
  <si>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</si>
  <si>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</si>
  <si>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</si>
  <si>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</si>
  <si>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</si>
  <si>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</si>
  <si>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</si>
  <si>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</si>
  <si>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</si>
  <si>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</si>
  <si>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</si>
  <si>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</si>
  <si>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</si>
  <si>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</si>
  <si>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</si>
  <si>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</si>
  <si>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</si>
  <si>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</si>
  <si>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</si>
  <si>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</si>
  <si>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</si>
  <si>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</si>
  <si>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</si>
  <si>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</si>
  <si>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</si>
  <si>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</si>
  <si>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</si>
  <si>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</si>
  <si>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</si>
  <si>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</si>
  <si>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</si>
  <si>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</si>
  <si>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</si>
  <si>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</si>
  <si>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</si>
  <si>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</si>
  <si>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</si>
  <si>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</si>
  <si>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</si>
  <si>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</si>
  <si>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</si>
  <si>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</si>
  <si>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</si>
  <si>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</si>
  <si>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</si>
  <si>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</si>
  <si>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</si>
  <si>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</si>
  <si>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</si>
  <si>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</si>
  <si>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</si>
  <si>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</si>
  <si>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</si>
  <si>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</si>
  <si>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</si>
  <si>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</si>
  <si>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</si>
  <si>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</si>
  <si>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</si>
  <si>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</si>
  <si>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</si>
  <si>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</si>
  <si>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</si>
  <si>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</si>
  <si>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</si>
  <si>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</si>
  <si>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</si>
  <si>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</si>
  <si>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</si>
  <si>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</si>
  <si>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</si>
  <si>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</si>
  <si>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</si>
  <si>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</si>
  <si>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</si>
  <si>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</si>
  <si>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</si>
  <si>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</si>
  <si>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</si>
  <si>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</si>
  <si>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</si>
  <si>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</si>
  <si>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</si>
  <si>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</si>
  <si>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</si>
  <si>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</si>
  <si>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</si>
  <si>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</si>
  <si>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</si>
  <si>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</si>
  <si>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</si>
  <si>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</si>
  <si>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</si>
  <si>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</si>
  <si>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</si>
  <si>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</si>
  <si>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</si>
  <si>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</si>
  <si>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</si>
  <si>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</si>
  <si>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</si>
  <si>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</si>
  <si>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</si>
  <si>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</si>
  <si>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</si>
  <si>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</si>
  <si>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</si>
  <si>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</si>
  <si>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</si>
  <si>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</si>
  <si>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</si>
  <si>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</si>
  <si>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</si>
  <si>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</si>
  <si>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</si>
  <si>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</si>
  <si>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</si>
  <si>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</si>
  <si>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</si>
  <si>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</si>
  <si>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</si>
  <si>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</si>
  <si>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</si>
  <si>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</si>
  <si>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</si>
  <si>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</si>
  <si>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</si>
  <si>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</si>
  <si>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</si>
  <si>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</si>
  <si>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</si>
  <si>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</si>
  <si>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</si>
  <si>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</si>
  <si>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</si>
  <si>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</si>
  <si>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</si>
  <si>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</si>
  <si>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</si>
  <si>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</si>
  <si>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</si>
  <si>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</si>
  <si>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</si>
  <si>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</si>
  <si>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</si>
  <si>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</si>
  <si>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</si>
  <si>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</si>
  <si>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</si>
  <si>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</si>
  <si>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</si>
  <si>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</si>
  <si>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</si>
  <si>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</si>
  <si>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</si>
  <si>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</si>
  <si>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</si>
  <si>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</si>
  <si>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</si>
  <si>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</si>
  <si>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</si>
  <si>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</si>
  <si>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</si>
  <si>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</si>
  <si>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</si>
  <si>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</si>
  <si>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</si>
  <si>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</si>
  <si>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</si>
  <si>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</si>
  <si>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</si>
  <si>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</si>
  <si>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</si>
  <si>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</si>
  <si>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</si>
  <si>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</si>
  <si>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</si>
  <si>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</si>
  <si>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</si>
  <si>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</si>
  <si>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</si>
  <si>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</si>
  <si>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</si>
  <si>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</si>
  <si>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</si>
  <si>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</si>
  <si>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</si>
  <si>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</si>
  <si>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</si>
  <si>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</si>
  <si>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</si>
  <si>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</si>
  <si>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</si>
  <si>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</si>
  <si>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</si>
  <si>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</si>
  <si>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</si>
  <si>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</si>
  <si>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</si>
  <si>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</si>
  <si>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</si>
  <si>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</si>
  <si>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</si>
  <si>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</si>
  <si>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</si>
  <si>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</si>
  <si>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</si>
  <si>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</si>
  <si>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</si>
  <si>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</si>
  <si>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</si>
  <si>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</si>
  <si>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</si>
  <si>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</si>
  <si>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</si>
  <si>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</si>
  <si>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</si>
  <si>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</si>
  <si>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</si>
  <si>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</si>
  <si>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</si>
  <si>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</si>
  <si>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</si>
  <si>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</si>
  <si>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</si>
  <si>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</si>
  <si>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</si>
  <si>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</si>
  <si>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</si>
  <si>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</si>
  <si>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</si>
  <si>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</si>
  <si>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</si>
  <si>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</si>
  <si>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</si>
  <si>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</si>
  <si>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</si>
  <si>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</si>
  <si>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</si>
  <si>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</si>
  <si>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</si>
  <si>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</si>
  <si>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</si>
  <si>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</si>
  <si>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</si>
  <si>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</si>
  <si>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</si>
  <si>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</si>
  <si>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</si>
  <si>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</si>
  <si>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</si>
  <si>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</si>
  <si>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</si>
  <si>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</si>
  <si>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</si>
  <si>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</si>
  <si>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</si>
  <si>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</si>
  <si>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</si>
  <si>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</si>
  <si>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</si>
  <si>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</si>
  <si>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</si>
  <si>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</si>
  <si>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</si>
  <si>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</si>
  <si>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</si>
  <si>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</si>
  <si>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</si>
  <si>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</si>
  <si>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</si>
  <si>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</si>
  <si>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</si>
  <si>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</si>
  <si>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</si>
  <si>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</si>
  <si>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</si>
  <si>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</si>
  <si>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</si>
  <si>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</si>
  <si>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</si>
  <si>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</si>
  <si>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</si>
  <si>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</si>
  <si>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</si>
  <si>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</si>
  <si>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</si>
  <si>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</si>
  <si>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</si>
  <si>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</si>
  <si>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</si>
  <si>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</si>
  <si>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</si>
  <si>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</si>
  <si>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</si>
  <si>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</si>
  <si>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</si>
  <si>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</si>
  <si>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</si>
  <si>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</si>
  <si>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</si>
  <si>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</si>
  <si>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</si>
  <si>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</si>
  <si>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</si>
  <si>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</si>
  <si>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</si>
  <si>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</si>
  <si>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</si>
  <si>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</si>
  <si>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</si>
  <si>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</si>
  <si>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</si>
  <si>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</si>
  <si>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</si>
  <si>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</si>
  <si>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</si>
  <si>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</si>
  <si>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</si>
  <si>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</si>
  <si>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</si>
  <si>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</si>
  <si>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</si>
  <si>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</si>
  <si>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</si>
  <si>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</si>
  <si>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</si>
  <si>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</si>
  <si>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</si>
  <si>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</si>
  <si>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</si>
  <si>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</si>
  <si>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</si>
  <si>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</si>
  <si>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</si>
  <si>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</si>
  <si>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</si>
  <si>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</si>
  <si>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</si>
  <si>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</si>
  <si>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</si>
  <si>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</si>
  <si>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</si>
  <si>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</si>
  <si>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</si>
  <si>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</si>
  <si>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</si>
  <si>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</si>
  <si>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</si>
  <si>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</si>
  <si>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</si>
  <si>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</si>
  <si>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</si>
  <si>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</si>
  <si>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</si>
  <si>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</si>
  <si>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</si>
  <si>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</si>
  <si>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</si>
  <si>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</si>
  <si>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</si>
  <si>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</si>
  <si>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</si>
  <si>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</si>
  <si>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</si>
  <si>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</si>
  <si>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</si>
  <si>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</si>
  <si>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</si>
  <si>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</si>
  <si>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</si>
  <si>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</si>
  <si>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</si>
  <si>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</si>
  <si>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</si>
  <si>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</si>
  <si>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</si>
  <si>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</si>
  <si>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</si>
  <si>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</si>
  <si>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</si>
  <si>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</si>
  <si>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</si>
  <si>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</si>
  <si>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</si>
  <si>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</si>
  <si>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</si>
  <si>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</si>
  <si>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</si>
  <si>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</si>
  <si>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</si>
  <si>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</si>
  <si>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</si>
  <si>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</si>
  <si>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</si>
  <si>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</si>
  <si>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</si>
  <si>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</si>
  <si>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</si>
  <si>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</si>
  <si>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</si>
  <si>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</si>
  <si>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</si>
  <si>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</si>
  <si>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</si>
  <si>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</si>
  <si>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</si>
  <si>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</si>
  <si>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</si>
  <si>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</si>
  <si>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</si>
  <si>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</si>
  <si>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</si>
  <si>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</si>
  <si>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</si>
  <si>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</si>
  <si>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</si>
  <si>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</si>
  <si>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</si>
  <si>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</si>
  <si>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</si>
  <si>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</si>
  <si>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</si>
  <si>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</si>
  <si>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</si>
  <si>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</si>
  <si>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</si>
  <si>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</si>
  <si>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</si>
  <si>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</si>
  <si>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</si>
  <si>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</si>
  <si>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</si>
  <si>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</si>
  <si>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</si>
  <si>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</si>
  <si>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</si>
  <si>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</si>
  <si>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</si>
  <si>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</si>
  <si>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</si>
  <si>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</si>
  <si>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</si>
  <si>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</si>
  <si>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</si>
  <si>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</si>
  <si>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</si>
  <si>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</si>
  <si>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</si>
  <si>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</si>
  <si>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</si>
  <si>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</si>
  <si>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</si>
  <si>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</si>
  <si>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</si>
  <si>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</si>
  <si>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</si>
  <si>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</si>
  <si>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</si>
  <si>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</si>
  <si>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</si>
  <si>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</si>
  <si>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</si>
  <si>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</si>
  <si>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</si>
  <si>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</si>
  <si>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</si>
  <si>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</si>
  <si>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</si>
  <si>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</si>
  <si>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</si>
  <si>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</si>
  <si>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</si>
  <si>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</si>
  <si>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</si>
  <si>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</si>
  <si>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</si>
  <si>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</si>
  <si>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</si>
  <si>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</si>
  <si>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</si>
  <si>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</si>
  <si>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</si>
  <si>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</si>
  <si>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</si>
  <si>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</si>
  <si>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</si>
  <si>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</si>
  <si>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</si>
  <si>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</si>
  <si>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</si>
  <si>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</si>
  <si>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</si>
  <si>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</si>
  <si>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</si>
  <si>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</si>
  <si>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</si>
  <si>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</si>
  <si>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</si>
  <si>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</si>
  <si>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</si>
  <si>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</si>
  <si>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</si>
  <si>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</si>
  <si>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</si>
  <si>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</si>
  <si>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</si>
  <si>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</si>
  <si>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</si>
  <si>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</si>
  <si>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</si>
  <si>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</si>
  <si>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</si>
  <si>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</si>
  <si>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</si>
  <si>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</si>
  <si>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</si>
  <si>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</si>
  <si>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</si>
  <si>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</si>
  <si>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</si>
  <si>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</si>
  <si>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</si>
  <si>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</si>
  <si>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</si>
  <si>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</si>
  <si>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</si>
  <si>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</si>
  <si>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</si>
  <si>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</si>
  <si>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</si>
  <si>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</si>
  <si>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</si>
  <si>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</si>
  <si>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</si>
  <si>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</si>
  <si>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</si>
  <si>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</si>
  <si>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</si>
  <si>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</si>
  <si>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</si>
  <si>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</si>
  <si>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</si>
  <si>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</si>
  <si>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</si>
  <si>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</si>
  <si>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</si>
  <si>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</si>
  <si>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</si>
  <si>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</si>
  <si>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</si>
  <si>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</si>
  <si>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</si>
  <si>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</si>
  <si>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</si>
  <si>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</si>
  <si>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</si>
  <si>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</si>
  <si>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</si>
  <si>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</si>
  <si>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</si>
  <si>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</si>
  <si>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</si>
  <si>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</si>
  <si>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</si>
  <si>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</si>
  <si>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</si>
  <si>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</si>
  <si>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</si>
  <si>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</si>
  <si>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</si>
  <si>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</si>
  <si>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</si>
  <si>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</si>
  <si>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</si>
  <si>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</si>
  <si>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</si>
  <si>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</si>
  <si>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</si>
  <si>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</si>
  <si>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</si>
  <si>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</si>
  <si>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</si>
  <si>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</si>
  <si>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</si>
  <si>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</si>
  <si>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</si>
  <si>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</si>
  <si>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</si>
  <si>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</si>
  <si>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</si>
  <si>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</si>
  <si>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</si>
  <si>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</si>
  <si>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</si>
  <si>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</si>
  <si>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</si>
  <si>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</si>
  <si>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</si>
  <si>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</si>
  <si>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</si>
  <si>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</si>
  <si>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</si>
  <si>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</si>
  <si>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</si>
  <si>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</si>
  <si>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</si>
  <si>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</si>
  <si>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</si>
  <si>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</si>
  <si>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</si>
  <si>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</si>
  <si>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</si>
  <si>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</si>
  <si>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</si>
  <si>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</si>
  <si>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</si>
  <si>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</si>
  <si>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</si>
  <si>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</si>
  <si>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</si>
  <si>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</si>
  <si>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</si>
  <si>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</si>
  <si>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</si>
  <si>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</si>
  <si>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</si>
  <si>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</si>
  <si>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</si>
  <si>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</si>
  <si>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</si>
  <si>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</si>
  <si>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</si>
  <si>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</si>
  <si>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</si>
  <si>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</si>
  <si>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</si>
  <si>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</si>
  <si>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</si>
  <si>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</si>
  <si>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</si>
  <si>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</si>
  <si>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</si>
  <si>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</si>
  <si>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</si>
  <si>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</si>
  <si>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</si>
  <si>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</si>
  <si>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</si>
  <si>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</si>
  <si>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</si>
  <si>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</si>
  <si>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</si>
  <si>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</si>
  <si>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</si>
  <si>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</si>
  <si>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</si>
  <si>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</si>
  <si>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</si>
  <si>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</si>
  <si>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</si>
  <si>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</si>
  <si>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</si>
  <si>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</si>
  <si>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</si>
  <si>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</si>
  <si>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</si>
  <si>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</si>
  <si>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</si>
  <si>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</si>
  <si>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</si>
  <si>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</si>
  <si>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</si>
  <si>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</si>
  <si>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</si>
  <si>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</si>
  <si>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</si>
  <si>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</si>
  <si>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</si>
  <si>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</si>
  <si>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</si>
  <si>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</si>
  <si>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</si>
  <si>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</si>
  <si>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</si>
  <si>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</si>
  <si>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</si>
  <si>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</si>
  <si>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</si>
  <si>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</si>
  <si>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</si>
  <si>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</si>
  <si>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</si>
  <si>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</si>
  <si>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</si>
  <si>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</si>
  <si>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</si>
  <si>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</si>
  <si>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</si>
  <si>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</si>
  <si>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</si>
  <si>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</si>
  <si>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35006</t>
  </si>
  <si>
    <t>ICHTEGEM</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</si>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</sst>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125862.53994753122</c:v>
                </c:pt>
                <c:pt idx="1">
                  <c:v>27475.952088764967</c:v>
                </c:pt>
                <c:pt idx="2">
                  <c:v>756.40899999999999</c:v>
                </c:pt>
                <c:pt idx="3">
                  <c:v>50707.230183491134</c:v>
                </c:pt>
                <c:pt idx="4">
                  <c:v>106726.88858012235</c:v>
                </c:pt>
                <c:pt idx="5">
                  <c:v>57087.466559742621</c:v>
                </c:pt>
                <c:pt idx="6">
                  <c:v>1120.0401626925966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125862.53994753122</c:v>
                </c:pt>
                <c:pt idx="1">
                  <c:v>27475.952088764967</c:v>
                </c:pt>
                <c:pt idx="2">
                  <c:v>756.40899999999999</c:v>
                </c:pt>
                <c:pt idx="3">
                  <c:v>50707.230183491134</c:v>
                </c:pt>
                <c:pt idx="4">
                  <c:v>106726.88858012235</c:v>
                </c:pt>
                <c:pt idx="5">
                  <c:v>57087.466559742621</c:v>
                </c:pt>
                <c:pt idx="6">
                  <c:v>1120.0401626925966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21908.976191106376</c:v>
                </c:pt>
                <c:pt idx="1">
                  <c:v>5380.2612096843413</c:v>
                </c:pt>
                <c:pt idx="2">
                  <c:v>153.03561352293971</c:v>
                </c:pt>
                <c:pt idx="3">
                  <c:v>12387.08681216832</c:v>
                </c:pt>
                <c:pt idx="4">
                  <c:v>21579.050383073052</c:v>
                </c:pt>
                <c:pt idx="5">
                  <c:v>14181.714978629838</c:v>
                </c:pt>
                <c:pt idx="6">
                  <c:v>283.30696815189526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21908.976191106376</c:v>
                </c:pt>
                <c:pt idx="1">
                  <c:v>5380.2612096843413</c:v>
                </c:pt>
                <c:pt idx="2">
                  <c:v>153.03561352293971</c:v>
                </c:pt>
                <c:pt idx="3">
                  <c:v>12387.08681216832</c:v>
                </c:pt>
                <c:pt idx="4">
                  <c:v>21579.050383073052</c:v>
                </c:pt>
                <c:pt idx="5">
                  <c:v>14181.714978629838</c:v>
                </c:pt>
                <c:pt idx="6">
                  <c:v>283.30696815189526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35006</v>
      </c>
      <c r="B6" s="390"/>
      <c r="C6" s="391"/>
    </row>
    <row r="7" spans="1:7" s="388" customFormat="1" ht="15.75" customHeight="1">
      <c r="A7" s="392" t="str">
        <f>txtMunicipality</f>
        <v>ICHTEGEM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11259.103787</v>
      </c>
      <c r="D10" s="686">
        <f ca="1">tertiair!C16</f>
        <v>0</v>
      </c>
      <c r="E10" s="686">
        <f ca="1">tertiair!D16</f>
        <v>14347.584673025998</v>
      </c>
      <c r="F10" s="686">
        <f>tertiair!E16</f>
        <v>164.90775903751563</v>
      </c>
      <c r="G10" s="686">
        <f ca="1">tertiair!F16</f>
        <v>1197.4314776440192</v>
      </c>
      <c r="H10" s="686">
        <f>tertiair!G16</f>
        <v>0</v>
      </c>
      <c r="I10" s="686">
        <f>tertiair!H16</f>
        <v>0</v>
      </c>
      <c r="J10" s="686">
        <f>tertiair!I16</f>
        <v>0</v>
      </c>
      <c r="K10" s="686">
        <f>tertiair!J16</f>
        <v>2.9051316172997867E-2</v>
      </c>
      <c r="L10" s="686">
        <f>tertiair!K16</f>
        <v>0</v>
      </c>
      <c r="M10" s="686">
        <f ca="1">tertiair!L16</f>
        <v>0</v>
      </c>
      <c r="N10" s="686">
        <f>tertiair!M16</f>
        <v>0</v>
      </c>
      <c r="O10" s="686">
        <f ca="1">tertiair!N16</f>
        <v>1138.6370210649038</v>
      </c>
      <c r="P10" s="686">
        <f>tertiair!O16</f>
        <v>19.589043063364617</v>
      </c>
      <c r="Q10" s="687">
        <f>tertiair!P16</f>
        <v>105.07827661299004</v>
      </c>
      <c r="R10" s="689">
        <f ca="1">SUM(C10:Q10)</f>
        <v>28232.361088764967</v>
      </c>
      <c r="S10" s="67"/>
    </row>
    <row r="11" spans="1:19" s="448" customFormat="1">
      <c r="A11" s="808" t="s">
        <v>224</v>
      </c>
      <c r="B11" s="813"/>
      <c r="C11" s="686">
        <f>huishoudens!B8</f>
        <v>23358.716223305524</v>
      </c>
      <c r="D11" s="686">
        <f>huishoudens!C8</f>
        <v>0</v>
      </c>
      <c r="E11" s="686">
        <f>huishoudens!D8</f>
        <v>51861.636505140006</v>
      </c>
      <c r="F11" s="686">
        <f>huishoudens!E8</f>
        <v>18022.022721678841</v>
      </c>
      <c r="G11" s="686">
        <f>huishoudens!F8</f>
        <v>8708.3271568513264</v>
      </c>
      <c r="H11" s="686">
        <f>huishoudens!G8</f>
        <v>0</v>
      </c>
      <c r="I11" s="686">
        <f>huishoudens!H8</f>
        <v>0</v>
      </c>
      <c r="J11" s="686">
        <f>huishoudens!I8</f>
        <v>0</v>
      </c>
      <c r="K11" s="686">
        <f>huishoudens!J8</f>
        <v>821.75206954664463</v>
      </c>
      <c r="L11" s="686">
        <f>huishoudens!K8</f>
        <v>0</v>
      </c>
      <c r="M11" s="686">
        <f>huishoudens!L8</f>
        <v>0</v>
      </c>
      <c r="N11" s="686">
        <f>huishoudens!M8</f>
        <v>0</v>
      </c>
      <c r="O11" s="686">
        <f>huishoudens!N8</f>
        <v>22340.193809943299</v>
      </c>
      <c r="P11" s="686">
        <f>huishoudens!O8</f>
        <v>444.40664114269515</v>
      </c>
      <c r="Q11" s="687">
        <f>huishoudens!P8</f>
        <v>305.48481992286571</v>
      </c>
      <c r="R11" s="689">
        <f>SUM(C11:Q11)</f>
        <v>125862.53994753122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10311.046157000001</v>
      </c>
      <c r="D13" s="686">
        <f>industrie!C18</f>
        <v>0</v>
      </c>
      <c r="E13" s="686">
        <f>industrie!D18</f>
        <v>93405.236132229998</v>
      </c>
      <c r="F13" s="686">
        <f>industrie!E18</f>
        <v>498.48483527657601</v>
      </c>
      <c r="G13" s="686">
        <f>industrie!F18</f>
        <v>1904.836666866614</v>
      </c>
      <c r="H13" s="686">
        <f>industrie!G18</f>
        <v>0</v>
      </c>
      <c r="I13" s="686">
        <f>industrie!H18</f>
        <v>0</v>
      </c>
      <c r="J13" s="686">
        <f>industrie!I18</f>
        <v>0</v>
      </c>
      <c r="K13" s="686">
        <f>industrie!J18</f>
        <v>9.4032892550916376</v>
      </c>
      <c r="L13" s="686">
        <f>industrie!K18</f>
        <v>0</v>
      </c>
      <c r="M13" s="686">
        <f>industrie!L18</f>
        <v>0</v>
      </c>
      <c r="N13" s="686">
        <f>industrie!M18</f>
        <v>0</v>
      </c>
      <c r="O13" s="686">
        <f>industrie!N18</f>
        <v>597.88149949407489</v>
      </c>
      <c r="P13" s="686">
        <f>industrie!O18</f>
        <v>0</v>
      </c>
      <c r="Q13" s="687">
        <f>industrie!P18</f>
        <v>0</v>
      </c>
      <c r="R13" s="689">
        <f>SUM(C13:Q13)</f>
        <v>106726.88858012235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44928.866167305532</v>
      </c>
      <c r="D16" s="722">
        <f t="shared" ref="D16:R16" ca="1" si="0">SUM(D9:D15)</f>
        <v>0</v>
      </c>
      <c r="E16" s="722">
        <f t="shared" ca="1" si="0"/>
        <v>159614.45731039601</v>
      </c>
      <c r="F16" s="722">
        <f t="shared" si="0"/>
        <v>18685.415315992934</v>
      </c>
      <c r="G16" s="722">
        <f t="shared" ca="1" si="0"/>
        <v>11810.595301361958</v>
      </c>
      <c r="H16" s="722">
        <f t="shared" si="0"/>
        <v>0</v>
      </c>
      <c r="I16" s="722">
        <f t="shared" si="0"/>
        <v>0</v>
      </c>
      <c r="J16" s="722">
        <f t="shared" si="0"/>
        <v>0</v>
      </c>
      <c r="K16" s="722">
        <f t="shared" si="0"/>
        <v>831.18441011790924</v>
      </c>
      <c r="L16" s="722">
        <f t="shared" si="0"/>
        <v>0</v>
      </c>
      <c r="M16" s="722">
        <f t="shared" ca="1" si="0"/>
        <v>0</v>
      </c>
      <c r="N16" s="722">
        <f t="shared" si="0"/>
        <v>0</v>
      </c>
      <c r="O16" s="722">
        <f t="shared" ca="1" si="0"/>
        <v>24076.712330502276</v>
      </c>
      <c r="P16" s="722">
        <f t="shared" si="0"/>
        <v>463.99568420605976</v>
      </c>
      <c r="Q16" s="722">
        <f t="shared" si="0"/>
        <v>410.56309653585572</v>
      </c>
      <c r="R16" s="722">
        <f t="shared" ca="1" si="0"/>
        <v>260821.78961641854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1061.0747870857499</v>
      </c>
      <c r="I19" s="686">
        <f>transport!H54</f>
        <v>0</v>
      </c>
      <c r="J19" s="686">
        <f>transport!I54</f>
        <v>0</v>
      </c>
      <c r="K19" s="686">
        <f>transport!J54</f>
        <v>0</v>
      </c>
      <c r="L19" s="686">
        <f>transport!K54</f>
        <v>0</v>
      </c>
      <c r="M19" s="686">
        <f>transport!L54</f>
        <v>0</v>
      </c>
      <c r="N19" s="686">
        <f>transport!M54</f>
        <v>58.965375606846663</v>
      </c>
      <c r="O19" s="686">
        <f>transport!N54</f>
        <v>0</v>
      </c>
      <c r="P19" s="686">
        <f>transport!O54</f>
        <v>0</v>
      </c>
      <c r="Q19" s="687">
        <f>transport!P54</f>
        <v>0</v>
      </c>
      <c r="R19" s="689">
        <f>SUM(C19:Q19)</f>
        <v>1120.0401626925966</v>
      </c>
      <c r="S19" s="67"/>
    </row>
    <row r="20" spans="1:19" s="448" customFormat="1">
      <c r="A20" s="808" t="s">
        <v>306</v>
      </c>
      <c r="B20" s="813"/>
      <c r="C20" s="686">
        <f>transport!B14</f>
        <v>29.571183489842795</v>
      </c>
      <c r="D20" s="686">
        <f>transport!C14</f>
        <v>0</v>
      </c>
      <c r="E20" s="686">
        <f>transport!D14</f>
        <v>117.38540810199427</v>
      </c>
      <c r="F20" s="686">
        <f>transport!E14</f>
        <v>98.084248584275244</v>
      </c>
      <c r="G20" s="686">
        <f>transport!F14</f>
        <v>0</v>
      </c>
      <c r="H20" s="686">
        <f>transport!G14</f>
        <v>42743.832547852668</v>
      </c>
      <c r="I20" s="686">
        <f>transport!H14</f>
        <v>10912.256670291512</v>
      </c>
      <c r="J20" s="686">
        <f>transport!I14</f>
        <v>0</v>
      </c>
      <c r="K20" s="686">
        <f>transport!J14</f>
        <v>0</v>
      </c>
      <c r="L20" s="686">
        <f>transport!K14</f>
        <v>0</v>
      </c>
      <c r="M20" s="686">
        <f>transport!L14</f>
        <v>0</v>
      </c>
      <c r="N20" s="686">
        <f>transport!M14</f>
        <v>3186.3365014223305</v>
      </c>
      <c r="O20" s="686">
        <f>transport!N14</f>
        <v>0</v>
      </c>
      <c r="P20" s="686">
        <f>transport!O14</f>
        <v>0</v>
      </c>
      <c r="Q20" s="687">
        <f>transport!P14</f>
        <v>0</v>
      </c>
      <c r="R20" s="689">
        <f>SUM(C20:Q20)</f>
        <v>57087.466559742621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29.571183489842795</v>
      </c>
      <c r="D22" s="811">
        <f t="shared" ref="D22:R22" si="1">SUM(D18:D21)</f>
        <v>0</v>
      </c>
      <c r="E22" s="811">
        <f t="shared" si="1"/>
        <v>117.38540810199427</v>
      </c>
      <c r="F22" s="811">
        <f t="shared" si="1"/>
        <v>98.084248584275244</v>
      </c>
      <c r="G22" s="811">
        <f t="shared" si="1"/>
        <v>0</v>
      </c>
      <c r="H22" s="811">
        <f t="shared" si="1"/>
        <v>43804.90733493842</v>
      </c>
      <c r="I22" s="811">
        <f t="shared" si="1"/>
        <v>10912.256670291512</v>
      </c>
      <c r="J22" s="811">
        <f t="shared" si="1"/>
        <v>0</v>
      </c>
      <c r="K22" s="811">
        <f t="shared" si="1"/>
        <v>0</v>
      </c>
      <c r="L22" s="811">
        <f t="shared" si="1"/>
        <v>0</v>
      </c>
      <c r="M22" s="811">
        <f t="shared" si="1"/>
        <v>0</v>
      </c>
      <c r="N22" s="811">
        <f t="shared" si="1"/>
        <v>3245.3018770291769</v>
      </c>
      <c r="O22" s="811">
        <f t="shared" si="1"/>
        <v>0</v>
      </c>
      <c r="P22" s="811">
        <f t="shared" si="1"/>
        <v>0</v>
      </c>
      <c r="Q22" s="811">
        <f t="shared" si="1"/>
        <v>0</v>
      </c>
      <c r="R22" s="811">
        <f t="shared" si="1"/>
        <v>58207.506722435217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3362.1941720000004</v>
      </c>
      <c r="D24" s="686">
        <f>+landbouw!C8</f>
        <v>34431.428571428572</v>
      </c>
      <c r="E24" s="686">
        <f>+landbouw!D8</f>
        <v>0</v>
      </c>
      <c r="F24" s="686">
        <f>+landbouw!E8</f>
        <v>104.93297139326191</v>
      </c>
      <c r="G24" s="686">
        <f>+landbouw!F8</f>
        <v>11882.366657671062</v>
      </c>
      <c r="H24" s="686">
        <f>+landbouw!G8</f>
        <v>0</v>
      </c>
      <c r="I24" s="686">
        <f>+landbouw!H8</f>
        <v>0</v>
      </c>
      <c r="J24" s="686">
        <f>+landbouw!I8</f>
        <v>0</v>
      </c>
      <c r="K24" s="686">
        <f>+landbouw!J8</f>
        <v>926.30781099823753</v>
      </c>
      <c r="L24" s="686">
        <f>+landbouw!K8</f>
        <v>0</v>
      </c>
      <c r="M24" s="686">
        <f>+landbouw!L8</f>
        <v>0</v>
      </c>
      <c r="N24" s="686">
        <f>+landbouw!M8</f>
        <v>0</v>
      </c>
      <c r="O24" s="686">
        <f>+landbouw!N8</f>
        <v>0</v>
      </c>
      <c r="P24" s="686">
        <f>+landbouw!O8</f>
        <v>0</v>
      </c>
      <c r="Q24" s="687">
        <f>+landbouw!P8</f>
        <v>0</v>
      </c>
      <c r="R24" s="689">
        <f>SUM(C24:Q24)</f>
        <v>50707.230183491134</v>
      </c>
      <c r="S24" s="67"/>
    </row>
    <row r="25" spans="1:19" s="448" customFormat="1" ht="15" thickBot="1">
      <c r="A25" s="830" t="s">
        <v>724</v>
      </c>
      <c r="B25" s="949"/>
      <c r="C25" s="950">
        <f>IF(Onbekend_ele_kWh="---",0,Onbekend_ele_kWh)/1000+IF(REST_rest_ele_kWh="---",0,REST_rest_ele_kWh)/1000</f>
        <v>629.31833299999994</v>
      </c>
      <c r="D25" s="950"/>
      <c r="E25" s="950">
        <f>IF(onbekend_gas_kWh="---",0,onbekend_gas_kWh)/1000+IF(REST_rest_gas_kWh="---",0,REST_rest_gas_kWh)/1000</f>
        <v>1658.300348</v>
      </c>
      <c r="F25" s="950"/>
      <c r="G25" s="950"/>
      <c r="H25" s="950"/>
      <c r="I25" s="950"/>
      <c r="J25" s="950"/>
      <c r="K25" s="950"/>
      <c r="L25" s="950"/>
      <c r="M25" s="950"/>
      <c r="N25" s="950"/>
      <c r="O25" s="950"/>
      <c r="P25" s="950"/>
      <c r="Q25" s="951"/>
      <c r="R25" s="689">
        <f>SUM(C25:Q25)</f>
        <v>2287.6186809999999</v>
      </c>
      <c r="S25" s="67"/>
    </row>
    <row r="26" spans="1:19" s="448" customFormat="1" ht="15.75" thickBot="1">
      <c r="A26" s="694" t="s">
        <v>725</v>
      </c>
      <c r="B26" s="816"/>
      <c r="C26" s="811">
        <f>SUM(C24:C25)</f>
        <v>3991.5125050000006</v>
      </c>
      <c r="D26" s="811">
        <f t="shared" ref="D26:R26" si="2">SUM(D24:D25)</f>
        <v>34431.428571428572</v>
      </c>
      <c r="E26" s="811">
        <f t="shared" si="2"/>
        <v>1658.300348</v>
      </c>
      <c r="F26" s="811">
        <f t="shared" si="2"/>
        <v>104.93297139326191</v>
      </c>
      <c r="G26" s="811">
        <f t="shared" si="2"/>
        <v>11882.366657671062</v>
      </c>
      <c r="H26" s="811">
        <f t="shared" si="2"/>
        <v>0</v>
      </c>
      <c r="I26" s="811">
        <f t="shared" si="2"/>
        <v>0</v>
      </c>
      <c r="J26" s="811">
        <f t="shared" si="2"/>
        <v>0</v>
      </c>
      <c r="K26" s="811">
        <f t="shared" si="2"/>
        <v>926.30781099823753</v>
      </c>
      <c r="L26" s="811">
        <f t="shared" si="2"/>
        <v>0</v>
      </c>
      <c r="M26" s="811">
        <f t="shared" si="2"/>
        <v>0</v>
      </c>
      <c r="N26" s="811">
        <f t="shared" si="2"/>
        <v>0</v>
      </c>
      <c r="O26" s="811">
        <f t="shared" si="2"/>
        <v>0</v>
      </c>
      <c r="P26" s="811">
        <f t="shared" si="2"/>
        <v>0</v>
      </c>
      <c r="Q26" s="811">
        <f t="shared" si="2"/>
        <v>0</v>
      </c>
      <c r="R26" s="811">
        <f t="shared" si="2"/>
        <v>52994.848864491134</v>
      </c>
      <c r="S26" s="67"/>
    </row>
    <row r="27" spans="1:19" s="448" customFormat="1" ht="17.25" thickTop="1" thickBot="1">
      <c r="A27" s="695" t="s">
        <v>115</v>
      </c>
      <c r="B27" s="803"/>
      <c r="C27" s="696">
        <f ca="1">C22+C16+C26</f>
        <v>48949.94985579537</v>
      </c>
      <c r="D27" s="696">
        <f t="shared" ref="D27:R27" ca="1" si="3">D22+D16+D26</f>
        <v>34431.428571428572</v>
      </c>
      <c r="E27" s="696">
        <f t="shared" ca="1" si="3"/>
        <v>161390.14306649799</v>
      </c>
      <c r="F27" s="696">
        <f t="shared" si="3"/>
        <v>18888.432535970471</v>
      </c>
      <c r="G27" s="696">
        <f t="shared" ca="1" si="3"/>
        <v>23692.961959033019</v>
      </c>
      <c r="H27" s="696">
        <f t="shared" si="3"/>
        <v>43804.90733493842</v>
      </c>
      <c r="I27" s="696">
        <f t="shared" si="3"/>
        <v>10912.256670291512</v>
      </c>
      <c r="J27" s="696">
        <f t="shared" si="3"/>
        <v>0</v>
      </c>
      <c r="K27" s="696">
        <f t="shared" si="3"/>
        <v>1757.4922211161468</v>
      </c>
      <c r="L27" s="696">
        <f t="shared" si="3"/>
        <v>0</v>
      </c>
      <c r="M27" s="696">
        <f t="shared" ca="1" si="3"/>
        <v>0</v>
      </c>
      <c r="N27" s="696">
        <f t="shared" si="3"/>
        <v>3245.3018770291769</v>
      </c>
      <c r="O27" s="696">
        <f t="shared" ca="1" si="3"/>
        <v>24076.712330502276</v>
      </c>
      <c r="P27" s="696">
        <f t="shared" si="3"/>
        <v>463.99568420605976</v>
      </c>
      <c r="Q27" s="696">
        <f t="shared" si="3"/>
        <v>410.56309653585572</v>
      </c>
      <c r="R27" s="696">
        <f t="shared" ca="1" si="3"/>
        <v>372024.14520334493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2277.9261692576356</v>
      </c>
      <c r="D40" s="686">
        <f ca="1">tertiair!C20</f>
        <v>0</v>
      </c>
      <c r="E40" s="686">
        <f ca="1">tertiair!D20</f>
        <v>2898.2121039512517</v>
      </c>
      <c r="F40" s="686">
        <f>tertiair!E20</f>
        <v>37.434061301516053</v>
      </c>
      <c r="G40" s="686">
        <f ca="1">tertiair!F20</f>
        <v>319.71420453095317</v>
      </c>
      <c r="H40" s="686">
        <f>tertiair!G20</f>
        <v>0</v>
      </c>
      <c r="I40" s="686">
        <f>tertiair!H20</f>
        <v>0</v>
      </c>
      <c r="J40" s="686">
        <f>tertiair!I20</f>
        <v>0</v>
      </c>
      <c r="K40" s="686">
        <f>tertiair!J20</f>
        <v>1.0284165925241244E-2</v>
      </c>
      <c r="L40" s="686">
        <f>tertiair!K20</f>
        <v>0</v>
      </c>
      <c r="M40" s="686">
        <f ca="1">tertiair!L20</f>
        <v>0</v>
      </c>
      <c r="N40" s="686">
        <f>tertiair!M20</f>
        <v>0</v>
      </c>
      <c r="O40" s="686">
        <f ca="1">tertiair!N20</f>
        <v>0</v>
      </c>
      <c r="P40" s="686">
        <f>tertiair!O20</f>
        <v>0</v>
      </c>
      <c r="Q40" s="769">
        <f>tertiair!P20</f>
        <v>0</v>
      </c>
      <c r="R40" s="849">
        <f t="shared" ca="1" si="4"/>
        <v>5533.2968232072817</v>
      </c>
    </row>
    <row r="41" spans="1:18">
      <c r="A41" s="821" t="s">
        <v>224</v>
      </c>
      <c r="B41" s="828"/>
      <c r="C41" s="686">
        <f ca="1">huishoudens!B12</f>
        <v>4725.902875748181</v>
      </c>
      <c r="D41" s="686">
        <f ca="1">huishoudens!C12</f>
        <v>0</v>
      </c>
      <c r="E41" s="686">
        <f>huishoudens!D12</f>
        <v>10476.050574038281</v>
      </c>
      <c r="F41" s="686">
        <f>huishoudens!E12</f>
        <v>4090.999157821097</v>
      </c>
      <c r="G41" s="686">
        <f>huishoudens!F12</f>
        <v>2325.1233508793043</v>
      </c>
      <c r="H41" s="686">
        <f>huishoudens!G12</f>
        <v>0</v>
      </c>
      <c r="I41" s="686">
        <f>huishoudens!H12</f>
        <v>0</v>
      </c>
      <c r="J41" s="686">
        <f>huishoudens!I12</f>
        <v>0</v>
      </c>
      <c r="K41" s="686">
        <f>huishoudens!J12</f>
        <v>290.90023261951217</v>
      </c>
      <c r="L41" s="686">
        <f>huishoudens!K12</f>
        <v>0</v>
      </c>
      <c r="M41" s="686">
        <f>huishoudens!L12</f>
        <v>0</v>
      </c>
      <c r="N41" s="686">
        <f>huishoudens!M12</f>
        <v>0</v>
      </c>
      <c r="O41" s="686">
        <f>huishoudens!N12</f>
        <v>0</v>
      </c>
      <c r="P41" s="686">
        <f>huishoudens!O12</f>
        <v>0</v>
      </c>
      <c r="Q41" s="769">
        <f>huishoudens!P12</f>
        <v>0</v>
      </c>
      <c r="R41" s="849">
        <f t="shared" ca="1" si="4"/>
        <v>21908.976191106376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2086.1164723051215</v>
      </c>
      <c r="D43" s="686">
        <f ca="1">industrie!C22</f>
        <v>0</v>
      </c>
      <c r="E43" s="686">
        <f>industrie!D22</f>
        <v>18867.857698710461</v>
      </c>
      <c r="F43" s="686">
        <f>industrie!E22</f>
        <v>113.15605760778276</v>
      </c>
      <c r="G43" s="686">
        <f>industrie!F22</f>
        <v>508.59139005338596</v>
      </c>
      <c r="H43" s="686">
        <f>industrie!G22</f>
        <v>0</v>
      </c>
      <c r="I43" s="686">
        <f>industrie!H22</f>
        <v>0</v>
      </c>
      <c r="J43" s="686">
        <f>industrie!I22</f>
        <v>0</v>
      </c>
      <c r="K43" s="686">
        <f>industrie!J22</f>
        <v>3.3287643963024394</v>
      </c>
      <c r="L43" s="686">
        <f>industrie!K22</f>
        <v>0</v>
      </c>
      <c r="M43" s="686">
        <f>industrie!L22</f>
        <v>0</v>
      </c>
      <c r="N43" s="686">
        <f>industrie!M22</f>
        <v>0</v>
      </c>
      <c r="O43" s="686">
        <f>industrie!N22</f>
        <v>0</v>
      </c>
      <c r="P43" s="686">
        <f>industrie!O22</f>
        <v>0</v>
      </c>
      <c r="Q43" s="769">
        <f>industrie!P22</f>
        <v>0</v>
      </c>
      <c r="R43" s="848">
        <f t="shared" ca="1" si="4"/>
        <v>21579.050383073052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9089.9455173109382</v>
      </c>
      <c r="D46" s="722">
        <f t="shared" ref="D46:Q46" ca="1" si="5">SUM(D39:D45)</f>
        <v>0</v>
      </c>
      <c r="E46" s="722">
        <f t="shared" ca="1" si="5"/>
        <v>32242.120376699993</v>
      </c>
      <c r="F46" s="722">
        <f t="shared" si="5"/>
        <v>4241.5892767303958</v>
      </c>
      <c r="G46" s="722">
        <f t="shared" ca="1" si="5"/>
        <v>3153.4289454636437</v>
      </c>
      <c r="H46" s="722">
        <f t="shared" si="5"/>
        <v>0</v>
      </c>
      <c r="I46" s="722">
        <f t="shared" si="5"/>
        <v>0</v>
      </c>
      <c r="J46" s="722">
        <f t="shared" si="5"/>
        <v>0</v>
      </c>
      <c r="K46" s="722">
        <f t="shared" si="5"/>
        <v>294.23928118173984</v>
      </c>
      <c r="L46" s="722">
        <f t="shared" si="5"/>
        <v>0</v>
      </c>
      <c r="M46" s="722">
        <f t="shared" ca="1" si="5"/>
        <v>0</v>
      </c>
      <c r="N46" s="722">
        <f t="shared" si="5"/>
        <v>0</v>
      </c>
      <c r="O46" s="722">
        <f t="shared" ca="1" si="5"/>
        <v>0</v>
      </c>
      <c r="P46" s="722">
        <f t="shared" si="5"/>
        <v>0</v>
      </c>
      <c r="Q46" s="722">
        <f t="shared" si="5"/>
        <v>0</v>
      </c>
      <c r="R46" s="722">
        <f ca="1">SUM(R39:R45)</f>
        <v>49021.32339738671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283.30696815189526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283.30696815189526</v>
      </c>
    </row>
    <row r="50" spans="1:18">
      <c r="A50" s="824" t="s">
        <v>306</v>
      </c>
      <c r="B50" s="834"/>
      <c r="C50" s="692">
        <f ca="1">transport!B18</f>
        <v>5.9828005853546395</v>
      </c>
      <c r="D50" s="692">
        <f>transport!C18</f>
        <v>0</v>
      </c>
      <c r="E50" s="692">
        <f>transport!D18</f>
        <v>23.711852436602843</v>
      </c>
      <c r="F50" s="692">
        <f>transport!E18</f>
        <v>22.265124428630482</v>
      </c>
      <c r="G50" s="692">
        <f>transport!F18</f>
        <v>0</v>
      </c>
      <c r="H50" s="692">
        <f>transport!G18</f>
        <v>11412.603290276664</v>
      </c>
      <c r="I50" s="692">
        <f>transport!H18</f>
        <v>2717.1519109025867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14181.714978629838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5.9828005853546395</v>
      </c>
      <c r="D52" s="722">
        <f t="shared" ref="D52:Q52" ca="1" si="6">SUM(D48:D51)</f>
        <v>0</v>
      </c>
      <c r="E52" s="722">
        <f t="shared" si="6"/>
        <v>23.711852436602843</v>
      </c>
      <c r="F52" s="722">
        <f t="shared" si="6"/>
        <v>22.265124428630482</v>
      </c>
      <c r="G52" s="722">
        <f t="shared" si="6"/>
        <v>0</v>
      </c>
      <c r="H52" s="722">
        <f t="shared" si="6"/>
        <v>11695.910258428559</v>
      </c>
      <c r="I52" s="722">
        <f t="shared" si="6"/>
        <v>2717.1519109025867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14465.021946781733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680.23443387806378</v>
      </c>
      <c r="D54" s="692">
        <f ca="1">+landbouw!C12</f>
        <v>8182.5277310924375</v>
      </c>
      <c r="E54" s="692">
        <f>+landbouw!D12</f>
        <v>0</v>
      </c>
      <c r="F54" s="692">
        <f>+landbouw!E12</f>
        <v>23.819784506270455</v>
      </c>
      <c r="G54" s="692">
        <f>+landbouw!F12</f>
        <v>3172.5918975981735</v>
      </c>
      <c r="H54" s="692">
        <f>+landbouw!G12</f>
        <v>0</v>
      </c>
      <c r="I54" s="692">
        <f>+landbouw!H12</f>
        <v>0</v>
      </c>
      <c r="J54" s="692">
        <f>+landbouw!I12</f>
        <v>0</v>
      </c>
      <c r="K54" s="692">
        <f>+landbouw!J12</f>
        <v>327.91296509337604</v>
      </c>
      <c r="L54" s="692">
        <f>+landbouw!K12</f>
        <v>0</v>
      </c>
      <c r="M54" s="692">
        <f>+landbouw!L12</f>
        <v>0</v>
      </c>
      <c r="N54" s="692">
        <f>+landbouw!M12</f>
        <v>0</v>
      </c>
      <c r="O54" s="692">
        <f>+landbouw!N12</f>
        <v>0</v>
      </c>
      <c r="P54" s="692">
        <f>+landbouw!O12</f>
        <v>0</v>
      </c>
      <c r="Q54" s="693">
        <f>+landbouw!P12</f>
        <v>0</v>
      </c>
      <c r="R54" s="721">
        <f ca="1">SUM(C54:Q54)</f>
        <v>12387.08681216832</v>
      </c>
    </row>
    <row r="55" spans="1:18" ht="15" thickBot="1">
      <c r="A55" s="824" t="s">
        <v>724</v>
      </c>
      <c r="B55" s="834"/>
      <c r="C55" s="692">
        <f ca="1">C25*'EF ele_warmte'!B12</f>
        <v>127.32280709495612</v>
      </c>
      <c r="D55" s="692"/>
      <c r="E55" s="692">
        <f>E25*EF_CO2_aardgas</f>
        <v>334.97667029600001</v>
      </c>
      <c r="F55" s="692"/>
      <c r="G55" s="692"/>
      <c r="H55" s="692"/>
      <c r="I55" s="692"/>
      <c r="J55" s="692"/>
      <c r="K55" s="692"/>
      <c r="L55" s="692"/>
      <c r="M55" s="692"/>
      <c r="N55" s="692"/>
      <c r="O55" s="692"/>
      <c r="P55" s="692"/>
      <c r="Q55" s="693"/>
      <c r="R55" s="721">
        <f ca="1">SUM(C55:Q55)</f>
        <v>462.2994773909561</v>
      </c>
    </row>
    <row r="56" spans="1:18" ht="15.75" thickBot="1">
      <c r="A56" s="822" t="s">
        <v>725</v>
      </c>
      <c r="B56" s="835"/>
      <c r="C56" s="722">
        <f ca="1">SUM(C54:C55)</f>
        <v>807.55724097301993</v>
      </c>
      <c r="D56" s="722">
        <f t="shared" ref="D56:Q56" ca="1" si="7">SUM(D54:D55)</f>
        <v>8182.5277310924375</v>
      </c>
      <c r="E56" s="722">
        <f t="shared" si="7"/>
        <v>334.97667029600001</v>
      </c>
      <c r="F56" s="722">
        <f t="shared" si="7"/>
        <v>23.819784506270455</v>
      </c>
      <c r="G56" s="722">
        <f t="shared" si="7"/>
        <v>3172.5918975981735</v>
      </c>
      <c r="H56" s="722">
        <f t="shared" si="7"/>
        <v>0</v>
      </c>
      <c r="I56" s="722">
        <f t="shared" si="7"/>
        <v>0</v>
      </c>
      <c r="J56" s="722">
        <f t="shared" si="7"/>
        <v>0</v>
      </c>
      <c r="K56" s="722">
        <f t="shared" si="7"/>
        <v>327.91296509337604</v>
      </c>
      <c r="L56" s="722">
        <f t="shared" si="7"/>
        <v>0</v>
      </c>
      <c r="M56" s="722">
        <f t="shared" si="7"/>
        <v>0</v>
      </c>
      <c r="N56" s="722">
        <f t="shared" si="7"/>
        <v>0</v>
      </c>
      <c r="O56" s="722">
        <f t="shared" si="7"/>
        <v>0</v>
      </c>
      <c r="P56" s="722">
        <f t="shared" si="7"/>
        <v>0</v>
      </c>
      <c r="Q56" s="723">
        <f t="shared" si="7"/>
        <v>0</v>
      </c>
      <c r="R56" s="724">
        <f ca="1">SUM(R54:R55)</f>
        <v>12849.386289559276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9903.4855588693117</v>
      </c>
      <c r="D61" s="730">
        <f t="shared" ref="D61:Q61" ca="1" si="8">D46+D52+D56</f>
        <v>8182.5277310924375</v>
      </c>
      <c r="E61" s="730">
        <f t="shared" ca="1" si="8"/>
        <v>32600.808899432595</v>
      </c>
      <c r="F61" s="730">
        <f t="shared" si="8"/>
        <v>4287.674185665297</v>
      </c>
      <c r="G61" s="730">
        <f t="shared" ca="1" si="8"/>
        <v>6326.0208430618168</v>
      </c>
      <c r="H61" s="730">
        <f t="shared" si="8"/>
        <v>11695.910258428559</v>
      </c>
      <c r="I61" s="730">
        <f t="shared" si="8"/>
        <v>2717.1519109025867</v>
      </c>
      <c r="J61" s="730">
        <f t="shared" si="8"/>
        <v>0</v>
      </c>
      <c r="K61" s="730">
        <f t="shared" si="8"/>
        <v>622.15224627511589</v>
      </c>
      <c r="L61" s="730">
        <f t="shared" si="8"/>
        <v>0</v>
      </c>
      <c r="M61" s="730">
        <f t="shared" ca="1" si="8"/>
        <v>0</v>
      </c>
      <c r="N61" s="730">
        <f t="shared" si="8"/>
        <v>0</v>
      </c>
      <c r="O61" s="730">
        <f t="shared" ca="1" si="8"/>
        <v>0</v>
      </c>
      <c r="P61" s="730">
        <f t="shared" si="8"/>
        <v>0</v>
      </c>
      <c r="Q61" s="730">
        <f t="shared" si="8"/>
        <v>0</v>
      </c>
      <c r="R61" s="730">
        <f ca="1">R46+R52+R56</f>
        <v>76335.731633727715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0.20231860477987396</v>
      </c>
      <c r="D63" s="776">
        <f t="shared" ca="1" si="9"/>
        <v>0.23764705882352943</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5953.3066562270069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24102</v>
      </c>
      <c r="D76" s="958">
        <f>'lokale energieproductie'!C8</f>
        <v>28355.294117647059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5727.7694117647061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5953.3066562270069</v>
      </c>
      <c r="C78" s="748">
        <f>SUM(C72:C77)</f>
        <v>24102</v>
      </c>
      <c r="D78" s="749">
        <f t="shared" ref="D78:H78" si="10">SUM(D76:D77)</f>
        <v>28355.294117647059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5727.7694117647061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34431.428571428572</v>
      </c>
      <c r="D87" s="772">
        <f>'lokale energieproductie'!C17</f>
        <v>40507.563025210089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8182.5277310924384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34431.428571428572</v>
      </c>
      <c r="D90" s="748">
        <f t="shared" ref="D90:H90" si="12">SUM(D87:D89)</f>
        <v>40507.563025210089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8182.5277310924384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23358.716223305524</v>
      </c>
      <c r="C4" s="452">
        <f>huishoudens!C8</f>
        <v>0</v>
      </c>
      <c r="D4" s="452">
        <f>huishoudens!D8</f>
        <v>51861.636505140006</v>
      </c>
      <c r="E4" s="452">
        <f>huishoudens!E8</f>
        <v>18022.022721678841</v>
      </c>
      <c r="F4" s="452">
        <f>huishoudens!F8</f>
        <v>8708.3271568513264</v>
      </c>
      <c r="G4" s="452">
        <f>huishoudens!G8</f>
        <v>0</v>
      </c>
      <c r="H4" s="452">
        <f>huishoudens!H8</f>
        <v>0</v>
      </c>
      <c r="I4" s="452">
        <f>huishoudens!I8</f>
        <v>0</v>
      </c>
      <c r="J4" s="452">
        <f>huishoudens!J8</f>
        <v>821.75206954664463</v>
      </c>
      <c r="K4" s="452">
        <f>huishoudens!K8</f>
        <v>0</v>
      </c>
      <c r="L4" s="452">
        <f>huishoudens!L8</f>
        <v>0</v>
      </c>
      <c r="M4" s="452">
        <f>huishoudens!M8</f>
        <v>0</v>
      </c>
      <c r="N4" s="452">
        <f>huishoudens!N8</f>
        <v>22340.193809943299</v>
      </c>
      <c r="O4" s="452">
        <f>huishoudens!O8</f>
        <v>444.40664114269515</v>
      </c>
      <c r="P4" s="453">
        <f>huishoudens!P8</f>
        <v>305.48481992286571</v>
      </c>
      <c r="Q4" s="454">
        <f>SUM(B4:P4)</f>
        <v>125862.53994753122</v>
      </c>
    </row>
    <row r="5" spans="1:17">
      <c r="A5" s="451" t="s">
        <v>155</v>
      </c>
      <c r="B5" s="452">
        <f ca="1">tertiair!B16</f>
        <v>10502.694787</v>
      </c>
      <c r="C5" s="452">
        <f ca="1">tertiair!C16</f>
        <v>0</v>
      </c>
      <c r="D5" s="452">
        <f ca="1">tertiair!D16</f>
        <v>14347.584673025998</v>
      </c>
      <c r="E5" s="452">
        <f>tertiair!E16</f>
        <v>164.90775903751563</v>
      </c>
      <c r="F5" s="452">
        <f ca="1">tertiair!F16</f>
        <v>1197.4314776440192</v>
      </c>
      <c r="G5" s="452">
        <f>tertiair!G16</f>
        <v>0</v>
      </c>
      <c r="H5" s="452">
        <f>tertiair!H16</f>
        <v>0</v>
      </c>
      <c r="I5" s="452">
        <f>tertiair!I16</f>
        <v>0</v>
      </c>
      <c r="J5" s="452">
        <f>tertiair!J16</f>
        <v>2.9051316172997867E-2</v>
      </c>
      <c r="K5" s="452">
        <f>tertiair!K16</f>
        <v>0</v>
      </c>
      <c r="L5" s="452">
        <f ca="1">tertiair!L16</f>
        <v>0</v>
      </c>
      <c r="M5" s="452">
        <f>tertiair!M16</f>
        <v>0</v>
      </c>
      <c r="N5" s="452">
        <f ca="1">tertiair!N16</f>
        <v>1138.6370210649038</v>
      </c>
      <c r="O5" s="452">
        <f>tertiair!O16</f>
        <v>19.589043063364617</v>
      </c>
      <c r="P5" s="453">
        <f>tertiair!P16</f>
        <v>105.07827661299004</v>
      </c>
      <c r="Q5" s="451">
        <f t="shared" ref="Q5:Q14" ca="1" si="0">SUM(B5:P5)</f>
        <v>27475.952088764967</v>
      </c>
    </row>
    <row r="6" spans="1:17">
      <c r="A6" s="451" t="s">
        <v>193</v>
      </c>
      <c r="B6" s="452">
        <f>'openbare verlichting'!B8</f>
        <v>756.40899999999999</v>
      </c>
      <c r="C6" s="452"/>
      <c r="D6" s="452"/>
      <c r="E6" s="452"/>
      <c r="F6" s="452"/>
      <c r="G6" s="452"/>
      <c r="H6" s="452"/>
      <c r="I6" s="452"/>
      <c r="J6" s="452"/>
      <c r="K6" s="452"/>
      <c r="L6" s="452"/>
      <c r="M6" s="452"/>
      <c r="N6" s="452"/>
      <c r="O6" s="452"/>
      <c r="P6" s="453"/>
      <c r="Q6" s="451">
        <f t="shared" si="0"/>
        <v>756.40899999999999</v>
      </c>
    </row>
    <row r="7" spans="1:17">
      <c r="A7" s="451" t="s">
        <v>111</v>
      </c>
      <c r="B7" s="452">
        <f>landbouw!B8</f>
        <v>3362.1941720000004</v>
      </c>
      <c r="C7" s="452">
        <f>landbouw!C8</f>
        <v>34431.428571428572</v>
      </c>
      <c r="D7" s="452">
        <f>landbouw!D8</f>
        <v>0</v>
      </c>
      <c r="E7" s="452">
        <f>landbouw!E8</f>
        <v>104.93297139326191</v>
      </c>
      <c r="F7" s="452">
        <f>landbouw!F8</f>
        <v>11882.366657671062</v>
      </c>
      <c r="G7" s="452">
        <f>landbouw!G8</f>
        <v>0</v>
      </c>
      <c r="H7" s="452">
        <f>landbouw!H8</f>
        <v>0</v>
      </c>
      <c r="I7" s="452">
        <f>landbouw!I8</f>
        <v>0</v>
      </c>
      <c r="J7" s="452">
        <f>landbouw!J8</f>
        <v>926.30781099823753</v>
      </c>
      <c r="K7" s="452">
        <f>landbouw!K8</f>
        <v>0</v>
      </c>
      <c r="L7" s="452">
        <f>landbouw!L8</f>
        <v>0</v>
      </c>
      <c r="M7" s="452">
        <f>landbouw!M8</f>
        <v>0</v>
      </c>
      <c r="N7" s="452">
        <f>landbouw!N8</f>
        <v>0</v>
      </c>
      <c r="O7" s="452">
        <f>landbouw!O8</f>
        <v>0</v>
      </c>
      <c r="P7" s="453">
        <f>landbouw!P8</f>
        <v>0</v>
      </c>
      <c r="Q7" s="451">
        <f t="shared" si="0"/>
        <v>50707.230183491134</v>
      </c>
    </row>
    <row r="8" spans="1:17">
      <c r="A8" s="451" t="s">
        <v>625</v>
      </c>
      <c r="B8" s="452">
        <f>industrie!B18</f>
        <v>10311.046157000001</v>
      </c>
      <c r="C8" s="452">
        <f>industrie!C18</f>
        <v>0</v>
      </c>
      <c r="D8" s="452">
        <f>industrie!D18</f>
        <v>93405.236132229998</v>
      </c>
      <c r="E8" s="452">
        <f>industrie!E18</f>
        <v>498.48483527657601</v>
      </c>
      <c r="F8" s="452">
        <f>industrie!F18</f>
        <v>1904.836666866614</v>
      </c>
      <c r="G8" s="452">
        <f>industrie!G18</f>
        <v>0</v>
      </c>
      <c r="H8" s="452">
        <f>industrie!H18</f>
        <v>0</v>
      </c>
      <c r="I8" s="452">
        <f>industrie!I18</f>
        <v>0</v>
      </c>
      <c r="J8" s="452">
        <f>industrie!J18</f>
        <v>9.4032892550916376</v>
      </c>
      <c r="K8" s="452">
        <f>industrie!K18</f>
        <v>0</v>
      </c>
      <c r="L8" s="452">
        <f>industrie!L18</f>
        <v>0</v>
      </c>
      <c r="M8" s="452">
        <f>industrie!M18</f>
        <v>0</v>
      </c>
      <c r="N8" s="452">
        <f>industrie!N18</f>
        <v>597.88149949407489</v>
      </c>
      <c r="O8" s="452">
        <f>industrie!O18</f>
        <v>0</v>
      </c>
      <c r="P8" s="453">
        <f>industrie!P18</f>
        <v>0</v>
      </c>
      <c r="Q8" s="451">
        <f t="shared" si="0"/>
        <v>106726.88858012235</v>
      </c>
    </row>
    <row r="9" spans="1:17" s="457" customFormat="1">
      <c r="A9" s="455" t="s">
        <v>551</v>
      </c>
      <c r="B9" s="456">
        <f>transport!B14</f>
        <v>29.571183489842795</v>
      </c>
      <c r="C9" s="456">
        <f>transport!C14</f>
        <v>0</v>
      </c>
      <c r="D9" s="456">
        <f>transport!D14</f>
        <v>117.38540810199427</v>
      </c>
      <c r="E9" s="456">
        <f>transport!E14</f>
        <v>98.084248584275244</v>
      </c>
      <c r="F9" s="456">
        <f>transport!F14</f>
        <v>0</v>
      </c>
      <c r="G9" s="456">
        <f>transport!G14</f>
        <v>42743.832547852668</v>
      </c>
      <c r="H9" s="456">
        <f>transport!H14</f>
        <v>10912.256670291512</v>
      </c>
      <c r="I9" s="456">
        <f>transport!I14</f>
        <v>0</v>
      </c>
      <c r="J9" s="456">
        <f>transport!J14</f>
        <v>0</v>
      </c>
      <c r="K9" s="456">
        <f>transport!K14</f>
        <v>0</v>
      </c>
      <c r="L9" s="456">
        <f>transport!L14</f>
        <v>0</v>
      </c>
      <c r="M9" s="456">
        <f>transport!M14</f>
        <v>3186.3365014223305</v>
      </c>
      <c r="N9" s="456">
        <f>transport!N14</f>
        <v>0</v>
      </c>
      <c r="O9" s="456">
        <f>transport!O14</f>
        <v>0</v>
      </c>
      <c r="P9" s="456">
        <f>transport!P14</f>
        <v>0</v>
      </c>
      <c r="Q9" s="455">
        <f>SUM(B9:P9)</f>
        <v>57087.466559742621</v>
      </c>
    </row>
    <row r="10" spans="1:17">
      <c r="A10" s="451" t="s">
        <v>541</v>
      </c>
      <c r="B10" s="452">
        <f>transport!B54</f>
        <v>0</v>
      </c>
      <c r="C10" s="452">
        <f>transport!C54</f>
        <v>0</v>
      </c>
      <c r="D10" s="452">
        <f>transport!D54</f>
        <v>0</v>
      </c>
      <c r="E10" s="452">
        <f>transport!E54</f>
        <v>0</v>
      </c>
      <c r="F10" s="452">
        <f>transport!F54</f>
        <v>0</v>
      </c>
      <c r="G10" s="452">
        <f>transport!G54</f>
        <v>1061.0747870857499</v>
      </c>
      <c r="H10" s="452">
        <f>transport!H54</f>
        <v>0</v>
      </c>
      <c r="I10" s="452">
        <f>transport!I54</f>
        <v>0</v>
      </c>
      <c r="J10" s="452">
        <f>transport!J54</f>
        <v>0</v>
      </c>
      <c r="K10" s="452">
        <f>transport!K54</f>
        <v>0</v>
      </c>
      <c r="L10" s="452">
        <f>transport!L54</f>
        <v>0</v>
      </c>
      <c r="M10" s="452">
        <f>transport!M54</f>
        <v>58.965375606846663</v>
      </c>
      <c r="N10" s="452">
        <f>transport!N54</f>
        <v>0</v>
      </c>
      <c r="O10" s="452">
        <f>transport!O54</f>
        <v>0</v>
      </c>
      <c r="P10" s="453">
        <f>transport!P54</f>
        <v>0</v>
      </c>
      <c r="Q10" s="451">
        <f t="shared" si="0"/>
        <v>1120.0401626925966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629.31833299999994</v>
      </c>
      <c r="C14" s="459"/>
      <c r="D14" s="459">
        <f>'SEAP template'!E25</f>
        <v>1658.300348</v>
      </c>
      <c r="E14" s="459"/>
      <c r="F14" s="459"/>
      <c r="G14" s="459"/>
      <c r="H14" s="459"/>
      <c r="I14" s="459"/>
      <c r="J14" s="459"/>
      <c r="K14" s="459"/>
      <c r="L14" s="459"/>
      <c r="M14" s="459"/>
      <c r="N14" s="459"/>
      <c r="O14" s="459"/>
      <c r="P14" s="460"/>
      <c r="Q14" s="451">
        <f t="shared" si="0"/>
        <v>2287.6186809999999</v>
      </c>
    </row>
    <row r="15" spans="1:17" s="463" customFormat="1">
      <c r="A15" s="461" t="s">
        <v>545</v>
      </c>
      <c r="B15" s="462">
        <f ca="1">SUM(B4:B14)</f>
        <v>48949.949855795378</v>
      </c>
      <c r="C15" s="462">
        <f t="shared" ref="C15:Q15" ca="1" si="1">SUM(C4:C14)</f>
        <v>34431.428571428572</v>
      </c>
      <c r="D15" s="462">
        <f t="shared" ca="1" si="1"/>
        <v>161390.14306649799</v>
      </c>
      <c r="E15" s="462">
        <f t="shared" si="1"/>
        <v>18888.432535970471</v>
      </c>
      <c r="F15" s="462">
        <f t="shared" ca="1" si="1"/>
        <v>23692.961959033019</v>
      </c>
      <c r="G15" s="462">
        <f t="shared" si="1"/>
        <v>43804.90733493842</v>
      </c>
      <c r="H15" s="462">
        <f t="shared" si="1"/>
        <v>10912.256670291512</v>
      </c>
      <c r="I15" s="462">
        <f t="shared" si="1"/>
        <v>0</v>
      </c>
      <c r="J15" s="462">
        <f t="shared" si="1"/>
        <v>1757.492221116147</v>
      </c>
      <c r="K15" s="462">
        <f t="shared" si="1"/>
        <v>0</v>
      </c>
      <c r="L15" s="462">
        <f t="shared" ca="1" si="1"/>
        <v>0</v>
      </c>
      <c r="M15" s="462">
        <f t="shared" si="1"/>
        <v>3245.3018770291769</v>
      </c>
      <c r="N15" s="462">
        <f t="shared" ca="1" si="1"/>
        <v>24076.712330502276</v>
      </c>
      <c r="O15" s="462">
        <f t="shared" si="1"/>
        <v>463.99568420605976</v>
      </c>
      <c r="P15" s="462">
        <f t="shared" si="1"/>
        <v>410.56309653585572</v>
      </c>
      <c r="Q15" s="462">
        <f t="shared" ca="1" si="1"/>
        <v>372024.14520334493</v>
      </c>
    </row>
    <row r="17" spans="1:17">
      <c r="A17" s="464" t="s">
        <v>546</v>
      </c>
      <c r="B17" s="781">
        <f ca="1">huishoudens!B10</f>
        <v>0.20231860477987398</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4725.902875748181</v>
      </c>
      <c r="C22" s="452">
        <f t="shared" ref="C22:C32" ca="1" si="3">C4*$C$17</f>
        <v>0</v>
      </c>
      <c r="D22" s="452">
        <f t="shared" ref="D22:D32" si="4">D4*$D$17</f>
        <v>10476.050574038281</v>
      </c>
      <c r="E22" s="452">
        <f t="shared" ref="E22:E32" si="5">E4*$E$17</f>
        <v>4090.999157821097</v>
      </c>
      <c r="F22" s="452">
        <f t="shared" ref="F22:F32" si="6">F4*$F$17</f>
        <v>2325.1233508793043</v>
      </c>
      <c r="G22" s="452">
        <f t="shared" ref="G22:G32" si="7">G4*$G$17</f>
        <v>0</v>
      </c>
      <c r="H22" s="452">
        <f t="shared" ref="H22:H32" si="8">H4*$H$17</f>
        <v>0</v>
      </c>
      <c r="I22" s="452">
        <f t="shared" ref="I22:I32" si="9">I4*$I$17</f>
        <v>0</v>
      </c>
      <c r="J22" s="452">
        <f t="shared" ref="J22:J32" si="10">J4*$J$17</f>
        <v>290.90023261951217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21908.976191106376</v>
      </c>
    </row>
    <row r="23" spans="1:17">
      <c r="A23" s="451" t="s">
        <v>155</v>
      </c>
      <c r="B23" s="452">
        <f t="shared" ca="1" si="2"/>
        <v>2124.8905557346957</v>
      </c>
      <c r="C23" s="452">
        <f t="shared" ca="1" si="3"/>
        <v>0</v>
      </c>
      <c r="D23" s="452">
        <f t="shared" ca="1" si="4"/>
        <v>2898.2121039512517</v>
      </c>
      <c r="E23" s="452">
        <f t="shared" si="5"/>
        <v>37.434061301516053</v>
      </c>
      <c r="F23" s="452">
        <f t="shared" ca="1" si="6"/>
        <v>319.71420453095317</v>
      </c>
      <c r="G23" s="452">
        <f t="shared" si="7"/>
        <v>0</v>
      </c>
      <c r="H23" s="452">
        <f t="shared" si="8"/>
        <v>0</v>
      </c>
      <c r="I23" s="452">
        <f t="shared" si="9"/>
        <v>0</v>
      </c>
      <c r="J23" s="452">
        <f t="shared" si="10"/>
        <v>1.0284165925241244E-2</v>
      </c>
      <c r="K23" s="452">
        <f t="shared" si="11"/>
        <v>0</v>
      </c>
      <c r="L23" s="452">
        <f t="shared" ca="1" si="12"/>
        <v>0</v>
      </c>
      <c r="M23" s="452">
        <f t="shared" si="13"/>
        <v>0</v>
      </c>
      <c r="N23" s="452">
        <f t="shared" ca="1" si="14"/>
        <v>0</v>
      </c>
      <c r="O23" s="452">
        <f t="shared" si="15"/>
        <v>0</v>
      </c>
      <c r="P23" s="453">
        <f t="shared" si="16"/>
        <v>0</v>
      </c>
      <c r="Q23" s="451">
        <f t="shared" ref="Q23:Q31" ca="1" si="17">SUM(B23:P23)</f>
        <v>5380.2612096843413</v>
      </c>
    </row>
    <row r="24" spans="1:17">
      <c r="A24" s="451" t="s">
        <v>193</v>
      </c>
      <c r="B24" s="452">
        <f t="shared" ca="1" si="2"/>
        <v>153.03561352293971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153.03561352293971</v>
      </c>
    </row>
    <row r="25" spans="1:17">
      <c r="A25" s="451" t="s">
        <v>111</v>
      </c>
      <c r="B25" s="452">
        <f t="shared" ca="1" si="2"/>
        <v>680.23443387806378</v>
      </c>
      <c r="C25" s="452">
        <f t="shared" ca="1" si="3"/>
        <v>8182.5277310924375</v>
      </c>
      <c r="D25" s="452">
        <f t="shared" si="4"/>
        <v>0</v>
      </c>
      <c r="E25" s="452">
        <f t="shared" si="5"/>
        <v>23.819784506270455</v>
      </c>
      <c r="F25" s="452">
        <f t="shared" si="6"/>
        <v>3172.5918975981735</v>
      </c>
      <c r="G25" s="452">
        <f t="shared" si="7"/>
        <v>0</v>
      </c>
      <c r="H25" s="452">
        <f t="shared" si="8"/>
        <v>0</v>
      </c>
      <c r="I25" s="452">
        <f t="shared" si="9"/>
        <v>0</v>
      </c>
      <c r="J25" s="452">
        <f t="shared" si="10"/>
        <v>327.91296509337604</v>
      </c>
      <c r="K25" s="452">
        <f t="shared" si="11"/>
        <v>0</v>
      </c>
      <c r="L25" s="452">
        <f t="shared" si="12"/>
        <v>0</v>
      </c>
      <c r="M25" s="452">
        <f t="shared" si="13"/>
        <v>0</v>
      </c>
      <c r="N25" s="452">
        <f t="shared" si="14"/>
        <v>0</v>
      </c>
      <c r="O25" s="452">
        <f t="shared" si="15"/>
        <v>0</v>
      </c>
      <c r="P25" s="453">
        <f t="shared" si="16"/>
        <v>0</v>
      </c>
      <c r="Q25" s="451">
        <f t="shared" ca="1" si="17"/>
        <v>12387.08681216832</v>
      </c>
    </row>
    <row r="26" spans="1:17">
      <c r="A26" s="451" t="s">
        <v>625</v>
      </c>
      <c r="B26" s="452">
        <f t="shared" ca="1" si="2"/>
        <v>2086.1164723051215</v>
      </c>
      <c r="C26" s="452">
        <f t="shared" ca="1" si="3"/>
        <v>0</v>
      </c>
      <c r="D26" s="452">
        <f t="shared" si="4"/>
        <v>18867.857698710461</v>
      </c>
      <c r="E26" s="452">
        <f t="shared" si="5"/>
        <v>113.15605760778276</v>
      </c>
      <c r="F26" s="452">
        <f t="shared" si="6"/>
        <v>508.59139005338596</v>
      </c>
      <c r="G26" s="452">
        <f t="shared" si="7"/>
        <v>0</v>
      </c>
      <c r="H26" s="452">
        <f t="shared" si="8"/>
        <v>0</v>
      </c>
      <c r="I26" s="452">
        <f t="shared" si="9"/>
        <v>0</v>
      </c>
      <c r="J26" s="452">
        <f t="shared" si="10"/>
        <v>3.3287643963024394</v>
      </c>
      <c r="K26" s="452">
        <f t="shared" si="11"/>
        <v>0</v>
      </c>
      <c r="L26" s="452">
        <f t="shared" si="12"/>
        <v>0</v>
      </c>
      <c r="M26" s="452">
        <f t="shared" si="13"/>
        <v>0</v>
      </c>
      <c r="N26" s="452">
        <f t="shared" si="14"/>
        <v>0</v>
      </c>
      <c r="O26" s="452">
        <f t="shared" si="15"/>
        <v>0</v>
      </c>
      <c r="P26" s="453">
        <f t="shared" si="16"/>
        <v>0</v>
      </c>
      <c r="Q26" s="451">
        <f t="shared" ca="1" si="17"/>
        <v>21579.050383073052</v>
      </c>
    </row>
    <row r="27" spans="1:17" s="457" customFormat="1">
      <c r="A27" s="455" t="s">
        <v>551</v>
      </c>
      <c r="B27" s="775">
        <f t="shared" ca="1" si="2"/>
        <v>5.9828005853546395</v>
      </c>
      <c r="C27" s="456">
        <f t="shared" ca="1" si="3"/>
        <v>0</v>
      </c>
      <c r="D27" s="456">
        <f t="shared" si="4"/>
        <v>23.711852436602843</v>
      </c>
      <c r="E27" s="456">
        <f t="shared" si="5"/>
        <v>22.265124428630482</v>
      </c>
      <c r="F27" s="456">
        <f t="shared" si="6"/>
        <v>0</v>
      </c>
      <c r="G27" s="456">
        <f t="shared" si="7"/>
        <v>11412.603290276664</v>
      </c>
      <c r="H27" s="456">
        <f t="shared" si="8"/>
        <v>2717.1519109025867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14181.714978629838</v>
      </c>
    </row>
    <row r="28" spans="1:17" ht="16.5" customHeight="1">
      <c r="A28" s="451" t="s">
        <v>541</v>
      </c>
      <c r="B28" s="452">
        <f t="shared" ca="1" si="2"/>
        <v>0</v>
      </c>
      <c r="C28" s="452">
        <f t="shared" ca="1" si="3"/>
        <v>0</v>
      </c>
      <c r="D28" s="452">
        <f t="shared" si="4"/>
        <v>0</v>
      </c>
      <c r="E28" s="452">
        <f t="shared" si="5"/>
        <v>0</v>
      </c>
      <c r="F28" s="452">
        <f t="shared" si="6"/>
        <v>0</v>
      </c>
      <c r="G28" s="452">
        <f t="shared" si="7"/>
        <v>283.30696815189526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283.30696815189526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127.32280709495612</v>
      </c>
      <c r="C32" s="452">
        <f t="shared" ca="1" si="3"/>
        <v>0</v>
      </c>
      <c r="D32" s="452">
        <f t="shared" si="4"/>
        <v>334.97667029600001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462.2994773909561</v>
      </c>
    </row>
    <row r="33" spans="1:17" s="463" customFormat="1">
      <c r="A33" s="461" t="s">
        <v>545</v>
      </c>
      <c r="B33" s="462">
        <f ca="1">SUM(B22:B32)</f>
        <v>9903.4855588693117</v>
      </c>
      <c r="C33" s="462">
        <f t="shared" ref="C33:Q33" ca="1" si="19">SUM(C22:C32)</f>
        <v>8182.5277310924375</v>
      </c>
      <c r="D33" s="462">
        <f t="shared" ca="1" si="19"/>
        <v>32600.808899432595</v>
      </c>
      <c r="E33" s="462">
        <f t="shared" si="19"/>
        <v>4287.674185665297</v>
      </c>
      <c r="F33" s="462">
        <f t="shared" ca="1" si="19"/>
        <v>6326.0208430618177</v>
      </c>
      <c r="G33" s="462">
        <f t="shared" si="19"/>
        <v>11695.910258428559</v>
      </c>
      <c r="H33" s="462">
        <f t="shared" si="19"/>
        <v>2717.1519109025867</v>
      </c>
      <c r="I33" s="462">
        <f t="shared" si="19"/>
        <v>0</v>
      </c>
      <c r="J33" s="462">
        <f t="shared" si="19"/>
        <v>622.15224627511589</v>
      </c>
      <c r="K33" s="462">
        <f t="shared" si="19"/>
        <v>0</v>
      </c>
      <c r="L33" s="462">
        <f t="shared" ca="1" si="19"/>
        <v>0</v>
      </c>
      <c r="M33" s="462">
        <f t="shared" si="19"/>
        <v>0</v>
      </c>
      <c r="N33" s="462">
        <f t="shared" ca="1" si="19"/>
        <v>0</v>
      </c>
      <c r="O33" s="462">
        <f t="shared" si="19"/>
        <v>0</v>
      </c>
      <c r="P33" s="462">
        <f t="shared" si="19"/>
        <v>0</v>
      </c>
      <c r="Q33" s="462">
        <f t="shared" ca="1" si="19"/>
        <v>76335.731633727715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5953.3066562270069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24102</v>
      </c>
      <c r="D8" s="1029">
        <f>'SEAP template'!D76</f>
        <v>28355.294117647059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5727.7694117647061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5953.3066562270069</v>
      </c>
      <c r="C10" s="1031">
        <f>SUM(C4:C9)</f>
        <v>24102</v>
      </c>
      <c r="D10" s="1031">
        <f t="shared" ref="D10:H10" si="0">SUM(D8:D9)</f>
        <v>28355.294117647059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5727.7694117647061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0.20231860477987398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34431.428571428572</v>
      </c>
      <c r="D17" s="1030">
        <f>'SEAP template'!D87</f>
        <v>40507.563025210089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8182.5277310924384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34431.428571428572</v>
      </c>
      <c r="D20" s="1031">
        <f t="shared" ref="D20:H20" si="2">SUM(D17:D19)</f>
        <v>40507.563025210089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8182.5277310924384</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0.20231860477987398</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0.20231860477987398</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0.20231860477987398</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5802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3050.88</v>
      </c>
      <c r="C14" s="330"/>
      <c r="D14" s="330"/>
      <c r="E14" s="330"/>
      <c r="F14" s="330"/>
    </row>
    <row r="15" spans="1:6">
      <c r="A15" s="1298" t="s">
        <v>183</v>
      </c>
      <c r="B15" s="1299">
        <v>921</v>
      </c>
      <c r="C15" s="330"/>
      <c r="D15" s="330"/>
      <c r="E15" s="330"/>
      <c r="F15" s="330"/>
    </row>
    <row r="16" spans="1:6">
      <c r="A16" s="1298" t="s">
        <v>6</v>
      </c>
      <c r="B16" s="1299">
        <v>1698</v>
      </c>
      <c r="C16" s="330"/>
      <c r="D16" s="330"/>
      <c r="E16" s="330"/>
      <c r="F16" s="330"/>
    </row>
    <row r="17" spans="1:6">
      <c r="A17" s="1298" t="s">
        <v>7</v>
      </c>
      <c r="B17" s="1299">
        <v>825</v>
      </c>
      <c r="C17" s="330"/>
      <c r="D17" s="330"/>
      <c r="E17" s="330"/>
      <c r="F17" s="330"/>
    </row>
    <row r="18" spans="1:6">
      <c r="A18" s="1298" t="s">
        <v>8</v>
      </c>
      <c r="B18" s="1299">
        <v>1394</v>
      </c>
      <c r="C18" s="330"/>
      <c r="D18" s="330"/>
      <c r="E18" s="330"/>
      <c r="F18" s="330"/>
    </row>
    <row r="19" spans="1:6">
      <c r="A19" s="1298" t="s">
        <v>9</v>
      </c>
      <c r="B19" s="1299">
        <v>1445</v>
      </c>
      <c r="C19" s="330"/>
      <c r="D19" s="330"/>
      <c r="E19" s="330"/>
      <c r="F19" s="330"/>
    </row>
    <row r="20" spans="1:6">
      <c r="A20" s="1298" t="s">
        <v>10</v>
      </c>
      <c r="B20" s="1299">
        <v>875</v>
      </c>
      <c r="C20" s="330"/>
      <c r="D20" s="330"/>
      <c r="E20" s="330"/>
      <c r="F20" s="330"/>
    </row>
    <row r="21" spans="1:6">
      <c r="A21" s="1298" t="s">
        <v>11</v>
      </c>
      <c r="B21" s="1299">
        <v>12967</v>
      </c>
      <c r="C21" s="330"/>
      <c r="D21" s="330"/>
      <c r="E21" s="330"/>
      <c r="F21" s="330"/>
    </row>
    <row r="22" spans="1:6">
      <c r="A22" s="1298" t="s">
        <v>12</v>
      </c>
      <c r="B22" s="1299">
        <v>46683</v>
      </c>
      <c r="C22" s="330"/>
      <c r="D22" s="330"/>
      <c r="E22" s="330"/>
      <c r="F22" s="330"/>
    </row>
    <row r="23" spans="1:6">
      <c r="A23" s="1298" t="s">
        <v>13</v>
      </c>
      <c r="B23" s="1299">
        <v>375</v>
      </c>
      <c r="C23" s="330"/>
      <c r="D23" s="330"/>
      <c r="E23" s="330"/>
      <c r="F23" s="330"/>
    </row>
    <row r="24" spans="1:6">
      <c r="A24" s="1298" t="s">
        <v>14</v>
      </c>
      <c r="B24" s="1299">
        <v>30</v>
      </c>
      <c r="C24" s="330"/>
      <c r="D24" s="330"/>
      <c r="E24" s="330"/>
      <c r="F24" s="330"/>
    </row>
    <row r="25" spans="1:6">
      <c r="A25" s="1298" t="s">
        <v>15</v>
      </c>
      <c r="B25" s="1299">
        <v>3226</v>
      </c>
      <c r="C25" s="330"/>
      <c r="D25" s="330"/>
      <c r="E25" s="330"/>
      <c r="F25" s="330"/>
    </row>
    <row r="26" spans="1:6">
      <c r="A26" s="1298" t="s">
        <v>16</v>
      </c>
      <c r="B26" s="1299">
        <v>369</v>
      </c>
      <c r="C26" s="330"/>
      <c r="D26" s="330"/>
      <c r="E26" s="330"/>
      <c r="F26" s="330"/>
    </row>
    <row r="27" spans="1:6">
      <c r="A27" s="1298" t="s">
        <v>17</v>
      </c>
      <c r="B27" s="1299">
        <v>62</v>
      </c>
      <c r="C27" s="330"/>
      <c r="D27" s="330"/>
      <c r="E27" s="330"/>
      <c r="F27" s="330"/>
    </row>
    <row r="28" spans="1:6" s="43" customFormat="1">
      <c r="A28" s="1300" t="s">
        <v>18</v>
      </c>
      <c r="B28" s="1301">
        <v>201844</v>
      </c>
      <c r="C28" s="336"/>
      <c r="D28" s="336"/>
      <c r="E28" s="336"/>
      <c r="F28" s="336"/>
    </row>
    <row r="29" spans="1:6">
      <c r="A29" s="1300" t="s">
        <v>705</v>
      </c>
      <c r="B29" s="1301">
        <v>133</v>
      </c>
      <c r="C29" s="336"/>
      <c r="D29" s="336"/>
      <c r="E29" s="336"/>
      <c r="F29" s="336"/>
    </row>
    <row r="30" spans="1:6">
      <c r="A30" s="1293" t="s">
        <v>706</v>
      </c>
      <c r="B30" s="1302">
        <v>23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134463.34700000001</v>
      </c>
    </row>
    <row r="37" spans="1:6">
      <c r="A37" s="1298" t="s">
        <v>24</v>
      </c>
      <c r="B37" s="1298" t="s">
        <v>27</v>
      </c>
      <c r="C37" s="1299">
        <v>0</v>
      </c>
      <c r="D37" s="1299">
        <v>0</v>
      </c>
      <c r="E37" s="1299">
        <v>0</v>
      </c>
      <c r="F37" s="1299">
        <v>0</v>
      </c>
    </row>
    <row r="38" spans="1:6">
      <c r="A38" s="1298" t="s">
        <v>24</v>
      </c>
      <c r="B38" s="1298" t="s">
        <v>28</v>
      </c>
      <c r="C38" s="1299">
        <v>1</v>
      </c>
      <c r="D38" s="1299">
        <v>76066637.840000004</v>
      </c>
      <c r="E38" s="1299">
        <v>2</v>
      </c>
      <c r="F38" s="1299">
        <v>154332.50700000001</v>
      </c>
    </row>
    <row r="39" spans="1:6">
      <c r="A39" s="1298" t="s">
        <v>29</v>
      </c>
      <c r="B39" s="1298" t="s">
        <v>30</v>
      </c>
      <c r="C39" s="1299">
        <v>3863</v>
      </c>
      <c r="D39" s="1299">
        <v>57496271.07</v>
      </c>
      <c r="E39" s="1299">
        <v>5348</v>
      </c>
      <c r="F39" s="1299">
        <v>18921310.809999999</v>
      </c>
    </row>
    <row r="40" spans="1:6">
      <c r="A40" s="1298" t="s">
        <v>29</v>
      </c>
      <c r="B40" s="1298" t="s">
        <v>28</v>
      </c>
      <c r="C40" s="1299">
        <v>0</v>
      </c>
      <c r="D40" s="1299">
        <v>0</v>
      </c>
      <c r="E40" s="1299">
        <v>0</v>
      </c>
      <c r="F40" s="1299">
        <v>0</v>
      </c>
    </row>
    <row r="41" spans="1:6">
      <c r="A41" s="1298" t="s">
        <v>31</v>
      </c>
      <c r="B41" s="1298" t="s">
        <v>32</v>
      </c>
      <c r="C41" s="1299">
        <v>82</v>
      </c>
      <c r="D41" s="1299">
        <v>1692206.1340000001</v>
      </c>
      <c r="E41" s="1299">
        <v>174</v>
      </c>
      <c r="F41" s="1299">
        <v>1556084.263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53252.891000000003</v>
      </c>
      <c r="E44" s="1299">
        <v>5</v>
      </c>
      <c r="F44" s="1299">
        <v>55381.805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14808895</v>
      </c>
      <c r="E48" s="1299">
        <v>38</v>
      </c>
      <c r="F48" s="1299">
        <v>1131502.764</v>
      </c>
    </row>
    <row r="49" spans="1:6">
      <c r="A49" s="1298" t="s">
        <v>31</v>
      </c>
      <c r="B49" s="1298" t="s">
        <v>39</v>
      </c>
      <c r="C49" s="1299">
        <v>0</v>
      </c>
      <c r="D49" s="1299">
        <v>0</v>
      </c>
      <c r="E49" s="1299">
        <v>0</v>
      </c>
      <c r="F49" s="1299">
        <v>0</v>
      </c>
    </row>
    <row r="50" spans="1:6">
      <c r="A50" s="1298" t="s">
        <v>31</v>
      </c>
      <c r="B50" s="1298" t="s">
        <v>40</v>
      </c>
      <c r="C50" s="1299">
        <v>16</v>
      </c>
      <c r="D50" s="1299">
        <v>86999122.840000004</v>
      </c>
      <c r="E50" s="1299">
        <v>25</v>
      </c>
      <c r="F50" s="1299">
        <v>7568077.3250000002</v>
      </c>
    </row>
    <row r="51" spans="1:6">
      <c r="A51" s="1298" t="s">
        <v>41</v>
      </c>
      <c r="B51" s="1298" t="s">
        <v>42</v>
      </c>
      <c r="C51" s="1299">
        <v>11</v>
      </c>
      <c r="D51" s="1299">
        <v>174710.639</v>
      </c>
      <c r="E51" s="1299">
        <v>153</v>
      </c>
      <c r="F51" s="1299">
        <v>3163601.0410000002</v>
      </c>
    </row>
    <row r="52" spans="1:6">
      <c r="A52" s="1298" t="s">
        <v>41</v>
      </c>
      <c r="B52" s="1298" t="s">
        <v>28</v>
      </c>
      <c r="C52" s="1299">
        <v>5</v>
      </c>
      <c r="D52" s="1299">
        <v>132223.12400000001</v>
      </c>
      <c r="E52" s="1299">
        <v>8</v>
      </c>
      <c r="F52" s="1299">
        <v>198593.13099999999</v>
      </c>
    </row>
    <row r="53" spans="1:6">
      <c r="A53" s="1298" t="s">
        <v>43</v>
      </c>
      <c r="B53" s="1298" t="s">
        <v>44</v>
      </c>
      <c r="C53" s="1299">
        <v>106</v>
      </c>
      <c r="D53" s="1299">
        <v>1658300.348</v>
      </c>
      <c r="E53" s="1299">
        <v>177</v>
      </c>
      <c r="F53" s="1299">
        <v>629318.33299999998</v>
      </c>
    </row>
    <row r="54" spans="1:6">
      <c r="A54" s="1298" t="s">
        <v>45</v>
      </c>
      <c r="B54" s="1298" t="s">
        <v>46</v>
      </c>
      <c r="C54" s="1299">
        <v>0</v>
      </c>
      <c r="D54" s="1299">
        <v>0</v>
      </c>
      <c r="E54" s="1299">
        <v>1</v>
      </c>
      <c r="F54" s="1299">
        <v>756409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53</v>
      </c>
      <c r="D57" s="1299">
        <v>3471228.1609999998</v>
      </c>
      <c r="E57" s="1299">
        <v>115</v>
      </c>
      <c r="F57" s="1299">
        <v>1410948.496</v>
      </c>
    </row>
    <row r="58" spans="1:6">
      <c r="A58" s="1298" t="s">
        <v>48</v>
      </c>
      <c r="B58" s="1298" t="s">
        <v>50</v>
      </c>
      <c r="C58" s="1299">
        <v>7</v>
      </c>
      <c r="D58" s="1299">
        <v>108558.413</v>
      </c>
      <c r="E58" s="1299">
        <v>18</v>
      </c>
      <c r="F58" s="1299">
        <v>157197.97099999999</v>
      </c>
    </row>
    <row r="59" spans="1:6">
      <c r="A59" s="1298" t="s">
        <v>48</v>
      </c>
      <c r="B59" s="1298" t="s">
        <v>51</v>
      </c>
      <c r="C59" s="1299">
        <v>100</v>
      </c>
      <c r="D59" s="1299">
        <v>3387002.4989999998</v>
      </c>
      <c r="E59" s="1299">
        <v>193</v>
      </c>
      <c r="F59" s="1299">
        <v>3913730.3650000002</v>
      </c>
    </row>
    <row r="60" spans="1:6">
      <c r="A60" s="1298" t="s">
        <v>48</v>
      </c>
      <c r="B60" s="1298" t="s">
        <v>52</v>
      </c>
      <c r="C60" s="1299">
        <v>43</v>
      </c>
      <c r="D60" s="1299">
        <v>1795441.206</v>
      </c>
      <c r="E60" s="1299">
        <v>51</v>
      </c>
      <c r="F60" s="1299">
        <v>1069895.433</v>
      </c>
    </row>
    <row r="61" spans="1:6">
      <c r="A61" s="1298" t="s">
        <v>48</v>
      </c>
      <c r="B61" s="1298" t="s">
        <v>53</v>
      </c>
      <c r="C61" s="1299">
        <v>87</v>
      </c>
      <c r="D61" s="1299">
        <v>1547617.0530000001</v>
      </c>
      <c r="E61" s="1299">
        <v>164</v>
      </c>
      <c r="F61" s="1299">
        <v>1222099.568</v>
      </c>
    </row>
    <row r="62" spans="1:6">
      <c r="A62" s="1298" t="s">
        <v>48</v>
      </c>
      <c r="B62" s="1298" t="s">
        <v>54</v>
      </c>
      <c r="C62" s="1299">
        <v>6</v>
      </c>
      <c r="D62" s="1299">
        <v>544086.28799999994</v>
      </c>
      <c r="E62" s="1299">
        <v>6</v>
      </c>
      <c r="F62" s="1299">
        <v>68182.096999999994</v>
      </c>
    </row>
    <row r="63" spans="1:6">
      <c r="A63" s="1298" t="s">
        <v>48</v>
      </c>
      <c r="B63" s="1298" t="s">
        <v>28</v>
      </c>
      <c r="C63" s="1299">
        <v>77</v>
      </c>
      <c r="D63" s="1299">
        <v>5052479.5429999996</v>
      </c>
      <c r="E63" s="1299">
        <v>97</v>
      </c>
      <c r="F63" s="1299">
        <v>2660640.8569999998</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9504.6929999999993</v>
      </c>
    </row>
    <row r="66" spans="1:6">
      <c r="A66" s="1298" t="s">
        <v>55</v>
      </c>
      <c r="B66" s="1298" t="s">
        <v>57</v>
      </c>
      <c r="C66" s="1299">
        <v>0</v>
      </c>
      <c r="D66" s="1299">
        <v>0</v>
      </c>
      <c r="E66" s="1299">
        <v>10</v>
      </c>
      <c r="F66" s="1299">
        <v>49418.569000000003</v>
      </c>
    </row>
    <row r="67" spans="1:6">
      <c r="A67" s="1300" t="s">
        <v>55</v>
      </c>
      <c r="B67" s="1300" t="s">
        <v>58</v>
      </c>
      <c r="C67" s="1299">
        <v>0</v>
      </c>
      <c r="D67" s="1299">
        <v>0</v>
      </c>
      <c r="E67" s="1299">
        <v>0</v>
      </c>
      <c r="F67" s="1299">
        <v>0</v>
      </c>
    </row>
    <row r="68" spans="1:6">
      <c r="A68" s="1293" t="s">
        <v>55</v>
      </c>
      <c r="B68" s="1293" t="s">
        <v>59</v>
      </c>
      <c r="C68" s="1302">
        <v>7</v>
      </c>
      <c r="D68" s="1302">
        <v>205644.505</v>
      </c>
      <c r="E68" s="1302">
        <v>20</v>
      </c>
      <c r="F68" s="1302">
        <v>355948.89199999999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41146753</v>
      </c>
      <c r="E73" s="450"/>
      <c r="F73" s="330"/>
    </row>
    <row r="74" spans="1:6">
      <c r="A74" s="1298" t="s">
        <v>63</v>
      </c>
      <c r="B74" s="1298" t="s">
        <v>647</v>
      </c>
      <c r="C74" s="1312" t="s">
        <v>649</v>
      </c>
      <c r="D74" s="1313">
        <v>3639070</v>
      </c>
      <c r="E74" s="450"/>
      <c r="F74" s="330"/>
    </row>
    <row r="75" spans="1:6">
      <c r="A75" s="1298" t="s">
        <v>64</v>
      </c>
      <c r="B75" s="1298" t="s">
        <v>646</v>
      </c>
      <c r="C75" s="1312" t="s">
        <v>650</v>
      </c>
      <c r="D75" s="1313">
        <v>20683856</v>
      </c>
      <c r="E75" s="450"/>
      <c r="F75" s="330"/>
    </row>
    <row r="76" spans="1:6">
      <c r="A76" s="1298" t="s">
        <v>64</v>
      </c>
      <c r="B76" s="1298" t="s">
        <v>647</v>
      </c>
      <c r="C76" s="1312" t="s">
        <v>651</v>
      </c>
      <c r="D76" s="1313">
        <v>704201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307460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4437.4054133055251</v>
      </c>
      <c r="C91" s="330"/>
      <c r="D91" s="330"/>
      <c r="E91" s="330"/>
      <c r="F91" s="330"/>
    </row>
    <row r="92" spans="1:6">
      <c r="A92" s="1293" t="s">
        <v>68</v>
      </c>
      <c r="B92" s="1294">
        <v>1515.9012429214822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2557</v>
      </c>
      <c r="C97" s="330"/>
      <c r="D97" s="330"/>
      <c r="E97" s="330"/>
      <c r="F97" s="330"/>
    </row>
    <row r="98" spans="1:6">
      <c r="A98" s="1298" t="s">
        <v>71</v>
      </c>
      <c r="B98" s="1299">
        <v>2</v>
      </c>
      <c r="C98" s="330"/>
      <c r="D98" s="330"/>
      <c r="E98" s="330"/>
      <c r="F98" s="330"/>
    </row>
    <row r="99" spans="1:6">
      <c r="A99" s="1298" t="s">
        <v>72</v>
      </c>
      <c r="B99" s="1299">
        <v>154</v>
      </c>
      <c r="C99" s="330"/>
      <c r="D99" s="330"/>
      <c r="E99" s="330"/>
      <c r="F99" s="330"/>
    </row>
    <row r="100" spans="1:6">
      <c r="A100" s="1298" t="s">
        <v>73</v>
      </c>
      <c r="B100" s="1299">
        <v>356</v>
      </c>
      <c r="C100" s="330"/>
      <c r="D100" s="330"/>
      <c r="E100" s="330"/>
      <c r="F100" s="330"/>
    </row>
    <row r="101" spans="1:6">
      <c r="A101" s="1298" t="s">
        <v>74</v>
      </c>
      <c r="B101" s="1299">
        <v>153</v>
      </c>
      <c r="C101" s="330"/>
      <c r="D101" s="330"/>
      <c r="E101" s="330"/>
      <c r="F101" s="330"/>
    </row>
    <row r="102" spans="1:6">
      <c r="A102" s="1298" t="s">
        <v>75</v>
      </c>
      <c r="B102" s="1299">
        <v>66</v>
      </c>
      <c r="C102" s="330"/>
      <c r="D102" s="330"/>
      <c r="E102" s="330"/>
      <c r="F102" s="330"/>
    </row>
    <row r="103" spans="1:6">
      <c r="A103" s="1298" t="s">
        <v>76</v>
      </c>
      <c r="B103" s="1299">
        <v>193</v>
      </c>
      <c r="C103" s="330"/>
      <c r="D103" s="330"/>
      <c r="E103" s="330"/>
      <c r="F103" s="330"/>
    </row>
    <row r="104" spans="1:6">
      <c r="A104" s="1298" t="s">
        <v>77</v>
      </c>
      <c r="B104" s="1299">
        <v>1595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23</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200</v>
      </c>
      <c r="C129" s="330"/>
      <c r="D129" s="330"/>
      <c r="E129" s="330"/>
      <c r="F129" s="330"/>
    </row>
    <row r="130" spans="1:6">
      <c r="A130" s="1298" t="s">
        <v>294</v>
      </c>
      <c r="B130" s="1299">
        <v>4</v>
      </c>
      <c r="C130" s="330"/>
      <c r="D130" s="330"/>
      <c r="E130" s="330"/>
      <c r="F130" s="330"/>
    </row>
    <row r="131" spans="1:6">
      <c r="A131" s="1298" t="s">
        <v>295</v>
      </c>
      <c r="B131" s="1299">
        <v>2</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48949.94985579537</v>
      </c>
      <c r="C3" s="43" t="s">
        <v>169</v>
      </c>
      <c r="D3" s="43"/>
      <c r="E3" s="154"/>
      <c r="F3" s="43"/>
      <c r="G3" s="43"/>
      <c r="H3" s="43"/>
      <c r="I3" s="43"/>
      <c r="J3" s="43"/>
      <c r="K3" s="96"/>
    </row>
    <row r="4" spans="1:11">
      <c r="A4" s="358" t="s">
        <v>170</v>
      </c>
      <c r="B4" s="49">
        <f>IF(ISERROR('SEAP template'!B78+'SEAP template'!C78),0,'SEAP template'!B78+'SEAP template'!C78)</f>
        <v>30055.306656227007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5727.7694117647061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0.20231860477987398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8182.5277310924384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34431.428571428572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756.40899999999999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756.40899999999999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0.20231860477987398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153.03561352293971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18921.310809999999</v>
      </c>
      <c r="C5" s="17">
        <f>IF(ISERROR('Eigen informatie GS &amp; warmtenet'!B59),0,'Eigen informatie GS &amp; warmtenet'!B59)</f>
        <v>0</v>
      </c>
      <c r="D5" s="30">
        <f>(SUM(HH_hh_gas_kWh,HH_rest_gas_kWh)/1000)*0.902</f>
        <v>51861.636505140006</v>
      </c>
      <c r="E5" s="17">
        <f>B46*B57</f>
        <v>18022.022721678841</v>
      </c>
      <c r="F5" s="17">
        <f>B51*B62</f>
        <v>8708.3271568513264</v>
      </c>
      <c r="G5" s="18"/>
      <c r="H5" s="17"/>
      <c r="I5" s="17"/>
      <c r="J5" s="17">
        <f>B50*B61+C50*C61</f>
        <v>821.75206954664463</v>
      </c>
      <c r="K5" s="17"/>
      <c r="L5" s="17"/>
      <c r="M5" s="17"/>
      <c r="N5" s="17">
        <f>B48*B59+C48*C59</f>
        <v>22340.193809943299</v>
      </c>
      <c r="O5" s="17">
        <f>B69*B70*B71</f>
        <v>444.40664114269515</v>
      </c>
      <c r="P5" s="17">
        <f>B77*B78*B79/1000-B77*B78*B79/1000/B80</f>
        <v>305.48481992286571</v>
      </c>
    </row>
    <row r="6" spans="1:16">
      <c r="A6" s="16" t="s">
        <v>611</v>
      </c>
      <c r="B6" s="783">
        <f>kWh_PV_kleiner_dan_10kW</f>
        <v>4437.4054133055251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23358.716223305524</v>
      </c>
      <c r="C8" s="21">
        <f>C5</f>
        <v>0</v>
      </c>
      <c r="D8" s="21">
        <f>D5</f>
        <v>51861.636505140006</v>
      </c>
      <c r="E8" s="21">
        <f>E5</f>
        <v>18022.022721678841</v>
      </c>
      <c r="F8" s="21">
        <f>F5</f>
        <v>8708.3271568513264</v>
      </c>
      <c r="G8" s="21"/>
      <c r="H8" s="21"/>
      <c r="I8" s="21"/>
      <c r="J8" s="21">
        <f>J5</f>
        <v>821.75206954664463</v>
      </c>
      <c r="K8" s="21"/>
      <c r="L8" s="21">
        <f>L5</f>
        <v>0</v>
      </c>
      <c r="M8" s="21">
        <f>M5</f>
        <v>0</v>
      </c>
      <c r="N8" s="21">
        <f>N5</f>
        <v>22340.193809943299</v>
      </c>
      <c r="O8" s="21">
        <f>O5</f>
        <v>444.40664114269515</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0.20231860477987398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4725.902875748181</v>
      </c>
      <c r="C12" s="23">
        <f ca="1">C10*C8</f>
        <v>0</v>
      </c>
      <c r="D12" s="23">
        <f>D8*D10</f>
        <v>10476.050574038281</v>
      </c>
      <c r="E12" s="23">
        <f>E10*E8</f>
        <v>4090.999157821097</v>
      </c>
      <c r="F12" s="23">
        <f>F10*F8</f>
        <v>2325.1233508793043</v>
      </c>
      <c r="G12" s="23"/>
      <c r="H12" s="23"/>
      <c r="I12" s="23"/>
      <c r="J12" s="23">
        <f>J10*J8</f>
        <v>290.90023261951217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5802</v>
      </c>
      <c r="C28" s="36"/>
      <c r="D28" s="228"/>
    </row>
    <row r="29" spans="1:7" s="15" customFormat="1">
      <c r="A29" s="230" t="s">
        <v>819</v>
      </c>
      <c r="B29" s="37">
        <f>SUM(HH_hh_gas_aantal,HH_rest_gas_aantal)</f>
        <v>3863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3863</v>
      </c>
      <c r="C32" s="167">
        <f>IF(ISERROR(B32/SUM($B$32,$B$34,$B$35,$B$36,$B$38,$B$39)*100),0,B32/SUM($B$32,$B$34,$B$35,$B$36,$B$38,$B$39)*100)</f>
        <v>66.914948900051968</v>
      </c>
      <c r="D32" s="233"/>
      <c r="G32" s="15"/>
    </row>
    <row r="33" spans="1:7">
      <c r="A33" s="171" t="s">
        <v>71</v>
      </c>
      <c r="B33" s="34" t="s">
        <v>110</v>
      </c>
      <c r="C33" s="167"/>
      <c r="D33" s="233"/>
      <c r="G33" s="15"/>
    </row>
    <row r="34" spans="1:7">
      <c r="A34" s="171" t="s">
        <v>72</v>
      </c>
      <c r="B34" s="33">
        <f>IF((($B$28-$B$32-$B$39-$B$77-$B$38)*C20/100)&lt;0,0,($B$28-$B$32-$B$39-$B$77-$B$38)*C20/100)</f>
        <v>331.69230769230768</v>
      </c>
      <c r="C34" s="167">
        <f>IF(ISERROR(B34/SUM($B$32,$B$34,$B$35,$B$36,$B$38,$B$39)*100),0,B34/SUM($B$32,$B$34,$B$35,$B$36,$B$38,$B$39)*100)</f>
        <v>5.7455795546909352</v>
      </c>
      <c r="D34" s="233"/>
      <c r="G34" s="15"/>
    </row>
    <row r="35" spans="1:7">
      <c r="A35" s="171" t="s">
        <v>73</v>
      </c>
      <c r="B35" s="33">
        <f>IF((($B$28-$B$32-$B$39-$B$77-$B$38)*C21/100)&lt;0,0,($B$28-$B$32-$B$39-$B$77-$B$38)*C21/100)</f>
        <v>766.76923076923083</v>
      </c>
      <c r="C35" s="167">
        <f>IF(ISERROR(B35/SUM($B$32,$B$34,$B$35,$B$36,$B$38,$B$39)*100),0,B35/SUM($B$32,$B$34,$B$35,$B$36,$B$38,$B$39)*100)</f>
        <v>13.281989100454371</v>
      </c>
      <c r="D35" s="233"/>
      <c r="G35" s="15"/>
    </row>
    <row r="36" spans="1:7">
      <c r="A36" s="171" t="s">
        <v>74</v>
      </c>
      <c r="B36" s="33">
        <f>IF((($B$28-$B$32-$B$39-$B$77-$B$38)*C22/100)&lt;0,0,($B$28-$B$32-$B$39-$B$77-$B$38)*C22/100)</f>
        <v>329.53846153846155</v>
      </c>
      <c r="C36" s="167">
        <f>IF(ISERROR(B36/SUM($B$32,$B$34,$B$35,$B$36,$B$38,$B$39)*100),0,B36/SUM($B$32,$B$34,$B$35,$B$36,$B$38,$B$39)*100)</f>
        <v>5.708270596543592</v>
      </c>
      <c r="D36" s="233"/>
      <c r="G36" s="15"/>
    </row>
    <row r="37" spans="1:7">
      <c r="A37" s="171" t="s">
        <v>75</v>
      </c>
      <c r="B37" s="34" t="s">
        <v>110</v>
      </c>
      <c r="C37" s="167"/>
      <c r="D37" s="173"/>
      <c r="G37" s="15"/>
    </row>
    <row r="38" spans="1:7">
      <c r="A38" s="171" t="s">
        <v>76</v>
      </c>
      <c r="B38" s="33">
        <f>IF((B24-(B29-B18)*0.1)&lt;0,0,B24-(B29-B18)*0.1)</f>
        <v>62.400000000000006</v>
      </c>
      <c r="C38" s="167">
        <f>IF(ISERROR(B38/SUM($B$32,$B$34,$B$35,$B$36,$B$38,$B$39)*100),0,B38/SUM($B$32,$B$34,$B$35,$B$36,$B$38,$B$39)*100)</f>
        <v>1.0808938160401871</v>
      </c>
      <c r="D38" s="234"/>
      <c r="G38" s="15"/>
    </row>
    <row r="39" spans="1:7">
      <c r="A39" s="171" t="s">
        <v>77</v>
      </c>
      <c r="B39" s="33">
        <f>IF((B25-(B29-B18))&lt;0,0,B25-(B29-B18)*0.9)</f>
        <v>419.59999999999991</v>
      </c>
      <c r="C39" s="167">
        <f>IF(ISERROR(B39/SUM($B$32,$B$34,$B$35,$B$36,$B$38,$B$39)*100),0,B39/SUM($B$32,$B$34,$B$35,$B$36,$B$38,$B$39)*100)</f>
        <v>7.2683180322189482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3863</v>
      </c>
      <c r="C44" s="34" t="s">
        <v>110</v>
      </c>
      <c r="D44" s="174"/>
    </row>
    <row r="45" spans="1:7">
      <c r="A45" s="171" t="s">
        <v>71</v>
      </c>
      <c r="B45" s="33" t="str">
        <f t="shared" si="0"/>
        <v>-</v>
      </c>
      <c r="C45" s="34" t="s">
        <v>110</v>
      </c>
      <c r="D45" s="174"/>
    </row>
    <row r="46" spans="1:7">
      <c r="A46" s="171" t="s">
        <v>72</v>
      </c>
      <c r="B46" s="33">
        <f t="shared" si="0"/>
        <v>331.69230769230768</v>
      </c>
      <c r="C46" s="34" t="s">
        <v>110</v>
      </c>
      <c r="D46" s="174"/>
    </row>
    <row r="47" spans="1:7">
      <c r="A47" s="171" t="s">
        <v>73</v>
      </c>
      <c r="B47" s="33">
        <f t="shared" si="0"/>
        <v>766.76923076923083</v>
      </c>
      <c r="C47" s="34" t="s">
        <v>110</v>
      </c>
      <c r="D47" s="174"/>
    </row>
    <row r="48" spans="1:7">
      <c r="A48" s="171" t="s">
        <v>74</v>
      </c>
      <c r="B48" s="33">
        <f t="shared" si="0"/>
        <v>329.53846153846155</v>
      </c>
      <c r="C48" s="33">
        <f>B48*10</f>
        <v>3295.3846153846152</v>
      </c>
      <c r="D48" s="234"/>
    </row>
    <row r="49" spans="1:6">
      <c r="A49" s="171" t="s">
        <v>75</v>
      </c>
      <c r="B49" s="33" t="str">
        <f t="shared" si="0"/>
        <v>-</v>
      </c>
      <c r="C49" s="34" t="s">
        <v>110</v>
      </c>
      <c r="D49" s="234"/>
    </row>
    <row r="50" spans="1:6">
      <c r="A50" s="171" t="s">
        <v>76</v>
      </c>
      <c r="B50" s="33">
        <f t="shared" si="0"/>
        <v>62.400000000000006</v>
      </c>
      <c r="C50" s="33">
        <f>B50*2</f>
        <v>124.80000000000001</v>
      </c>
      <c r="D50" s="234"/>
    </row>
    <row r="51" spans="1:6">
      <c r="A51" s="171" t="s">
        <v>77</v>
      </c>
      <c r="B51" s="33">
        <f t="shared" si="0"/>
        <v>419.59999999999991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10502.694787</v>
      </c>
      <c r="C5" s="17">
        <f>IF(ISERROR('Eigen informatie GS &amp; warmtenet'!B60),0,'Eigen informatie GS &amp; warmtenet'!B60)</f>
        <v>0</v>
      </c>
      <c r="D5" s="30">
        <f>SUM(D6:D12)</f>
        <v>14347.584673025998</v>
      </c>
      <c r="E5" s="17">
        <f>SUM(E6:E12)</f>
        <v>164.90775903751563</v>
      </c>
      <c r="F5" s="17">
        <f>SUM(F6:F12)</f>
        <v>1197.4314776440192</v>
      </c>
      <c r="G5" s="18"/>
      <c r="H5" s="17"/>
      <c r="I5" s="17"/>
      <c r="J5" s="17">
        <f>SUM(J6:J12)</f>
        <v>2.9051316172997867E-2</v>
      </c>
      <c r="K5" s="17"/>
      <c r="L5" s="17"/>
      <c r="M5" s="17"/>
      <c r="N5" s="17">
        <f>SUM(N6:N12)</f>
        <v>1138.6370210649038</v>
      </c>
      <c r="O5" s="17">
        <f>B38*B39*B40</f>
        <v>19.589043063364617</v>
      </c>
      <c r="P5" s="17">
        <f>B46*B47*B48/1000-B46*B47*B48/1000/B49</f>
        <v>105.07827661299004</v>
      </c>
      <c r="R5" s="32"/>
    </row>
    <row r="6" spans="1:18">
      <c r="A6" s="32" t="s">
        <v>53</v>
      </c>
      <c r="B6" s="37">
        <f>B26</f>
        <v>1222.0995679999999</v>
      </c>
      <c r="C6" s="33"/>
      <c r="D6" s="37">
        <f>IF(ISERROR(TER_kantoor_gas_kWh/1000),0,TER_kantoor_gas_kWh/1000)*0.902</f>
        <v>1395.9505818060002</v>
      </c>
      <c r="E6" s="33">
        <f>$C$26*'E Balans VL '!I12/100/3.6*1000000</f>
        <v>9.8338433877047233</v>
      </c>
      <c r="F6" s="33">
        <f>$C$26*('E Balans VL '!L12+'E Balans VL '!N12)/100/3.6*1000000</f>
        <v>149.41452826385964</v>
      </c>
      <c r="G6" s="34"/>
      <c r="H6" s="33"/>
      <c r="I6" s="33"/>
      <c r="J6" s="33">
        <f>$C$26*('E Balans VL '!D12+'E Balans VL '!E12)/100/3.6*1000000</f>
        <v>0</v>
      </c>
      <c r="K6" s="33"/>
      <c r="L6" s="33"/>
      <c r="M6" s="33"/>
      <c r="N6" s="33">
        <f>$C$26*'E Balans VL '!Y12/100/3.6*1000000</f>
        <v>0.65681833591003258</v>
      </c>
      <c r="O6" s="33"/>
      <c r="P6" s="33"/>
      <c r="R6" s="32"/>
    </row>
    <row r="7" spans="1:18">
      <c r="A7" s="32" t="s">
        <v>52</v>
      </c>
      <c r="B7" s="37">
        <f t="shared" ref="B7:B12" si="0">B27</f>
        <v>1069.8954329999999</v>
      </c>
      <c r="C7" s="33"/>
      <c r="D7" s="37">
        <f>IF(ISERROR(TER_horeca_gas_kWh/1000),0,TER_horeca_gas_kWh/1000)*0.902</f>
        <v>1619.4879678120001</v>
      </c>
      <c r="E7" s="33">
        <f>$C$27*'E Balans VL '!I9/100/3.6*1000000</f>
        <v>11.488049746546052</v>
      </c>
      <c r="F7" s="33">
        <f>$C$27*('E Balans VL '!L9+'E Balans VL '!N9)/100/3.6*1000000</f>
        <v>128.68247702431822</v>
      </c>
      <c r="G7" s="34"/>
      <c r="H7" s="33"/>
      <c r="I7" s="33"/>
      <c r="J7" s="33">
        <f>$C$27*('E Balans VL '!D9+'E Balans VL '!E9)/100/3.6*1000000</f>
        <v>0</v>
      </c>
      <c r="K7" s="33"/>
      <c r="L7" s="33"/>
      <c r="M7" s="33"/>
      <c r="N7" s="33">
        <f>$C$27*'E Balans VL '!Y9/100/3.6*1000000</f>
        <v>0.16039900966961576</v>
      </c>
      <c r="O7" s="33"/>
      <c r="P7" s="33"/>
      <c r="R7" s="32"/>
    </row>
    <row r="8" spans="1:18">
      <c r="A8" s="6" t="s">
        <v>51</v>
      </c>
      <c r="B8" s="37">
        <f t="shared" si="0"/>
        <v>3913.7303650000003</v>
      </c>
      <c r="C8" s="33"/>
      <c r="D8" s="37">
        <f>IF(ISERROR(TER_handel_gas_kWh/1000),0,TER_handel_gas_kWh/1000)*0.902</f>
        <v>3055.0762540979999</v>
      </c>
      <c r="E8" s="33">
        <f>$C$28*'E Balans VL '!I13/100/3.6*1000000</f>
        <v>105.03254122732022</v>
      </c>
      <c r="F8" s="33">
        <f>$C$28*('E Balans VL '!L13+'E Balans VL '!N13)/100/3.6*1000000</f>
        <v>373.49050110111665</v>
      </c>
      <c r="G8" s="34"/>
      <c r="H8" s="33"/>
      <c r="I8" s="33"/>
      <c r="J8" s="33">
        <f>$C$28*('E Balans VL '!D13+'E Balans VL '!E13)/100/3.6*1000000</f>
        <v>0</v>
      </c>
      <c r="K8" s="33"/>
      <c r="L8" s="33"/>
      <c r="M8" s="33"/>
      <c r="N8" s="33">
        <f>$C$28*'E Balans VL '!Y13/100/3.6*1000000</f>
        <v>1.5514472173089175</v>
      </c>
      <c r="O8" s="33"/>
      <c r="P8" s="33"/>
      <c r="R8" s="32"/>
    </row>
    <row r="9" spans="1:18">
      <c r="A9" s="32" t="s">
        <v>50</v>
      </c>
      <c r="B9" s="37">
        <f t="shared" si="0"/>
        <v>157.197971</v>
      </c>
      <c r="C9" s="33"/>
      <c r="D9" s="37">
        <f>IF(ISERROR(TER_gezond_gas_kWh/1000),0,TER_gezond_gas_kWh/1000)*0.902</f>
        <v>97.919688526000002</v>
      </c>
      <c r="E9" s="33">
        <f>$C$29*'E Balans VL '!I10/100/3.6*1000000</f>
        <v>0.29464018353604299</v>
      </c>
      <c r="F9" s="33">
        <f>$C$29*('E Balans VL '!L10+'E Balans VL '!N10)/100/3.6*1000000</f>
        <v>12.923107537166189</v>
      </c>
      <c r="G9" s="34"/>
      <c r="H9" s="33"/>
      <c r="I9" s="33"/>
      <c r="J9" s="33">
        <f>$C$29*('E Balans VL '!D10+'E Balans VL '!E10)/100/3.6*1000000</f>
        <v>0</v>
      </c>
      <c r="K9" s="33"/>
      <c r="L9" s="33"/>
      <c r="M9" s="33"/>
      <c r="N9" s="33">
        <f>$C$29*'E Balans VL '!Y10/100/3.6*1000000</f>
        <v>1.2231175009189115</v>
      </c>
      <c r="O9" s="33"/>
      <c r="P9" s="33"/>
      <c r="R9" s="32"/>
    </row>
    <row r="10" spans="1:18">
      <c r="A10" s="32" t="s">
        <v>49</v>
      </c>
      <c r="B10" s="37">
        <f t="shared" si="0"/>
        <v>1410.948496</v>
      </c>
      <c r="C10" s="33"/>
      <c r="D10" s="37">
        <f>IF(ISERROR(TER_ander_gas_kWh/1000),0,TER_ander_gas_kWh/1000)*0.902</f>
        <v>3131.0478012220001</v>
      </c>
      <c r="E10" s="33">
        <f>$C$30*'E Balans VL '!I14/100/3.6*1000000</f>
        <v>2.1749914035042046</v>
      </c>
      <c r="F10" s="33">
        <f>$C$30*('E Balans VL '!L14+'E Balans VL '!N14)/100/3.6*1000000</f>
        <v>219.05014351774736</v>
      </c>
      <c r="G10" s="34"/>
      <c r="H10" s="33"/>
      <c r="I10" s="33"/>
      <c r="J10" s="33">
        <f>$C$30*('E Balans VL '!D14+'E Balans VL '!E14)/100/3.6*1000000</f>
        <v>2.395233874087517E-2</v>
      </c>
      <c r="K10" s="33"/>
      <c r="L10" s="33"/>
      <c r="M10" s="33"/>
      <c r="N10" s="33">
        <f>$C$30*'E Balans VL '!Y14/100/3.6*1000000</f>
        <v>933.43830439374574</v>
      </c>
      <c r="O10" s="33"/>
      <c r="P10" s="33"/>
      <c r="R10" s="32"/>
    </row>
    <row r="11" spans="1:18">
      <c r="A11" s="32" t="s">
        <v>54</v>
      </c>
      <c r="B11" s="37">
        <f t="shared" si="0"/>
        <v>68.182096999999999</v>
      </c>
      <c r="C11" s="33"/>
      <c r="D11" s="37">
        <f>IF(ISERROR(TER_onderwijs_gas_kWh/1000),0,TER_onderwijs_gas_kWh/1000)*0.902</f>
        <v>490.76583177599997</v>
      </c>
      <c r="E11" s="33">
        <f>$C$31*'E Balans VL '!I11/100/3.6*1000000</f>
        <v>1.739109161070254</v>
      </c>
      <c r="F11" s="33">
        <f>$C$31*('E Balans VL '!L11+'E Balans VL '!N11)/100/3.6*1000000</f>
        <v>8.1995389185858247</v>
      </c>
      <c r="G11" s="34"/>
      <c r="H11" s="33"/>
      <c r="I11" s="33"/>
      <c r="J11" s="33">
        <f>$C$31*('E Balans VL '!D11+'E Balans VL '!E11)/100/3.6*1000000</f>
        <v>0</v>
      </c>
      <c r="K11" s="33"/>
      <c r="L11" s="33"/>
      <c r="M11" s="33"/>
      <c r="N11" s="33">
        <f>$C$31*'E Balans VL '!Y11/100/3.6*1000000</f>
        <v>0.15163532007049799</v>
      </c>
      <c r="O11" s="33"/>
      <c r="P11" s="33"/>
      <c r="R11" s="32"/>
    </row>
    <row r="12" spans="1:18">
      <c r="A12" s="32" t="s">
        <v>259</v>
      </c>
      <c r="B12" s="37">
        <f t="shared" si="0"/>
        <v>2660.6408569999999</v>
      </c>
      <c r="C12" s="33"/>
      <c r="D12" s="37">
        <f>IF(ISERROR(TER_rest_gas_kWh/1000),0,TER_rest_gas_kWh/1000)*0.902</f>
        <v>4557.3365477859998</v>
      </c>
      <c r="E12" s="33">
        <f>$C$32*'E Balans VL '!I8/100/3.6*1000000</f>
        <v>34.344583927834144</v>
      </c>
      <c r="F12" s="33">
        <f>$C$32*('E Balans VL '!L8+'E Balans VL '!N8)/100/3.6*1000000</f>
        <v>305.67118128122519</v>
      </c>
      <c r="G12" s="34"/>
      <c r="H12" s="33"/>
      <c r="I12" s="33"/>
      <c r="J12" s="33">
        <f>$C$32*('E Balans VL '!D8+'E Balans VL '!E8)/100/3.6*1000000</f>
        <v>5.0989774321226981E-3</v>
      </c>
      <c r="K12" s="33"/>
      <c r="L12" s="33"/>
      <c r="M12" s="33"/>
      <c r="N12" s="33">
        <f>$C$32*'E Balans VL '!Y8/100/3.6*1000000</f>
        <v>201.45529928728018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10502.694787</v>
      </c>
      <c r="C16" s="21">
        <f t="shared" ca="1" si="1"/>
        <v>0</v>
      </c>
      <c r="D16" s="21">
        <f t="shared" ca="1" si="1"/>
        <v>14347.584673025998</v>
      </c>
      <c r="E16" s="21">
        <f t="shared" si="1"/>
        <v>164.90775903751563</v>
      </c>
      <c r="F16" s="21">
        <f t="shared" ca="1" si="1"/>
        <v>1197.4314776440192</v>
      </c>
      <c r="G16" s="21">
        <f t="shared" si="1"/>
        <v>0</v>
      </c>
      <c r="H16" s="21">
        <f t="shared" si="1"/>
        <v>0</v>
      </c>
      <c r="I16" s="21">
        <f t="shared" si="1"/>
        <v>0</v>
      </c>
      <c r="J16" s="21">
        <f t="shared" si="1"/>
        <v>2.9051316172997867E-2</v>
      </c>
      <c r="K16" s="21">
        <f t="shared" si="1"/>
        <v>0</v>
      </c>
      <c r="L16" s="21">
        <f t="shared" ca="1" si="1"/>
        <v>0</v>
      </c>
      <c r="M16" s="21">
        <f t="shared" si="1"/>
        <v>0</v>
      </c>
      <c r="N16" s="21">
        <f t="shared" ca="1" si="1"/>
        <v>1138.6370210649038</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0.20231860477987398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2124.8905557346957</v>
      </c>
      <c r="C20" s="23">
        <f t="shared" ref="C20:P20" ca="1" si="2">C16*C18</f>
        <v>0</v>
      </c>
      <c r="D20" s="23">
        <f t="shared" ca="1" si="2"/>
        <v>2898.2121039512517</v>
      </c>
      <c r="E20" s="23">
        <f t="shared" si="2"/>
        <v>37.434061301516053</v>
      </c>
      <c r="F20" s="23">
        <f t="shared" ca="1" si="2"/>
        <v>319.71420453095317</v>
      </c>
      <c r="G20" s="23">
        <f t="shared" si="2"/>
        <v>0</v>
      </c>
      <c r="H20" s="23">
        <f t="shared" si="2"/>
        <v>0</v>
      </c>
      <c r="I20" s="23">
        <f t="shared" si="2"/>
        <v>0</v>
      </c>
      <c r="J20" s="23">
        <f t="shared" si="2"/>
        <v>1.0284165925241244E-2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1222.0995679999999</v>
      </c>
      <c r="C26" s="39">
        <f>IF(ISERROR(B26*3.6/1000000/'E Balans VL '!Z12*100),0,B26*3.6/1000000/'E Balans VL '!Z12*100)</f>
        <v>2.5925724242409968E-2</v>
      </c>
      <c r="D26" s="237" t="s">
        <v>708</v>
      </c>
      <c r="F26" s="6"/>
    </row>
    <row r="27" spans="1:18">
      <c r="A27" s="231" t="s">
        <v>52</v>
      </c>
      <c r="B27" s="33">
        <f>IF(ISERROR(TER_horeca_ele_kWh/1000),0,TER_horeca_ele_kWh/1000)</f>
        <v>1069.8954329999999</v>
      </c>
      <c r="C27" s="39">
        <f>IF(ISERROR(B27*3.6/1000000/'E Balans VL '!Z9*100),0,B27*3.6/1000000/'E Balans VL '!Z9*100)</f>
        <v>8.0572603780609153E-2</v>
      </c>
      <c r="D27" s="237" t="s">
        <v>708</v>
      </c>
      <c r="F27" s="6"/>
    </row>
    <row r="28" spans="1:18">
      <c r="A28" s="171" t="s">
        <v>51</v>
      </c>
      <c r="B28" s="33">
        <f>IF(ISERROR(TER_handel_ele_kWh/1000),0,TER_handel_ele_kWh/1000)</f>
        <v>3913.7303650000003</v>
      </c>
      <c r="C28" s="39">
        <f>IF(ISERROR(B28*3.6/1000000/'E Balans VL '!Z13*100),0,B28*3.6/1000000/'E Balans VL '!Z13*100)</f>
        <v>0.11360172506730502</v>
      </c>
      <c r="D28" s="237" t="s">
        <v>708</v>
      </c>
      <c r="F28" s="6"/>
    </row>
    <row r="29" spans="1:18">
      <c r="A29" s="231" t="s">
        <v>50</v>
      </c>
      <c r="B29" s="33">
        <f>IF(ISERROR(TER_gezond_ele_kWh/1000),0,TER_gezond_ele_kWh/1000)</f>
        <v>157.197971</v>
      </c>
      <c r="C29" s="39">
        <f>IF(ISERROR(B29*3.6/1000000/'E Balans VL '!Z10*100),0,B29*3.6/1000000/'E Balans VL '!Z10*100)</f>
        <v>1.5853602841565749E-2</v>
      </c>
      <c r="D29" s="237" t="s">
        <v>708</v>
      </c>
      <c r="F29" s="6"/>
    </row>
    <row r="30" spans="1:18">
      <c r="A30" s="231" t="s">
        <v>49</v>
      </c>
      <c r="B30" s="33">
        <f>IF(ISERROR(TER_ander_ele_kWh/1000),0,TER_ander_ele_kWh/1000)</f>
        <v>1410.948496</v>
      </c>
      <c r="C30" s="39">
        <f>IF(ISERROR(B30*3.6/1000000/'E Balans VL '!Z14*100),0,B30*3.6/1000000/'E Balans VL '!Z14*100)</f>
        <v>0.10238356225166305</v>
      </c>
      <c r="D30" s="237" t="s">
        <v>708</v>
      </c>
      <c r="F30" s="6"/>
    </row>
    <row r="31" spans="1:18">
      <c r="A31" s="231" t="s">
        <v>54</v>
      </c>
      <c r="B31" s="33">
        <f>IF(ISERROR(TER_onderwijs_ele_kWh/1000),0,TER_onderwijs_ele_kWh/1000)</f>
        <v>68.182096999999999</v>
      </c>
      <c r="C31" s="39">
        <f>IF(ISERROR(B31*3.6/1000000/'E Balans VL '!Z11*100),0,B31*3.6/1000000/'E Balans VL '!Z11*100)</f>
        <v>1.9434674149273946E-2</v>
      </c>
      <c r="D31" s="237" t="s">
        <v>708</v>
      </c>
    </row>
    <row r="32" spans="1:18">
      <c r="A32" s="231" t="s">
        <v>259</v>
      </c>
      <c r="B32" s="33">
        <f>IF(ISERROR(TER_rest_ele_kWh/1000),0,TER_rest_ele_kWh/1000)</f>
        <v>2660.6408569999999</v>
      </c>
      <c r="C32" s="39">
        <f>IF(ISERROR(B32*3.6/1000000/'E Balans VL '!Z8*100),0,B32*3.6/1000000/'E Balans VL '!Z8*100)</f>
        <v>2.1795427953374233E-2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10311.046157000001</v>
      </c>
      <c r="C5" s="17">
        <f>IF(ISERROR('Eigen informatie GS &amp; warmtenet'!B61),0,'Eigen informatie GS &amp; warmtenet'!B61)</f>
        <v>0</v>
      </c>
      <c r="D5" s="30">
        <f>SUM(D6:D15)</f>
        <v>93405.236132229998</v>
      </c>
      <c r="E5" s="17">
        <f>SUM(E6:E15)</f>
        <v>498.48483527657601</v>
      </c>
      <c r="F5" s="17">
        <f>SUM(F6:F15)</f>
        <v>1904.836666866614</v>
      </c>
      <c r="G5" s="18"/>
      <c r="H5" s="17"/>
      <c r="I5" s="17"/>
      <c r="J5" s="17">
        <f>SUM(J6:J15)</f>
        <v>9.4032892550916376</v>
      </c>
      <c r="K5" s="17"/>
      <c r="L5" s="17"/>
      <c r="M5" s="17"/>
      <c r="N5" s="17">
        <f>SUM(N6:N15)</f>
        <v>597.88149949407489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55.381805</v>
      </c>
      <c r="C8" s="33"/>
      <c r="D8" s="37">
        <f>IF( ISERROR(IND_metaal_Gas_kWH/1000),0,IND_metaal_Gas_kWH/1000)*0.902</f>
        <v>48.034107682000005</v>
      </c>
      <c r="E8" s="33">
        <f>C30*'E Balans VL '!I18/100/3.6*1000000</f>
        <v>0.39954085249142335</v>
      </c>
      <c r="F8" s="33">
        <f>C30*'E Balans VL '!L18/100/3.6*1000000+C30*'E Balans VL '!N18/100/3.6*1000000</f>
        <v>5.2380975840489032</v>
      </c>
      <c r="G8" s="34"/>
      <c r="H8" s="33"/>
      <c r="I8" s="33"/>
      <c r="J8" s="40">
        <f>C30*'E Balans VL '!D18/100/3.6*1000000+C30*'E Balans VL '!E18/100/3.6*1000000</f>
        <v>5.5703341303640942E-2</v>
      </c>
      <c r="K8" s="33"/>
      <c r="L8" s="33"/>
      <c r="M8" s="33"/>
      <c r="N8" s="33">
        <f>C30*'E Balans VL '!Y18/100/3.6*1000000</f>
        <v>0.70017254099005877</v>
      </c>
      <c r="O8" s="33"/>
      <c r="P8" s="33"/>
      <c r="R8" s="32"/>
    </row>
    <row r="9" spans="1:18">
      <c r="A9" s="6" t="s">
        <v>32</v>
      </c>
      <c r="B9" s="37">
        <f t="shared" si="0"/>
        <v>1556.084263</v>
      </c>
      <c r="C9" s="33"/>
      <c r="D9" s="37">
        <f>IF( ISERROR(IND_andere_gas_kWh/1000),0,IND_andere_gas_kWh/1000)*0.902</f>
        <v>1526.369932868</v>
      </c>
      <c r="E9" s="33">
        <f>C31*'E Balans VL '!I19/100/3.6*1000000</f>
        <v>431.21175673070042</v>
      </c>
      <c r="F9" s="33">
        <f>C31*'E Balans VL '!L19/100/3.6*1000000+C31*'E Balans VL '!N19/100/3.6*1000000</f>
        <v>1289.6859998984085</v>
      </c>
      <c r="G9" s="34"/>
      <c r="H9" s="33"/>
      <c r="I9" s="33"/>
      <c r="J9" s="40">
        <f>C31*'E Balans VL '!D19/100/3.6*1000000+C31*'E Balans VL '!E19/100/3.6*1000000</f>
        <v>0</v>
      </c>
      <c r="K9" s="33"/>
      <c r="L9" s="33"/>
      <c r="M9" s="33"/>
      <c r="N9" s="33">
        <f>C31*'E Balans VL '!Y19/100/3.6*1000000</f>
        <v>112.9526845227871</v>
      </c>
      <c r="O9" s="33"/>
      <c r="P9" s="33"/>
      <c r="R9" s="32"/>
    </row>
    <row r="10" spans="1:18">
      <c r="A10" s="6" t="s">
        <v>40</v>
      </c>
      <c r="B10" s="37">
        <f t="shared" si="0"/>
        <v>7568.0773250000002</v>
      </c>
      <c r="C10" s="33"/>
      <c r="D10" s="37">
        <f>IF( ISERROR(IND_voed_gas_kWh/1000),0,IND_voed_gas_kWh/1000)*0.902</f>
        <v>78473.208801679997</v>
      </c>
      <c r="E10" s="33">
        <f>C32*'E Balans VL '!I20/100/3.6*1000000</f>
        <v>13.398060337391518</v>
      </c>
      <c r="F10" s="33">
        <f>C32*'E Balans VL '!L20/100/3.6*1000000+C32*'E Balans VL '!N20/100/3.6*1000000</f>
        <v>408.74325081765647</v>
      </c>
      <c r="G10" s="34"/>
      <c r="H10" s="33"/>
      <c r="I10" s="33"/>
      <c r="J10" s="40">
        <f>C32*'E Balans VL '!D20/100/3.6*1000000+C32*'E Balans VL '!E20/100/3.6*1000000</f>
        <v>0</v>
      </c>
      <c r="K10" s="33"/>
      <c r="L10" s="33"/>
      <c r="M10" s="33"/>
      <c r="N10" s="33">
        <f>C32*'E Balans VL '!Y20/100/3.6*1000000</f>
        <v>439.76309070924708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1131.5027640000001</v>
      </c>
      <c r="C15" s="33"/>
      <c r="D15" s="37">
        <f>IF( ISERROR(IND_rest_gas_kWh/1000),0,IND_rest_gas_kWh/1000)*0.902</f>
        <v>13357.623290000001</v>
      </c>
      <c r="E15" s="33">
        <f>C37*'E Balans VL '!I15/100/3.6*1000000</f>
        <v>53.475477355992616</v>
      </c>
      <c r="F15" s="33">
        <f>C37*'E Balans VL '!L15/100/3.6*1000000+C37*'E Balans VL '!N15/100/3.6*1000000</f>
        <v>201.16931856650001</v>
      </c>
      <c r="G15" s="34"/>
      <c r="H15" s="33"/>
      <c r="I15" s="33"/>
      <c r="J15" s="40">
        <f>C37*'E Balans VL '!D15/100/3.6*1000000+C37*'E Balans VL '!E15/100/3.6*1000000</f>
        <v>9.3475859137879969</v>
      </c>
      <c r="K15" s="33"/>
      <c r="L15" s="33"/>
      <c r="M15" s="33"/>
      <c r="N15" s="33">
        <f>C37*'E Balans VL '!Y15/100/3.6*1000000</f>
        <v>44.465551721050744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10311.046157000001</v>
      </c>
      <c r="C18" s="21">
        <f>C5+C16</f>
        <v>0</v>
      </c>
      <c r="D18" s="21">
        <f>MAX((D5+D16),0)</f>
        <v>93405.236132229998</v>
      </c>
      <c r="E18" s="21">
        <f>MAX((E5+E16),0)</f>
        <v>498.48483527657601</v>
      </c>
      <c r="F18" s="21">
        <f>MAX((F5+F16),0)</f>
        <v>1904.836666866614</v>
      </c>
      <c r="G18" s="21"/>
      <c r="H18" s="21"/>
      <c r="I18" s="21"/>
      <c r="J18" s="21">
        <f>MAX((J5+J16),0)</f>
        <v>9.4032892550916376</v>
      </c>
      <c r="K18" s="21"/>
      <c r="L18" s="21">
        <f>MAX((L5+L16),0)</f>
        <v>0</v>
      </c>
      <c r="M18" s="21"/>
      <c r="N18" s="21">
        <f>MAX((N5+N16),0)</f>
        <v>597.88149949407489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0.20231860477987398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2086.1164723051215</v>
      </c>
      <c r="C22" s="23">
        <f ca="1">C18*C20</f>
        <v>0</v>
      </c>
      <c r="D22" s="23">
        <f>D18*D20</f>
        <v>18867.857698710461</v>
      </c>
      <c r="E22" s="23">
        <f>E18*E20</f>
        <v>113.15605760778276</v>
      </c>
      <c r="F22" s="23">
        <f>F18*F20</f>
        <v>508.59139005338596</v>
      </c>
      <c r="G22" s="23"/>
      <c r="H22" s="23"/>
      <c r="I22" s="23"/>
      <c r="J22" s="23">
        <f>J18*J20</f>
        <v>3.3287643963024394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55.381805</v>
      </c>
      <c r="C30" s="39">
        <f>IF(ISERROR(B30*3.6/1000000/'E Balans VL '!Z18*100),0,B30*3.6/1000000/'E Balans VL '!Z18*100)</f>
        <v>3.1971051877797301E-3</v>
      </c>
      <c r="D30" s="237" t="s">
        <v>708</v>
      </c>
    </row>
    <row r="31" spans="1:18">
      <c r="A31" s="6" t="s">
        <v>32</v>
      </c>
      <c r="B31" s="37">
        <f>IF( ISERROR(IND_ander_ele_kWh/1000),0,IND_ander_ele_kWh/1000)</f>
        <v>1556.084263</v>
      </c>
      <c r="C31" s="39">
        <f>IF(ISERROR(B31*3.6/1000000/'E Balans VL '!Z19*100),0,B31*3.6/1000000/'E Balans VL '!Z19*100)</f>
        <v>7.8265994577064332E-2</v>
      </c>
      <c r="D31" s="237" t="s">
        <v>708</v>
      </c>
    </row>
    <row r="32" spans="1:18">
      <c r="A32" s="171" t="s">
        <v>40</v>
      </c>
      <c r="B32" s="37">
        <f>IF( ISERROR(IND_voed_ele_kWh/1000),0,IND_voed_ele_kWh/1000)</f>
        <v>7568.0773250000002</v>
      </c>
      <c r="C32" s="39">
        <f>IF(ISERROR(B32*3.6/1000000/'E Balans VL '!Z20*100),0,B32*3.6/1000000/'E Balans VL '!Z20*100)</f>
        <v>0.25206191604318512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1131.5027640000001</v>
      </c>
      <c r="C37" s="39">
        <f>IF(ISERROR(B37*3.6/1000000/'E Balans VL '!Z15*100),0,B37*3.6/1000000/'E Balans VL '!Z15*100)</f>
        <v>8.8288158019535264E-3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3362.1941720000004</v>
      </c>
      <c r="C5" s="17">
        <f>'Eigen informatie GS &amp; warmtenet'!B62</f>
        <v>0</v>
      </c>
      <c r="D5" s="30">
        <f>IF(ISERROR(SUM(LB_lb_gas_kWh,LB_rest_gas_kWh)/1000),0,SUM(LB_lb_gas_kWh,LB_rest_gas_kWh)/1000)*0.902</f>
        <v>276.85425422600008</v>
      </c>
      <c r="E5" s="17">
        <f>B17*'E Balans VL '!I25/3.6*1000000/100</f>
        <v>104.93297139326191</v>
      </c>
      <c r="F5" s="17">
        <f>B17*('E Balans VL '!L25/3.6*1000000+'E Balans VL '!N25/3.6*1000000)/100</f>
        <v>11882.366657671062</v>
      </c>
      <c r="G5" s="18"/>
      <c r="H5" s="17"/>
      <c r="I5" s="17"/>
      <c r="J5" s="17">
        <f>('E Balans VL '!D25+'E Balans VL '!E25)/3.6*1000000*landbouw!B17/100</f>
        <v>926.30781099823753</v>
      </c>
      <c r="K5" s="17"/>
      <c r="L5" s="17">
        <f>L6*(-1)</f>
        <v>0</v>
      </c>
      <c r="M5" s="17"/>
      <c r="N5" s="17">
        <f>N6*(-1)</f>
        <v>0</v>
      </c>
      <c r="O5" s="17"/>
      <c r="P5" s="17"/>
      <c r="R5" s="32"/>
    </row>
    <row r="6" spans="1:18">
      <c r="A6" s="16" t="s">
        <v>478</v>
      </c>
      <c r="B6" s="17" t="s">
        <v>210</v>
      </c>
      <c r="C6" s="17">
        <f>'lokale energieproductie'!O39+'lokale energieproductie'!O32</f>
        <v>34431.428571428572</v>
      </c>
      <c r="D6" s="308">
        <f>('lokale energieproductie'!P32+'lokale energieproductie'!P39)*(-1)</f>
        <v>-68862.857142857145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3362.1941720000004</v>
      </c>
      <c r="C8" s="21">
        <f>C5+C6</f>
        <v>34431.428571428572</v>
      </c>
      <c r="D8" s="21">
        <f>MAX((D5+D6),0)</f>
        <v>0</v>
      </c>
      <c r="E8" s="21">
        <f>MAX((E5+E6),0)</f>
        <v>104.93297139326191</v>
      </c>
      <c r="F8" s="21">
        <f>MAX((F5+F6),0)</f>
        <v>11882.366657671062</v>
      </c>
      <c r="G8" s="21"/>
      <c r="H8" s="21"/>
      <c r="I8" s="21"/>
      <c r="J8" s="21">
        <f>MAX((J5+J6),0)</f>
        <v>926.30781099823753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0.20231860477987398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680.23443387806378</v>
      </c>
      <c r="C12" s="23">
        <f ca="1">C8*C10</f>
        <v>8182.5277310924375</v>
      </c>
      <c r="D12" s="23">
        <f>D8*D10</f>
        <v>0</v>
      </c>
      <c r="E12" s="23">
        <f>E8*E10</f>
        <v>23.819784506270455</v>
      </c>
      <c r="F12" s="23">
        <f>F8*F10</f>
        <v>3172.5918975981735</v>
      </c>
      <c r="G12" s="23"/>
      <c r="H12" s="23"/>
      <c r="I12" s="23"/>
      <c r="J12" s="23">
        <f>J8*J10</f>
        <v>327.91296509337604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0.49981426615866531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600.86187237138404</v>
      </c>
      <c r="C26" s="247">
        <f>B26*'GWP N2O_CH4'!B5</f>
        <v>12618.099319799065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377.17580166648492</v>
      </c>
      <c r="C27" s="247">
        <f>B27*'GWP N2O_CH4'!B5</f>
        <v>7920.6918349961834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8.6414800783367678</v>
      </c>
      <c r="C28" s="247">
        <f>B28*'GWP N2O_CH4'!B4</f>
        <v>2678.858824284398</v>
      </c>
      <c r="D28" s="50"/>
    </row>
    <row r="29" spans="1:4">
      <c r="A29" s="41" t="s">
        <v>276</v>
      </c>
      <c r="B29" s="247">
        <f>B34*'ha_N2O bodem landbouw'!B4</f>
        <v>20.599110457931072</v>
      </c>
      <c r="C29" s="247">
        <f>B29*'GWP N2O_CH4'!B4</f>
        <v>6385.7242419586328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4.5170140447796268E-3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1.0645626056343405E-4</v>
      </c>
      <c r="C5" s="437" t="s">
        <v>210</v>
      </c>
      <c r="D5" s="422">
        <f>SUM(D6:D11)</f>
        <v>4.2258746916717937E-4</v>
      </c>
      <c r="E5" s="422">
        <f>SUM(E6:E11)</f>
        <v>3.5310329490339089E-4</v>
      </c>
      <c r="F5" s="435" t="s">
        <v>210</v>
      </c>
      <c r="G5" s="422">
        <f>SUM(G6:G11)</f>
        <v>0.1538777971722696</v>
      </c>
      <c r="H5" s="422">
        <f>SUM(H6:H11)</f>
        <v>3.9284124013049447E-2</v>
      </c>
      <c r="I5" s="437" t="s">
        <v>210</v>
      </c>
      <c r="J5" s="437" t="s">
        <v>210</v>
      </c>
      <c r="K5" s="437" t="s">
        <v>210</v>
      </c>
      <c r="L5" s="437" t="s">
        <v>210</v>
      </c>
      <c r="M5" s="422">
        <f>SUM(M6:M11)</f>
        <v>1.147081140512039E-2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7.0844029026258856E-5</v>
      </c>
      <c r="C6" s="423"/>
      <c r="D6" s="890">
        <f>vkm_GW_PW*SUMIFS(TableVerdeelsleutelVkm[CNG],TableVerdeelsleutelVkm[Voertuigtype],"Lichte voertuigen")*SUMIFS(TableECFTransport[EnergieConsumptieFactor (PJ per km)],TableECFTransport[Index],CONCATENATE($A6,"_CNG_CNG"))</f>
        <v>2.2821712545151326E-4</v>
      </c>
      <c r="E6" s="890">
        <f>vkm_GW_PW*SUMIFS(TableVerdeelsleutelVkm[LPG],TableVerdeelsleutelVkm[Voertuigtype],"Lichte voertuigen")*SUMIFS(TableECFTransport[EnergieConsumptieFactor (PJ per km)],TableECFTransport[Index],CONCATENATE($A6,"_LPG_LPG"))</f>
        <v>1.9516594709230838E-4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6.3048249787213045E-2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2.137927482716543E-2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5.0497523321354479E-3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3.4547023732776738E-2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4.9399142005410122E-7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1.9913735789366398E-3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3.5612231537175199E-5</v>
      </c>
      <c r="C8" s="423"/>
      <c r="D8" s="425">
        <f>vkm_NGW_PW*SUMIFS(TableVerdeelsleutelVkm[CNG],TableVerdeelsleutelVkm[Voertuigtype],"Lichte voertuigen")*SUMIFS(TableECFTransport[EnergieConsumptieFactor (PJ per km)],TableECFTransport[Index],CONCATENATE($A8,"_CNG_CNG"))</f>
        <v>1.9437034371566609E-4</v>
      </c>
      <c r="E8" s="425">
        <f>vkm_NGW_PW*SUMIFS(TableVerdeelsleutelVkm[LPG],TableVerdeelsleutelVkm[Voertuigtype],"Lichte voertuigen")*SUMIFS(TableECFTransport[EnergieConsumptieFactor (PJ per km)],TableECFTransport[Index],CONCATENATE($A8,"_LPG_LPG"))</f>
        <v>1.5793734781108254E-4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4.7676564872993377E-2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1.79041991696622E-2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3.9336151385491666E-3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8.6059587792864465E-3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1.5602480176253134E-7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4.9607035549913451E-4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29.571183489842795</v>
      </c>
      <c r="C14" s="21"/>
      <c r="D14" s="21">
        <f t="shared" ref="D14:M14" si="0">((D5)*10^9/3600)+D12</f>
        <v>117.38540810199427</v>
      </c>
      <c r="E14" s="21">
        <f t="shared" si="0"/>
        <v>98.084248584275244</v>
      </c>
      <c r="F14" s="21"/>
      <c r="G14" s="21">
        <f t="shared" si="0"/>
        <v>42743.832547852668</v>
      </c>
      <c r="H14" s="21">
        <f t="shared" si="0"/>
        <v>10912.256670291512</v>
      </c>
      <c r="I14" s="21"/>
      <c r="J14" s="21"/>
      <c r="K14" s="21"/>
      <c r="L14" s="21"/>
      <c r="M14" s="21">
        <f t="shared" si="0"/>
        <v>3186.3365014223305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0.20231860477987398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5.9828005853546395</v>
      </c>
      <c r="C18" s="23"/>
      <c r="D18" s="23">
        <f t="shared" ref="D18:M18" si="1">D14*D16</f>
        <v>23.711852436602843</v>
      </c>
      <c r="E18" s="23">
        <f t="shared" si="1"/>
        <v>22.265124428630482</v>
      </c>
      <c r="F18" s="23"/>
      <c r="G18" s="23">
        <f t="shared" si="1"/>
        <v>11412.603290276664</v>
      </c>
      <c r="H18" s="23">
        <f t="shared" si="1"/>
        <v>2717.1519109025867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3.8198692335087003E-3</v>
      </c>
      <c r="H50" s="319">
        <f t="shared" si="2"/>
        <v>0</v>
      </c>
      <c r="I50" s="319">
        <f t="shared" si="2"/>
        <v>0</v>
      </c>
      <c r="J50" s="319">
        <f t="shared" si="2"/>
        <v>0</v>
      </c>
      <c r="K50" s="319">
        <f t="shared" si="2"/>
        <v>0</v>
      </c>
      <c r="L50" s="319">
        <f t="shared" si="2"/>
        <v>0</v>
      </c>
      <c r="M50" s="319">
        <f t="shared" si="2"/>
        <v>2.1227535218464798E-4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3.8198692335087003E-3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2.1227535218464798E-4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1061.0747870857499</v>
      </c>
      <c r="H54" s="21">
        <f t="shared" si="3"/>
        <v>0</v>
      </c>
      <c r="I54" s="21">
        <f t="shared" si="3"/>
        <v>0</v>
      </c>
      <c r="J54" s="21">
        <f t="shared" si="3"/>
        <v>0</v>
      </c>
      <c r="K54" s="21">
        <f t="shared" si="3"/>
        <v>0</v>
      </c>
      <c r="L54" s="21">
        <f t="shared" si="3"/>
        <v>0</v>
      </c>
      <c r="M54" s="21">
        <f t="shared" si="3"/>
        <v>58.965375606846663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0.20231860477987398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283.30696815189526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5953.3066562270069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24102</v>
      </c>
      <c r="C8" s="548">
        <f>B48</f>
        <v>28355.294117647059</v>
      </c>
      <c r="D8" s="549"/>
      <c r="E8" s="549">
        <f>E48</f>
        <v>0</v>
      </c>
      <c r="F8" s="550"/>
      <c r="G8" s="551"/>
      <c r="H8" s="549">
        <f>I48</f>
        <v>0</v>
      </c>
      <c r="I8" s="549">
        <f>G48+F48</f>
        <v>0</v>
      </c>
      <c r="J8" s="549">
        <f>H48+D48+C48</f>
        <v>0</v>
      </c>
      <c r="K8" s="549"/>
      <c r="L8" s="549"/>
      <c r="M8" s="549"/>
      <c r="N8" s="552"/>
      <c r="O8" s="553">
        <f>C8*$C$12+D8*$D$12+E8*$E$12+F8*$F$12+G8*$G$12+H8*$H$12+I8*$I$12+J8*$J$12</f>
        <v>5727.7694117647061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30055.306656227007</v>
      </c>
      <c r="C10" s="563">
        <f t="shared" ref="C10:L10" si="0">SUM(C8:C9)</f>
        <v>28355.294117647059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5727.7694117647061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34431.428571428572</v>
      </c>
      <c r="C17" s="579">
        <f>B49</f>
        <v>40507.563025210089</v>
      </c>
      <c r="D17" s="580"/>
      <c r="E17" s="580">
        <f>E49</f>
        <v>0</v>
      </c>
      <c r="F17" s="581"/>
      <c r="G17" s="582"/>
      <c r="H17" s="579">
        <f>I49</f>
        <v>0</v>
      </c>
      <c r="I17" s="580">
        <f>G49+F49</f>
        <v>0</v>
      </c>
      <c r="J17" s="580">
        <f>H49+D49+C49</f>
        <v>0</v>
      </c>
      <c r="K17" s="580"/>
      <c r="L17" s="580"/>
      <c r="M17" s="580"/>
      <c r="N17" s="972"/>
      <c r="O17" s="583">
        <f>C17*$C$22+E17*$E$22+H17*$H$22+I17*$I$22+J17*$J$22+D17*$D$22+F17*$F$22+G17*$G$22+K17*$K$22+L17*$L$22</f>
        <v>8182.5277310924384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34431.428571428572</v>
      </c>
      <c r="C20" s="562">
        <f>SUM(C17:C19)</f>
        <v>40507.563025210089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8182.5277310924384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35006</v>
      </c>
      <c r="C28" s="791">
        <v>8480</v>
      </c>
      <c r="D28" s="640" t="s">
        <v>888</v>
      </c>
      <c r="E28" s="639" t="s">
        <v>889</v>
      </c>
      <c r="F28" s="639" t="s">
        <v>890</v>
      </c>
      <c r="G28" s="639" t="s">
        <v>891</v>
      </c>
      <c r="H28" s="639" t="s">
        <v>892</v>
      </c>
      <c r="I28" s="639" t="s">
        <v>889</v>
      </c>
      <c r="J28" s="790">
        <v>41992</v>
      </c>
      <c r="K28" s="790">
        <v>39995</v>
      </c>
      <c r="L28" s="639" t="s">
        <v>893</v>
      </c>
      <c r="M28" s="639">
        <v>5356</v>
      </c>
      <c r="N28" s="639">
        <v>24102</v>
      </c>
      <c r="O28" s="639">
        <v>34431.428571428572</v>
      </c>
      <c r="P28" s="639">
        <v>68862.857142857145</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5356</v>
      </c>
      <c r="N29" s="597">
        <f>SUM(N28:N28)</f>
        <v>24102</v>
      </c>
      <c r="O29" s="597">
        <f>SUM(O28:O28)</f>
        <v>34431.428571428572</v>
      </c>
      <c r="P29" s="597">
        <f>SUM(P28:P28)</f>
        <v>68862.857142857145</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5356</v>
      </c>
      <c r="N32" s="602">
        <f>SUMIF($Z$28:$Z$28,"landbouw",N28:N28)</f>
        <v>24102</v>
      </c>
      <c r="O32" s="602">
        <f>SUMIF($Z$28:$Z$28,"landbouw",O28:O28)</f>
        <v>34431.428571428572</v>
      </c>
      <c r="P32" s="602">
        <f>SUMIF($Z$28:$Z$28,"landbouw",P28:P28)</f>
        <v>68862.857142857145</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28355.294117647059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40507.563025210089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2020-06-20T15:33:39Z</dcterms:modified>
</cp:coreProperties>
</file>