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J15" i="16"/>
  <c r="I9" i="18"/>
  <c r="I77" i="14" s="1"/>
  <c r="I9" i="59" s="1"/>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<sst xmlns="http://schemas.openxmlformats.org/spreadsheetml/2006/main" count="2402" uniqueCount="888">
  <si>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</si>
  <si>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</si>
  <si>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</si>
  <si>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</si>
  <si>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</si>
  <si>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</si>
  <si>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</si>
  <si>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</si>
  <si>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</si>
  <si>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</si>
  <si>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</si>
  <si>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</si>
  <si>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</si>
  <si>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</si>
  <si>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</si>
  <si>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</si>
  <si>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</si>
  <si>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</si>
  <si>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</si>
  <si>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</si>
  <si>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</si>
  <si>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</si>
  <si>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</si>
  <si>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</si>
  <si>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</si>
  <si>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</si>
  <si>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</si>
  <si>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</si>
  <si>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</si>
  <si>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</si>
  <si>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</si>
  <si>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</si>
  <si>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</si>
  <si>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</si>
  <si>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</si>
  <si>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</si>
  <si>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</si>
  <si>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</si>
  <si>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</si>
  <si>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</si>
  <si>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</si>
  <si>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</si>
  <si>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</si>
  <si>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</si>
  <si>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</si>
  <si>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</si>
  <si>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</si>
  <si>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</si>
  <si>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</si>
  <si>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</si>
  <si>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</si>
  <si>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</si>
  <si>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</si>
  <si>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</si>
  <si>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</si>
  <si>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</si>
  <si>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</si>
  <si>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</si>
  <si>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</si>
  <si>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</si>
  <si>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</si>
  <si>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</si>
  <si>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</si>
  <si>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</si>
  <si>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</si>
  <si>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</si>
  <si>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</si>
  <si>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</si>
  <si>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</si>
  <si>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</si>
  <si>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</si>
  <si>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</si>
  <si>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</si>
  <si>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</si>
  <si>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</si>
  <si>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</si>
  <si>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</si>
  <si>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</si>
  <si>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</si>
  <si>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</si>
  <si>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</si>
  <si>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</si>
  <si>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</si>
  <si>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</si>
  <si>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</si>
  <si>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</si>
  <si>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</si>
  <si>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</si>
  <si>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</si>
  <si>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</si>
  <si>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</si>
  <si>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</si>
  <si>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</si>
  <si>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</si>
  <si>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</si>
  <si>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</si>
  <si>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</si>
  <si>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</si>
  <si>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</si>
  <si>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</si>
  <si>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</si>
  <si>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</si>
  <si>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</si>
  <si>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</si>
  <si>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</si>
  <si>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</si>
  <si>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</si>
  <si>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</si>
  <si>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</si>
  <si>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</si>
  <si>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</si>
  <si>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</si>
  <si>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</si>
  <si>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</si>
  <si>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</si>
  <si>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</si>
  <si>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</si>
  <si>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</si>
  <si>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</si>
  <si>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</si>
  <si>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</si>
  <si>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</si>
  <si>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</si>
  <si>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</si>
  <si>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</si>
  <si>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</si>
  <si>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</si>
  <si>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</si>
  <si>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</si>
  <si>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</si>
  <si>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</si>
  <si>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</si>
  <si>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</si>
  <si>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</si>
  <si>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</si>
  <si>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</si>
  <si>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</si>
  <si>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</si>
  <si>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</si>
  <si>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</si>
  <si>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</si>
  <si>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</si>
  <si>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</si>
  <si>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</si>
  <si>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</si>
  <si>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</si>
  <si>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</si>
  <si>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</si>
  <si>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</si>
  <si>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</si>
  <si>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</si>
  <si>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</si>
  <si>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</si>
  <si>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</si>
  <si>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</si>
  <si>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</si>
  <si>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</si>
  <si>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</si>
  <si>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</si>
  <si>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</si>
  <si>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</si>
  <si>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</si>
  <si>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</si>
  <si>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</si>
  <si>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</si>
  <si>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</si>
  <si>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</si>
  <si>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</si>
  <si>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</si>
  <si>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</si>
  <si>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</si>
  <si>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</si>
  <si>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</si>
  <si>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</si>
  <si>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</si>
  <si>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</si>
  <si>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</si>
  <si>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</si>
  <si>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</si>
  <si>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</si>
  <si>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</si>
  <si>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</si>
  <si>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</si>
  <si>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</si>
  <si>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</si>
  <si>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</si>
  <si>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</si>
  <si>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</si>
  <si>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</si>
  <si>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</si>
  <si>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</si>
  <si>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</si>
  <si>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</si>
  <si>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</si>
  <si>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</si>
  <si>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</si>
  <si>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</si>
  <si>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</si>
  <si>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</si>
  <si>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</si>
  <si>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</si>
  <si>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</si>
  <si>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</si>
  <si>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</si>
  <si>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</si>
  <si>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</si>
  <si>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</si>
  <si>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</si>
  <si>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</si>
  <si>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</si>
  <si>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</si>
  <si>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</si>
  <si>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</si>
  <si>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</si>
  <si>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</si>
  <si>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</si>
  <si>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</si>
  <si>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</si>
  <si>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</si>
  <si>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</si>
  <si>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</si>
  <si>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</si>
  <si>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</si>
  <si>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</si>
  <si>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</si>
  <si>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</si>
  <si>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</si>
  <si>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</si>
  <si>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</si>
  <si>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</si>
  <si>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</si>
  <si>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</si>
  <si>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</si>
  <si>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</si>
  <si>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</si>
  <si>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</si>
  <si>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</si>
  <si>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</si>
  <si>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</si>
  <si>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</si>
  <si>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</si>
  <si>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</si>
  <si>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</si>
  <si>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</si>
  <si>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</si>
  <si>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</si>
  <si>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</si>
  <si>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</si>
  <si>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</si>
  <si>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</si>
  <si>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</si>
  <si>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</si>
  <si>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</si>
  <si>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</si>
  <si>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</si>
  <si>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</si>
  <si>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</si>
  <si>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</si>
  <si>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</si>
  <si>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</si>
  <si>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</si>
  <si>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</si>
  <si>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</si>
  <si>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</si>
  <si>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</si>
  <si>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</si>
  <si>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</si>
  <si>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</si>
  <si>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</si>
  <si>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</si>
  <si>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</si>
  <si>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</si>
  <si>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</si>
  <si>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</si>
  <si>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</si>
  <si>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</si>
  <si>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</si>
  <si>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</si>
  <si>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</si>
  <si>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</si>
  <si>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</si>
  <si>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</si>
  <si>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</si>
  <si>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</si>
  <si>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</si>
  <si>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</si>
  <si>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</si>
  <si>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</si>
  <si>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</si>
  <si>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</si>
  <si>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</si>
  <si>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</si>
  <si>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</si>
  <si>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</si>
  <si>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</si>
  <si>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</si>
  <si>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</si>
  <si>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</si>
  <si>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</si>
  <si>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</si>
  <si>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</si>
  <si>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</si>
  <si>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</si>
  <si>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</si>
  <si>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</si>
  <si>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</si>
  <si>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</si>
  <si>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</si>
  <si>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</si>
  <si>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</si>
  <si>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</si>
  <si>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</si>
  <si>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</si>
  <si>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</si>
  <si>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</si>
  <si>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</si>
  <si>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</si>
  <si>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</si>
  <si>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</si>
  <si>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</si>
  <si>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</si>
  <si>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</si>
  <si>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</si>
  <si>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</si>
  <si>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</si>
  <si>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</si>
  <si>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</si>
  <si>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</si>
  <si>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</si>
  <si>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</si>
  <si>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</si>
  <si>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</si>
  <si>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</si>
  <si>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</si>
  <si>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</si>
  <si>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</si>
  <si>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</si>
  <si>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</si>
  <si>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</si>
  <si>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</si>
  <si>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</si>
  <si>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</si>
  <si>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</si>
  <si>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</si>
  <si>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</si>
  <si>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</si>
  <si>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</si>
  <si>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</si>
  <si>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</si>
  <si>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</si>
  <si>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</si>
  <si>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</si>
  <si>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</si>
  <si>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</si>
  <si>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</si>
  <si>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</si>
  <si>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</si>
  <si>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</si>
  <si>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</si>
  <si>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</si>
  <si>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</si>
  <si>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</si>
  <si>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</si>
  <si>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</si>
  <si>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</si>
  <si>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</si>
  <si>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</si>
  <si>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</si>
  <si>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</si>
  <si>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</si>
  <si>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</si>
  <si>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</si>
  <si>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</si>
  <si>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</si>
  <si>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</si>
  <si>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</si>
  <si>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</si>
  <si>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</si>
  <si>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</si>
  <si>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</si>
  <si>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</si>
  <si>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</si>
  <si>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</si>
  <si>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</si>
  <si>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</si>
  <si>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</si>
  <si>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</si>
  <si>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</si>
  <si>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</si>
  <si>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</si>
  <si>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</si>
  <si>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</si>
  <si>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</si>
  <si>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</si>
  <si>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</si>
  <si>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</si>
  <si>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</si>
  <si>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</si>
  <si>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</si>
  <si>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</si>
  <si>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</si>
  <si>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</si>
  <si>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</si>
  <si>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</si>
  <si>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</si>
  <si>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</si>
  <si>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</si>
  <si>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</si>
  <si>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</si>
  <si>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</si>
  <si>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</si>
  <si>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</si>
  <si>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</si>
  <si>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</si>
  <si>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</si>
  <si>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</si>
  <si>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</si>
  <si>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</si>
  <si>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</si>
  <si>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</si>
  <si>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</si>
  <si>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</si>
  <si>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</si>
  <si>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</si>
  <si>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</si>
  <si>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</si>
  <si>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</si>
  <si>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</si>
  <si>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</si>
  <si>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</si>
  <si>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</si>
  <si>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</si>
  <si>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</si>
  <si>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</si>
  <si>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</si>
  <si>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</si>
  <si>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</si>
  <si>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</si>
  <si>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</si>
  <si>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</si>
  <si>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</si>
  <si>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</si>
  <si>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</si>
  <si>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</si>
  <si>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</si>
  <si>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</si>
  <si>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</si>
  <si>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</si>
  <si>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</si>
  <si>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</si>
  <si>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</si>
  <si>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</si>
  <si>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</si>
  <si>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</si>
  <si>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</si>
  <si>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</si>
  <si>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</si>
  <si>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</si>
  <si>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</si>
  <si>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</si>
  <si>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</si>
  <si>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</si>
  <si>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</si>
  <si>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</si>
  <si>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</si>
  <si>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</si>
  <si>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</si>
  <si>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</si>
  <si>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</si>
  <si>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</si>
  <si>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</si>
  <si>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</si>
  <si>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</si>
  <si>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</si>
  <si>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</si>
  <si>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</si>
  <si>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</si>
  <si>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</si>
  <si>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</si>
  <si>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</si>
  <si>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</si>
  <si>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</si>
  <si>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</si>
  <si>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</si>
  <si>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</si>
  <si>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</si>
  <si>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</si>
  <si>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</si>
  <si>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</si>
  <si>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</si>
  <si>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</si>
  <si>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</si>
  <si>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</si>
  <si>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</si>
  <si>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</si>
  <si>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</si>
  <si>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</si>
  <si>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</si>
  <si>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</si>
  <si>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</si>
  <si>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</si>
  <si>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</si>
  <si>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</si>
  <si>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</si>
  <si>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</si>
  <si>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</si>
  <si>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</si>
  <si>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</si>
  <si>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</si>
  <si>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</si>
  <si>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</si>
  <si>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</si>
  <si>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</si>
  <si>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</si>
  <si>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</si>
  <si>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</si>
  <si>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</si>
  <si>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</si>
  <si>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</si>
  <si>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</si>
  <si>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</si>
  <si>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</si>
  <si>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</si>
  <si>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</si>
  <si>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</si>
  <si>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</si>
  <si>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</si>
  <si>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</si>
  <si>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</si>
  <si>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</si>
  <si>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</si>
  <si>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</si>
  <si>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</si>
  <si>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</si>
  <si>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</si>
  <si>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</si>
  <si>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</si>
  <si>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</si>
  <si>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</si>
  <si>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</si>
  <si>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</si>
  <si>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</si>
  <si>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</si>
  <si>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</si>
  <si>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</si>
  <si>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</si>
  <si>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</si>
  <si>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</si>
  <si>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</si>
  <si>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</si>
  <si>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</si>
  <si>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</si>
  <si>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</si>
  <si>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</si>
  <si>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</si>
  <si>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</si>
  <si>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</si>
  <si>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</si>
  <si>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</si>
  <si>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</si>
  <si>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</si>
  <si>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</si>
  <si>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</si>
  <si>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</si>
  <si>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</si>
  <si>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</si>
  <si>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</si>
  <si>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</si>
  <si>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</si>
  <si>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</si>
  <si>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</si>
  <si>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</si>
  <si>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</si>
  <si>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</si>
  <si>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</si>
  <si>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</si>
  <si>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</si>
  <si>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</si>
  <si>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</si>
  <si>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</si>
  <si>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</si>
  <si>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</si>
  <si>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</si>
  <si>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</si>
  <si>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</si>
  <si>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</si>
  <si>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</si>
  <si>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</si>
  <si>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</si>
  <si>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</si>
  <si>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</si>
  <si>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</si>
  <si>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</si>
  <si>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</si>
  <si>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</si>
  <si>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</si>
  <si>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</si>
  <si>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</si>
  <si>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</si>
  <si>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</si>
  <si>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</si>
  <si>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</si>
  <si>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</si>
  <si>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</si>
  <si>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</si>
  <si>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</si>
  <si>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</si>
  <si>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</si>
  <si>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</si>
  <si>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</si>
  <si>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</si>
  <si>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</si>
  <si>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</si>
  <si>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</si>
  <si>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</si>
  <si>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</si>
  <si>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</si>
  <si>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</si>
  <si>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</si>
  <si>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</si>
  <si>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</si>
  <si>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</si>
  <si>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</si>
  <si>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</si>
  <si>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</si>
  <si>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</si>
  <si>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</si>
  <si>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</si>
  <si>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</si>
  <si>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</si>
  <si>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</si>
  <si>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</si>
  <si>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</si>
  <si>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</si>
  <si>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</si>
  <si>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</si>
  <si>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</si>
  <si>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</si>
  <si>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</si>
  <si>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</si>
  <si>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</si>
  <si>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</si>
  <si>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</si>
  <si>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</si>
  <si>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</si>
  <si>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</si>
  <si>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</si>
  <si>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</si>
  <si>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</si>
  <si>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</si>
  <si>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</si>
  <si>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</si>
  <si>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</si>
  <si>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</si>
  <si>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</si>
  <si>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</si>
  <si>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</si>
  <si>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</si>
  <si>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</si>
  <si>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</si>
  <si>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</si>
  <si>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</si>
  <si>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</si>
  <si>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</si>
  <si>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</si>
  <si>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</si>
  <si>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</si>
  <si>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</si>
  <si>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</si>
  <si>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</si>
  <si>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</si>
  <si>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</si>
  <si>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</si>
  <si>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</si>
  <si>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</si>
  <si>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</si>
  <si>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</si>
  <si>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</si>
  <si>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</si>
  <si>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</si>
  <si>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</si>
  <si>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</si>
  <si>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</si>
  <si>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</si>
  <si>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</si>
  <si>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</si>
  <si>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</si>
  <si>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</si>
  <si>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</si>
  <si>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</si>
  <si>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</si>
  <si>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</si>
  <si>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</si>
  <si>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</si>
  <si>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</si>
  <si>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</si>
  <si>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</si>
  <si>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</si>
  <si>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</si>
  <si>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</si>
  <si>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</si>
  <si>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</si>
  <si>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</si>
  <si>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</si>
  <si>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</si>
  <si>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</si>
  <si>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</si>
  <si>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</si>
  <si>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</si>
  <si>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</si>
  <si>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</si>
  <si>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</si>
  <si>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</si>
  <si>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</si>
  <si>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</si>
  <si>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</si>
  <si>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</si>
  <si>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</si>
  <si>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</si>
  <si>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</si>
  <si>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</si>
  <si>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</si>
  <si>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</si>
  <si>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</si>
  <si>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</si>
  <si>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</si>
  <si>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</si>
  <si>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</si>
  <si>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</si>
  <si>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</si>
  <si>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</si>
  <si>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</si>
  <si>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</si>
  <si>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</si>
  <si>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</si>
  <si>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</si>
  <si>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</si>
  <si>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</si>
  <si>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</si>
  <si>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</si>
  <si>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</si>
  <si>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</si>
  <si>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</si>
  <si>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</si>
  <si>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</si>
  <si>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</si>
  <si>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</si>
  <si>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</si>
  <si>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</si>
  <si>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</si>
  <si>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</si>
  <si>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</si>
  <si>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</si>
  <si>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</si>
  <si>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</si>
  <si>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</si>
  <si>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</si>
  <si>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</si>
  <si>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</si>
  <si>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</si>
  <si>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</si>
  <si>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</si>
  <si>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</si>
  <si>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</si>
  <si>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</si>
  <si>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</si>
  <si>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</si>
  <si>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</si>
  <si>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</si>
  <si>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</si>
  <si>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</si>
  <si>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</si>
  <si>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</si>
  <si>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</si>
  <si>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</si>
  <si>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</si>
  <si>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</si>
  <si>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</si>
  <si>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</si>
  <si>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</si>
  <si>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</si>
  <si>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</si>
  <si>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</si>
  <si>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</si>
  <si>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</si>
  <si>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</si>
  <si>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</si>
  <si>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</si>
  <si>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</si>
  <si>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</si>
  <si>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</si>
  <si>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</si>
  <si>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</si>
  <si>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</si>
  <si>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</si>
  <si>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</si>
  <si>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</si>
  <si>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</si>
  <si>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</si>
  <si>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</si>
  <si>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</si>
  <si>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</si>
  <si>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</si>
  <si>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</si>
  <si>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</si>
  <si>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</si>
  <si>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</si>
  <si>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</si>
  <si>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</si>
  <si>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</si>
  <si>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</si>
  <si>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</si>
  <si>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</si>
  <si>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</si>
  <si>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</si>
  <si>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</si>
  <si>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</si>
  <si>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</si>
  <si>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</si>
  <si>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</si>
  <si>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</si>
  <si>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</si>
  <si>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</si>
  <si>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</si>
  <si>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</si>
  <si>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</si>
  <si>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</si>
  <si>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</si>
  <si>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</si>
  <si>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</si>
  <si>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</si>
  <si>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</si>
  <si>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</si>
  <si>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</si>
  <si>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</si>
  <si>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</si>
  <si>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</si>
  <si>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</si>
  <si>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</si>
  <si>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</si>
  <si>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</si>
  <si>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</si>
  <si>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</si>
  <si>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</si>
  <si>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</si>
  <si>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</si>
  <si>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</si>
  <si>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</si>
  <si>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</si>
  <si>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</si>
  <si>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</si>
  <si>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</si>
  <si>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</si>
  <si>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</si>
  <si>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</si>
  <si>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</si>
  <si>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</si>
  <si>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</si>
  <si>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</si>
  <si>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</si>
  <si>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</si>
  <si>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</si>
  <si>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</si>
  <si>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</si>
  <si>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</si>
  <si>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</si>
  <si>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</si>
  <si>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</si>
  <si>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</si>
  <si>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</si>
  <si>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</si>
  <si>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</si>
  <si>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</si>
  <si>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</si>
  <si>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</si>
  <si>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</si>
  <si>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</si>
  <si>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</si>
  <si>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</si>
  <si>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</si>
  <si>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</si>
  <si>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</si>
  <si>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</si>
  <si>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</si>
  <si>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</si>
  <si>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34040</t>
  </si>
  <si>
    <t>WAREGEM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</si>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</sst>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281952.77010888391</c:v>
                </c:pt>
                <c:pt idx="1">
                  <c:v>203717.58745905594</c:v>
                </c:pt>
                <c:pt idx="2">
                  <c:v>2754.8069999999998</c:v>
                </c:pt>
                <c:pt idx="3">
                  <c:v>9218.2720498927501</c:v>
                </c:pt>
                <c:pt idx="4">
                  <c:v>523088.49579014257</c:v>
                </c:pt>
                <c:pt idx="5">
                  <c:v>372971.19387516781</c:v>
                </c:pt>
                <c:pt idx="6">
                  <c:v>1955.6041127239444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281952.77010888391</c:v>
                </c:pt>
                <c:pt idx="1">
                  <c:v>203717.58745905594</c:v>
                </c:pt>
                <c:pt idx="2">
                  <c:v>2754.8069999999998</c:v>
                </c:pt>
                <c:pt idx="3">
                  <c:v>9218.2720498927501</c:v>
                </c:pt>
                <c:pt idx="4">
                  <c:v>523088.49579014257</c:v>
                </c:pt>
                <c:pt idx="5">
                  <c:v>372971.19387516781</c:v>
                </c:pt>
                <c:pt idx="6">
                  <c:v>1955.6041127239444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52845.993828225255</c:v>
                </c:pt>
                <c:pt idx="1">
                  <c:v>40118.219944428667</c:v>
                </c:pt>
                <c:pt idx="2">
                  <c:v>543.90545453464154</c:v>
                </c:pt>
                <c:pt idx="3">
                  <c:v>2282.1897645544459</c:v>
                </c:pt>
                <c:pt idx="4">
                  <c:v>105748.90615829398</c:v>
                </c:pt>
                <c:pt idx="5">
                  <c:v>93122.066797188832</c:v>
                </c:pt>
                <c:pt idx="6">
                  <c:v>494.65750473562014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52845.993828225255</c:v>
                </c:pt>
                <c:pt idx="1">
                  <c:v>40118.219944428667</c:v>
                </c:pt>
                <c:pt idx="2">
                  <c:v>543.90545453464154</c:v>
                </c:pt>
                <c:pt idx="3">
                  <c:v>2282.1897645544459</c:v>
                </c:pt>
                <c:pt idx="4">
                  <c:v>105748.90615829398</c:v>
                </c:pt>
                <c:pt idx="5">
                  <c:v>93122.066797188832</c:v>
                </c:pt>
                <c:pt idx="6">
                  <c:v>494.65750473562014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34040</v>
      </c>
      <c r="B6" s="390"/>
      <c r="C6" s="391"/>
    </row>
    <row r="7" spans="1:7" s="388" customFormat="1" ht="15.75" customHeight="1">
      <c r="A7" s="392" t="str">
        <f>txtMunicipality</f>
        <v>WAREGEM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0.19743867883835114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0.19743867883835114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16053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1647.21</v>
      </c>
      <c r="C14" s="330"/>
      <c r="D14" s="330"/>
      <c r="E14" s="330"/>
      <c r="F14" s="330"/>
    </row>
    <row r="15" spans="1:6">
      <c r="A15" s="1298" t="s">
        <v>183</v>
      </c>
      <c r="B15" s="1299">
        <v>19</v>
      </c>
      <c r="C15" s="330"/>
      <c r="D15" s="330"/>
      <c r="E15" s="330"/>
      <c r="F15" s="330"/>
    </row>
    <row r="16" spans="1:6">
      <c r="A16" s="1298" t="s">
        <v>6</v>
      </c>
      <c r="B16" s="1299">
        <v>676</v>
      </c>
      <c r="C16" s="330"/>
      <c r="D16" s="330"/>
      <c r="E16" s="330"/>
      <c r="F16" s="330"/>
    </row>
    <row r="17" spans="1:6">
      <c r="A17" s="1298" t="s">
        <v>7</v>
      </c>
      <c r="B17" s="1299">
        <v>544</v>
      </c>
      <c r="C17" s="330"/>
      <c r="D17" s="330"/>
      <c r="E17" s="330"/>
      <c r="F17" s="330"/>
    </row>
    <row r="18" spans="1:6">
      <c r="A18" s="1298" t="s">
        <v>8</v>
      </c>
      <c r="B18" s="1299">
        <v>773</v>
      </c>
      <c r="C18" s="330"/>
      <c r="D18" s="330"/>
      <c r="E18" s="330"/>
      <c r="F18" s="330"/>
    </row>
    <row r="19" spans="1:6">
      <c r="A19" s="1298" t="s">
        <v>9</v>
      </c>
      <c r="B19" s="1299">
        <v>739</v>
      </c>
      <c r="C19" s="330"/>
      <c r="D19" s="330"/>
      <c r="E19" s="330"/>
      <c r="F19" s="330"/>
    </row>
    <row r="20" spans="1:6">
      <c r="A20" s="1298" t="s">
        <v>10</v>
      </c>
      <c r="B20" s="1299">
        <v>557</v>
      </c>
      <c r="C20" s="330"/>
      <c r="D20" s="330"/>
      <c r="E20" s="330"/>
      <c r="F20" s="330"/>
    </row>
    <row r="21" spans="1:6">
      <c r="A21" s="1298" t="s">
        <v>11</v>
      </c>
      <c r="B21" s="1299">
        <v>541</v>
      </c>
      <c r="C21" s="330"/>
      <c r="D21" s="330"/>
      <c r="E21" s="330"/>
      <c r="F21" s="330"/>
    </row>
    <row r="22" spans="1:6">
      <c r="A22" s="1298" t="s">
        <v>12</v>
      </c>
      <c r="B22" s="1299">
        <v>4843</v>
      </c>
      <c r="C22" s="330"/>
      <c r="D22" s="330"/>
      <c r="E22" s="330"/>
      <c r="F22" s="330"/>
    </row>
    <row r="23" spans="1:6">
      <c r="A23" s="1298" t="s">
        <v>13</v>
      </c>
      <c r="B23" s="1299">
        <v>31</v>
      </c>
      <c r="C23" s="330"/>
      <c r="D23" s="330"/>
      <c r="E23" s="330"/>
      <c r="F23" s="330"/>
    </row>
    <row r="24" spans="1:6">
      <c r="A24" s="1298" t="s">
        <v>14</v>
      </c>
      <c r="B24" s="1299">
        <v>3</v>
      </c>
      <c r="C24" s="330"/>
      <c r="D24" s="330"/>
      <c r="E24" s="330"/>
      <c r="F24" s="330"/>
    </row>
    <row r="25" spans="1:6">
      <c r="A25" s="1298" t="s">
        <v>15</v>
      </c>
      <c r="B25" s="1299">
        <v>107</v>
      </c>
      <c r="C25" s="330"/>
      <c r="D25" s="330"/>
      <c r="E25" s="330"/>
      <c r="F25" s="330"/>
    </row>
    <row r="26" spans="1:6">
      <c r="A26" s="1298" t="s">
        <v>16</v>
      </c>
      <c r="B26" s="1299">
        <v>227</v>
      </c>
      <c r="C26" s="330"/>
      <c r="D26" s="330"/>
      <c r="E26" s="330"/>
      <c r="F26" s="330"/>
    </row>
    <row r="27" spans="1:6">
      <c r="A27" s="1298" t="s">
        <v>17</v>
      </c>
      <c r="B27" s="1299">
        <v>11</v>
      </c>
      <c r="C27" s="330"/>
      <c r="D27" s="330"/>
      <c r="E27" s="330"/>
      <c r="F27" s="330"/>
    </row>
    <row r="28" spans="1:6" s="43" customFormat="1">
      <c r="A28" s="1300" t="s">
        <v>18</v>
      </c>
      <c r="B28" s="1301">
        <v>32048</v>
      </c>
      <c r="C28" s="336"/>
      <c r="D28" s="336"/>
      <c r="E28" s="336"/>
      <c r="F28" s="336"/>
    </row>
    <row r="29" spans="1:6">
      <c r="A29" s="1300" t="s">
        <v>705</v>
      </c>
      <c r="B29" s="1301">
        <v>97</v>
      </c>
      <c r="C29" s="336"/>
      <c r="D29" s="336"/>
      <c r="E29" s="336"/>
      <c r="F29" s="336"/>
    </row>
    <row r="30" spans="1:6">
      <c r="A30" s="1293" t="s">
        <v>706</v>
      </c>
      <c r="B30" s="1302">
        <v>64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8</v>
      </c>
      <c r="F36" s="1299">
        <v>39294.642999999996</v>
      </c>
    </row>
    <row r="37" spans="1:6">
      <c r="A37" s="1298" t="s">
        <v>24</v>
      </c>
      <c r="B37" s="1298" t="s">
        <v>27</v>
      </c>
      <c r="C37" s="1299">
        <v>0</v>
      </c>
      <c r="D37" s="1299">
        <v>0</v>
      </c>
      <c r="E37" s="1299">
        <v>0</v>
      </c>
      <c r="F37" s="1299">
        <v>0</v>
      </c>
    </row>
    <row r="38" spans="1:6">
      <c r="A38" s="1298" t="s">
        <v>24</v>
      </c>
      <c r="B38" s="1298" t="s">
        <v>28</v>
      </c>
      <c r="C38" s="1299">
        <v>2</v>
      </c>
      <c r="D38" s="1299">
        <v>980178.89</v>
      </c>
      <c r="E38" s="1299">
        <v>5</v>
      </c>
      <c r="F38" s="1299">
        <v>32373.279999999999</v>
      </c>
    </row>
    <row r="39" spans="1:6">
      <c r="A39" s="1298" t="s">
        <v>29</v>
      </c>
      <c r="B39" s="1298" t="s">
        <v>30</v>
      </c>
      <c r="C39" s="1299">
        <v>10075</v>
      </c>
      <c r="D39" s="1299">
        <v>142499118.59999999</v>
      </c>
      <c r="E39" s="1299">
        <v>15605</v>
      </c>
      <c r="F39" s="1299">
        <v>57533208.259999998</v>
      </c>
    </row>
    <row r="40" spans="1:6">
      <c r="A40" s="1298" t="s">
        <v>29</v>
      </c>
      <c r="B40" s="1298" t="s">
        <v>28</v>
      </c>
      <c r="C40" s="1299">
        <v>2</v>
      </c>
      <c r="D40" s="1299">
        <v>62335.623</v>
      </c>
      <c r="E40" s="1299">
        <v>1</v>
      </c>
      <c r="F40" s="1299">
        <v>13081.198</v>
      </c>
    </row>
    <row r="41" spans="1:6">
      <c r="A41" s="1298" t="s">
        <v>31</v>
      </c>
      <c r="B41" s="1298" t="s">
        <v>32</v>
      </c>
      <c r="C41" s="1299">
        <v>215</v>
      </c>
      <c r="D41" s="1299">
        <v>8527099.8379999995</v>
      </c>
      <c r="E41" s="1299">
        <v>519</v>
      </c>
      <c r="F41" s="1299">
        <v>16021174.92</v>
      </c>
    </row>
    <row r="42" spans="1:6">
      <c r="A42" s="1298" t="s">
        <v>31</v>
      </c>
      <c r="B42" s="1298" t="s">
        <v>33</v>
      </c>
      <c r="C42" s="1299">
        <v>5</v>
      </c>
      <c r="D42" s="1299">
        <v>42999.491000000002</v>
      </c>
      <c r="E42" s="1299">
        <v>8</v>
      </c>
      <c r="F42" s="1299">
        <v>1488438.227</v>
      </c>
    </row>
    <row r="43" spans="1:6">
      <c r="A43" s="1298" t="s">
        <v>31</v>
      </c>
      <c r="B43" s="1298" t="s">
        <v>34</v>
      </c>
      <c r="C43" s="1299">
        <v>0</v>
      </c>
      <c r="D43" s="1299">
        <v>0</v>
      </c>
      <c r="E43" s="1299">
        <v>0</v>
      </c>
      <c r="F43" s="1299">
        <v>0</v>
      </c>
    </row>
    <row r="44" spans="1:6">
      <c r="A44" s="1298" t="s">
        <v>31</v>
      </c>
      <c r="B44" s="1298" t="s">
        <v>35</v>
      </c>
      <c r="C44" s="1299">
        <v>17</v>
      </c>
      <c r="D44" s="1299">
        <v>10879711.92</v>
      </c>
      <c r="E44" s="1299">
        <v>54</v>
      </c>
      <c r="F44" s="1299">
        <v>6720075.3459999999</v>
      </c>
    </row>
    <row r="45" spans="1:6">
      <c r="A45" s="1298" t="s">
        <v>31</v>
      </c>
      <c r="B45" s="1298" t="s">
        <v>36</v>
      </c>
      <c r="C45" s="1299">
        <v>15</v>
      </c>
      <c r="D45" s="1299">
        <v>76310.255000000005</v>
      </c>
      <c r="E45" s="1299">
        <v>25</v>
      </c>
      <c r="F45" s="1299">
        <v>1184166.848</v>
      </c>
    </row>
    <row r="46" spans="1:6">
      <c r="A46" s="1298" t="s">
        <v>31</v>
      </c>
      <c r="B46" s="1298" t="s">
        <v>37</v>
      </c>
      <c r="C46" s="1299">
        <v>0</v>
      </c>
      <c r="D46" s="1299">
        <v>0</v>
      </c>
      <c r="E46" s="1299">
        <v>0</v>
      </c>
      <c r="F46" s="1299">
        <v>0</v>
      </c>
    </row>
    <row r="47" spans="1:6">
      <c r="A47" s="1298" t="s">
        <v>31</v>
      </c>
      <c r="B47" s="1298" t="s">
        <v>38</v>
      </c>
      <c r="C47" s="1299">
        <v>3</v>
      </c>
      <c r="D47" s="1299">
        <v>133068.497</v>
      </c>
      <c r="E47" s="1299">
        <v>13</v>
      </c>
      <c r="F47" s="1299">
        <v>1079176.8219999999</v>
      </c>
    </row>
    <row r="48" spans="1:6">
      <c r="A48" s="1298" t="s">
        <v>31</v>
      </c>
      <c r="B48" s="1298" t="s">
        <v>28</v>
      </c>
      <c r="C48" s="1299">
        <v>99</v>
      </c>
      <c r="D48" s="1299">
        <v>184182326.40000001</v>
      </c>
      <c r="E48" s="1299">
        <v>141</v>
      </c>
      <c r="F48" s="1299">
        <v>158161796.5</v>
      </c>
    </row>
    <row r="49" spans="1:6">
      <c r="A49" s="1298" t="s">
        <v>31</v>
      </c>
      <c r="B49" s="1298" t="s">
        <v>39</v>
      </c>
      <c r="C49" s="1299">
        <v>12</v>
      </c>
      <c r="D49" s="1299">
        <v>17735106.699999999</v>
      </c>
      <c r="E49" s="1299">
        <v>69</v>
      </c>
      <c r="F49" s="1299">
        <v>67827974.310000002</v>
      </c>
    </row>
    <row r="50" spans="1:6">
      <c r="A50" s="1298" t="s">
        <v>31</v>
      </c>
      <c r="B50" s="1298" t="s">
        <v>40</v>
      </c>
      <c r="C50" s="1299">
        <v>14</v>
      </c>
      <c r="D50" s="1299">
        <v>977174.22699999996</v>
      </c>
      <c r="E50" s="1299">
        <v>23</v>
      </c>
      <c r="F50" s="1299">
        <v>816168.99899999995</v>
      </c>
    </row>
    <row r="51" spans="1:6">
      <c r="A51" s="1298" t="s">
        <v>41</v>
      </c>
      <c r="B51" s="1298" t="s">
        <v>42</v>
      </c>
      <c r="C51" s="1299">
        <v>13</v>
      </c>
      <c r="D51" s="1299">
        <v>978940.495</v>
      </c>
      <c r="E51" s="1299">
        <v>68</v>
      </c>
      <c r="F51" s="1299">
        <v>1285008.1270000001</v>
      </c>
    </row>
    <row r="52" spans="1:6">
      <c r="A52" s="1298" t="s">
        <v>41</v>
      </c>
      <c r="B52" s="1298" t="s">
        <v>28</v>
      </c>
      <c r="C52" s="1299">
        <v>13</v>
      </c>
      <c r="D52" s="1299">
        <v>822414.86699999997</v>
      </c>
      <c r="E52" s="1299">
        <v>20</v>
      </c>
      <c r="F52" s="1299">
        <v>283618.24900000001</v>
      </c>
    </row>
    <row r="53" spans="1:6">
      <c r="A53" s="1298" t="s">
        <v>43</v>
      </c>
      <c r="B53" s="1298" t="s">
        <v>44</v>
      </c>
      <c r="C53" s="1299">
        <v>241</v>
      </c>
      <c r="D53" s="1299">
        <v>3919508.3849999998</v>
      </c>
      <c r="E53" s="1299">
        <v>556</v>
      </c>
      <c r="F53" s="1299">
        <v>2761935.6949999998</v>
      </c>
    </row>
    <row r="54" spans="1:6">
      <c r="A54" s="1298" t="s">
        <v>45</v>
      </c>
      <c r="B54" s="1298" t="s">
        <v>46</v>
      </c>
      <c r="C54" s="1299">
        <v>0</v>
      </c>
      <c r="D54" s="1299">
        <v>0</v>
      </c>
      <c r="E54" s="1299">
        <v>1</v>
      </c>
      <c r="F54" s="1299">
        <v>2754807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124</v>
      </c>
      <c r="D57" s="1299">
        <v>8197528.8159999996</v>
      </c>
      <c r="E57" s="1299">
        <v>213</v>
      </c>
      <c r="F57" s="1299">
        <v>6302350.4950000001</v>
      </c>
    </row>
    <row r="58" spans="1:6">
      <c r="A58" s="1298" t="s">
        <v>48</v>
      </c>
      <c r="B58" s="1298" t="s">
        <v>50</v>
      </c>
      <c r="C58" s="1299">
        <v>74</v>
      </c>
      <c r="D58" s="1299">
        <v>2233924.5780000002</v>
      </c>
      <c r="E58" s="1299">
        <v>115</v>
      </c>
      <c r="F58" s="1299">
        <v>1061027.899</v>
      </c>
    </row>
    <row r="59" spans="1:6">
      <c r="A59" s="1298" t="s">
        <v>48</v>
      </c>
      <c r="B59" s="1298" t="s">
        <v>51</v>
      </c>
      <c r="C59" s="1299">
        <v>293</v>
      </c>
      <c r="D59" s="1299">
        <v>18311493.329999998</v>
      </c>
      <c r="E59" s="1299">
        <v>658</v>
      </c>
      <c r="F59" s="1299">
        <v>30235318.57</v>
      </c>
    </row>
    <row r="60" spans="1:6">
      <c r="A60" s="1298" t="s">
        <v>48</v>
      </c>
      <c r="B60" s="1298" t="s">
        <v>52</v>
      </c>
      <c r="C60" s="1299">
        <v>157</v>
      </c>
      <c r="D60" s="1299">
        <v>10257856.189999999</v>
      </c>
      <c r="E60" s="1299">
        <v>204</v>
      </c>
      <c r="F60" s="1299">
        <v>7491159.4129999997</v>
      </c>
    </row>
    <row r="61" spans="1:6">
      <c r="A61" s="1298" t="s">
        <v>48</v>
      </c>
      <c r="B61" s="1298" t="s">
        <v>53</v>
      </c>
      <c r="C61" s="1299">
        <v>437</v>
      </c>
      <c r="D61" s="1299">
        <v>65788854.670000002</v>
      </c>
      <c r="E61" s="1299">
        <v>1120</v>
      </c>
      <c r="F61" s="1299">
        <v>13968084.92</v>
      </c>
    </row>
    <row r="62" spans="1:6">
      <c r="A62" s="1298" t="s">
        <v>48</v>
      </c>
      <c r="B62" s="1298" t="s">
        <v>54</v>
      </c>
      <c r="C62" s="1299">
        <v>18</v>
      </c>
      <c r="D62" s="1299">
        <v>2567306.0869999998</v>
      </c>
      <c r="E62" s="1299">
        <v>21</v>
      </c>
      <c r="F62" s="1299">
        <v>509694.07199999999</v>
      </c>
    </row>
    <row r="63" spans="1:6">
      <c r="A63" s="1298" t="s">
        <v>48</v>
      </c>
      <c r="B63" s="1298" t="s">
        <v>28</v>
      </c>
      <c r="C63" s="1299">
        <v>271</v>
      </c>
      <c r="D63" s="1299">
        <v>16298395.43</v>
      </c>
      <c r="E63" s="1299">
        <v>338</v>
      </c>
      <c r="F63" s="1299">
        <v>16556655.529999999</v>
      </c>
    </row>
    <row r="64" spans="1:6">
      <c r="A64" s="1298" t="s">
        <v>55</v>
      </c>
      <c r="B64" s="1298" t="s">
        <v>56</v>
      </c>
      <c r="C64" s="1299">
        <v>0</v>
      </c>
      <c r="D64" s="1299">
        <v>0</v>
      </c>
      <c r="E64" s="1299">
        <v>0</v>
      </c>
      <c r="F64" s="1299">
        <v>0</v>
      </c>
    </row>
    <row r="65" spans="1:6">
      <c r="A65" s="1298" t="s">
        <v>55</v>
      </c>
      <c r="B65" s="1298" t="s">
        <v>28</v>
      </c>
      <c r="C65" s="1299">
        <v>7</v>
      </c>
      <c r="D65" s="1299">
        <v>202885.20600000001</v>
      </c>
      <c r="E65" s="1299">
        <v>6</v>
      </c>
      <c r="F65" s="1299">
        <v>168579.43700000001</v>
      </c>
    </row>
    <row r="66" spans="1:6">
      <c r="A66" s="1298" t="s">
        <v>55</v>
      </c>
      <c r="B66" s="1298" t="s">
        <v>57</v>
      </c>
      <c r="C66" s="1299">
        <v>0</v>
      </c>
      <c r="D66" s="1299">
        <v>0</v>
      </c>
      <c r="E66" s="1299">
        <v>18</v>
      </c>
      <c r="F66" s="1299">
        <v>948263.79399999999</v>
      </c>
    </row>
    <row r="67" spans="1:6">
      <c r="A67" s="1300" t="s">
        <v>55</v>
      </c>
      <c r="B67" s="1300" t="s">
        <v>58</v>
      </c>
      <c r="C67" s="1299">
        <v>0</v>
      </c>
      <c r="D67" s="1299">
        <v>0</v>
      </c>
      <c r="E67" s="1299">
        <v>0</v>
      </c>
      <c r="F67" s="1299">
        <v>0</v>
      </c>
    </row>
    <row r="68" spans="1:6">
      <c r="A68" s="1293" t="s">
        <v>55</v>
      </c>
      <c r="B68" s="1293" t="s">
        <v>59</v>
      </c>
      <c r="C68" s="1302">
        <v>8</v>
      </c>
      <c r="D68" s="1302">
        <v>185749.364</v>
      </c>
      <c r="E68" s="1302">
        <v>35</v>
      </c>
      <c r="F68" s="1302">
        <v>271156.90899999999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87201051</v>
      </c>
      <c r="E73" s="450"/>
      <c r="F73" s="330"/>
    </row>
    <row r="74" spans="1:6">
      <c r="A74" s="1298" t="s">
        <v>63</v>
      </c>
      <c r="B74" s="1298" t="s">
        <v>647</v>
      </c>
      <c r="C74" s="1312" t="s">
        <v>649</v>
      </c>
      <c r="D74" s="1313">
        <v>9947307.5</v>
      </c>
      <c r="E74" s="450"/>
      <c r="F74" s="330"/>
    </row>
    <row r="75" spans="1:6">
      <c r="A75" s="1298" t="s">
        <v>64</v>
      </c>
      <c r="B75" s="1298" t="s">
        <v>646</v>
      </c>
      <c r="C75" s="1312" t="s">
        <v>650</v>
      </c>
      <c r="D75" s="1313">
        <v>32333782</v>
      </c>
      <c r="E75" s="450"/>
      <c r="F75" s="330"/>
    </row>
    <row r="76" spans="1:6">
      <c r="A76" s="1298" t="s">
        <v>64</v>
      </c>
      <c r="B76" s="1298" t="s">
        <v>647</v>
      </c>
      <c r="C76" s="1312" t="s">
        <v>651</v>
      </c>
      <c r="D76" s="1313">
        <v>2078959.5</v>
      </c>
      <c r="E76" s="450"/>
      <c r="F76" s="330"/>
    </row>
    <row r="77" spans="1:6">
      <c r="A77" s="1298" t="s">
        <v>65</v>
      </c>
      <c r="B77" s="1298" t="s">
        <v>646</v>
      </c>
      <c r="C77" s="1312" t="s">
        <v>652</v>
      </c>
      <c r="D77" s="1313">
        <v>189515514</v>
      </c>
      <c r="E77" s="450"/>
      <c r="F77" s="330"/>
    </row>
    <row r="78" spans="1:6">
      <c r="A78" s="1293" t="s">
        <v>65</v>
      </c>
      <c r="B78" s="1293" t="s">
        <v>647</v>
      </c>
      <c r="C78" s="1293" t="s">
        <v>653</v>
      </c>
      <c r="D78" s="1314">
        <v>48516304</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536829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7075.5252828493603</v>
      </c>
      <c r="C90" s="330"/>
      <c r="D90" s="330"/>
      <c r="E90" s="330"/>
      <c r="F90" s="330"/>
    </row>
    <row r="91" spans="1:6">
      <c r="A91" s="1298" t="s">
        <v>67</v>
      </c>
      <c r="B91" s="1299">
        <v>8333.4324470891188</v>
      </c>
      <c r="C91" s="330"/>
      <c r="D91" s="330"/>
      <c r="E91" s="330"/>
      <c r="F91" s="330"/>
    </row>
    <row r="92" spans="1:6">
      <c r="A92" s="1293" t="s">
        <v>68</v>
      </c>
      <c r="B92" s="1294">
        <v>27506.353402216064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5216</v>
      </c>
      <c r="C97" s="330"/>
      <c r="D97" s="330"/>
      <c r="E97" s="330"/>
      <c r="F97" s="330"/>
    </row>
    <row r="98" spans="1:6">
      <c r="A98" s="1298" t="s">
        <v>71</v>
      </c>
      <c r="B98" s="1299">
        <v>2</v>
      </c>
      <c r="C98" s="330"/>
      <c r="D98" s="330"/>
      <c r="E98" s="330"/>
      <c r="F98" s="330"/>
    </row>
    <row r="99" spans="1:6">
      <c r="A99" s="1298" t="s">
        <v>72</v>
      </c>
      <c r="B99" s="1299">
        <v>157</v>
      </c>
      <c r="C99" s="330"/>
      <c r="D99" s="330"/>
      <c r="E99" s="330"/>
      <c r="F99" s="330"/>
    </row>
    <row r="100" spans="1:6">
      <c r="A100" s="1298" t="s">
        <v>73</v>
      </c>
      <c r="B100" s="1299">
        <v>1363</v>
      </c>
      <c r="C100" s="330"/>
      <c r="D100" s="330"/>
      <c r="E100" s="330"/>
      <c r="F100" s="330"/>
    </row>
    <row r="101" spans="1:6">
      <c r="A101" s="1298" t="s">
        <v>74</v>
      </c>
      <c r="B101" s="1299">
        <v>179</v>
      </c>
      <c r="C101" s="330"/>
      <c r="D101" s="330"/>
      <c r="E101" s="330"/>
      <c r="F101" s="330"/>
    </row>
    <row r="102" spans="1:6">
      <c r="A102" s="1298" t="s">
        <v>75</v>
      </c>
      <c r="B102" s="1299">
        <v>330</v>
      </c>
      <c r="C102" s="330"/>
      <c r="D102" s="330"/>
      <c r="E102" s="330"/>
      <c r="F102" s="330"/>
    </row>
    <row r="103" spans="1:6">
      <c r="A103" s="1298" t="s">
        <v>76</v>
      </c>
      <c r="B103" s="1299">
        <v>222</v>
      </c>
      <c r="C103" s="330"/>
      <c r="D103" s="330"/>
      <c r="E103" s="330"/>
      <c r="F103" s="330"/>
    </row>
    <row r="104" spans="1:6">
      <c r="A104" s="1298" t="s">
        <v>77</v>
      </c>
      <c r="B104" s="1299">
        <v>6001</v>
      </c>
      <c r="C104" s="330"/>
      <c r="D104" s="330"/>
      <c r="E104" s="330"/>
      <c r="F104" s="330"/>
    </row>
    <row r="105" spans="1:6">
      <c r="A105" s="1293" t="s">
        <v>78</v>
      </c>
      <c r="B105" s="1302">
        <v>20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1</v>
      </c>
      <c r="C122" s="1299">
        <v>0</v>
      </c>
      <c r="D122" s="330"/>
      <c r="E122" s="330"/>
      <c r="F122" s="330"/>
    </row>
    <row r="123" spans="1:6">
      <c r="A123" s="1298" t="s">
        <v>87</v>
      </c>
      <c r="B123" s="1299">
        <v>56</v>
      </c>
      <c r="C123" s="1299">
        <v>55</v>
      </c>
      <c r="D123" s="330"/>
      <c r="E123" s="330"/>
      <c r="F123" s="330"/>
    </row>
    <row r="124" spans="1:6" s="43" customFormat="1">
      <c r="A124" s="1300" t="s">
        <v>88</v>
      </c>
      <c r="B124" s="1321">
        <v>5</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435</v>
      </c>
      <c r="C129" s="330"/>
      <c r="D129" s="330"/>
      <c r="E129" s="330"/>
      <c r="F129" s="330"/>
    </row>
    <row r="130" spans="1:6">
      <c r="A130" s="1298" t="s">
        <v>294</v>
      </c>
      <c r="B130" s="1299">
        <v>10</v>
      </c>
      <c r="C130" s="330"/>
      <c r="D130" s="330"/>
      <c r="E130" s="330"/>
      <c r="F130" s="330"/>
    </row>
    <row r="131" spans="1:6">
      <c r="A131" s="1298" t="s">
        <v>295</v>
      </c>
      <c r="B131" s="1299">
        <v>14</v>
      </c>
      <c r="C131" s="330"/>
      <c r="D131" s="330"/>
      <c r="E131" s="330"/>
      <c r="F131" s="330"/>
    </row>
    <row r="132" spans="1:6">
      <c r="A132" s="1293" t="s">
        <v>296</v>
      </c>
      <c r="B132" s="1294">
        <v>31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402536.16064806591</v>
      </c>
      <c r="C3" s="43" t="s">
        <v>169</v>
      </c>
      <c r="D3" s="43"/>
      <c r="E3" s="154"/>
      <c r="F3" s="43"/>
      <c r="G3" s="43"/>
      <c r="H3" s="43"/>
      <c r="I3" s="43"/>
      <c r="J3" s="43"/>
      <c r="K3" s="96"/>
    </row>
    <row r="4" spans="1:11">
      <c r="A4" s="358" t="s">
        <v>170</v>
      </c>
      <c r="B4" s="49">
        <f>IF(ISERROR('SEAP template'!B78+'SEAP template'!C78),0,'SEAP template'!B78+'SEAP template'!C78)</f>
        <v>42915.311132154544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0.19743867883835114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2754.8069999999998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2754.8069999999998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0.19743867883835114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543.90545453464154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57546.289457999999</v>
      </c>
      <c r="C5" s="17">
        <f>IF(ISERROR('Eigen informatie GS &amp; warmtenet'!B59),0,'Eigen informatie GS &amp; warmtenet'!B59)</f>
        <v>0</v>
      </c>
      <c r="D5" s="30">
        <f>(SUM(HH_hh_gas_kWh,HH_rest_gas_kWh)/1000)*0.902</f>
        <v>128590.43170914598</v>
      </c>
      <c r="E5" s="17">
        <f>B46*B57</f>
        <v>21378.137402346896</v>
      </c>
      <c r="F5" s="17">
        <f>B51*B62</f>
        <v>33747.880814480312</v>
      </c>
      <c r="G5" s="18"/>
      <c r="H5" s="17"/>
      <c r="I5" s="17"/>
      <c r="J5" s="17">
        <f>B50*B61+C50*C61</f>
        <v>0</v>
      </c>
      <c r="K5" s="17"/>
      <c r="L5" s="17"/>
      <c r="M5" s="17"/>
      <c r="N5" s="17">
        <f>B48*B59+C48*C59</f>
        <v>30411.366577576129</v>
      </c>
      <c r="O5" s="17">
        <f>B69*B70*B71</f>
        <v>976.10744393841969</v>
      </c>
      <c r="P5" s="17">
        <f>B77*B78*B79/1000-B77*B78*B79/1000/B80</f>
        <v>969.12425630702205</v>
      </c>
    </row>
    <row r="6" spans="1:16">
      <c r="A6" s="16" t="s">
        <v>611</v>
      </c>
      <c r="B6" s="783">
        <f>kWh_PV_kleiner_dan_10kW</f>
        <v>8333.4324470891188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65879.721905089114</v>
      </c>
      <c r="C8" s="21">
        <f>C5</f>
        <v>0</v>
      </c>
      <c r="D8" s="21">
        <f>D5</f>
        <v>128590.43170914598</v>
      </c>
      <c r="E8" s="21">
        <f>E5</f>
        <v>21378.137402346896</v>
      </c>
      <c r="F8" s="21">
        <f>F5</f>
        <v>33747.880814480312</v>
      </c>
      <c r="G8" s="21"/>
      <c r="H8" s="21"/>
      <c r="I8" s="21"/>
      <c r="J8" s="21">
        <f>J5</f>
        <v>0</v>
      </c>
      <c r="K8" s="21"/>
      <c r="L8" s="21">
        <f>L5</f>
        <v>0</v>
      </c>
      <c r="M8" s="21">
        <f>M5</f>
        <v>0</v>
      </c>
      <c r="N8" s="21">
        <f>N5</f>
        <v>30411.366577576129</v>
      </c>
      <c r="O8" s="21">
        <f>O5</f>
        <v>976.10744393841969</v>
      </c>
      <c r="P8" s="21">
        <f>P5</f>
        <v>969.12425630702205</v>
      </c>
    </row>
    <row r="9" spans="1:16">
      <c r="B9" s="19"/>
      <c r="C9" s="19"/>
      <c r="D9" s="258"/>
      <c r="E9" s="19"/>
      <c r="F9" s="19"/>
      <c r="G9" s="19"/>
      <c r="H9" s="19"/>
      <c r="I9" s="19"/>
      <c r="J9" s="19"/>
      <c r="K9" s="19"/>
      <c r="L9" s="19"/>
      <c r="M9" s="19"/>
      <c r="N9" s="19"/>
      <c r="O9" s="19"/>
      <c r="P9" s="19"/>
    </row>
    <row r="10" spans="1:16">
      <c r="A10" s="24" t="s">
        <v>213</v>
      </c>
      <c r="B10" s="25">
        <f ca="1">'EF ele_warmte'!B12</f>
        <v>0.19743867883835114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13007.205255178776</v>
      </c>
      <c r="C12" s="23">
        <f ca="1">C10*C8</f>
        <v>0</v>
      </c>
      <c r="D12" s="23">
        <f>D8*D10</f>
        <v>25975.267205247488</v>
      </c>
      <c r="E12" s="23">
        <f>E10*E8</f>
        <v>4852.8371903327452</v>
      </c>
      <c r="F12" s="23">
        <f>F10*F8</f>
        <v>9010.6841774662444</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5216</v>
      </c>
      <c r="C18" s="166" t="s">
        <v>110</v>
      </c>
      <c r="D18" s="228"/>
      <c r="E18" s="15"/>
    </row>
    <row r="19" spans="1:7">
      <c r="A19" s="171" t="s">
        <v>71</v>
      </c>
      <c r="B19" s="37">
        <f>aantalw2001_ander</f>
        <v>2</v>
      </c>
      <c r="C19" s="166" t="s">
        <v>110</v>
      </c>
      <c r="D19" s="229"/>
      <c r="E19" s="15"/>
    </row>
    <row r="20" spans="1:7">
      <c r="A20" s="171" t="s">
        <v>72</v>
      </c>
      <c r="B20" s="37">
        <f>aantalw2001_propaan</f>
        <v>157</v>
      </c>
      <c r="C20" s="167">
        <f>IF(ISERROR(B20/SUM($B$20,$B$21,$B$22)*100),0,B20/SUM($B$20,$B$21,$B$22)*100)</f>
        <v>9.2407298410829899</v>
      </c>
      <c r="D20" s="229"/>
      <c r="E20" s="15"/>
    </row>
    <row r="21" spans="1:7">
      <c r="A21" s="171" t="s">
        <v>73</v>
      </c>
      <c r="B21" s="37">
        <f>aantalw2001_elektriciteit</f>
        <v>1363</v>
      </c>
      <c r="C21" s="167">
        <f>IF(ISERROR(B21/SUM($B$20,$B$21,$B$22)*100),0,B21/SUM($B$20,$B$21,$B$22)*100)</f>
        <v>80.223660977045313</v>
      </c>
      <c r="D21" s="229"/>
      <c r="E21" s="15"/>
    </row>
    <row r="22" spans="1:7">
      <c r="A22" s="171" t="s">
        <v>74</v>
      </c>
      <c r="B22" s="37">
        <f>aantalw2001_hout</f>
        <v>179</v>
      </c>
      <c r="C22" s="167">
        <f>IF(ISERROR(B22/SUM($B$20,$B$21,$B$22)*100),0,B22/SUM($B$20,$B$21,$B$22)*100)</f>
        <v>10.53560918187169</v>
      </c>
      <c r="D22" s="229"/>
      <c r="E22" s="15"/>
    </row>
    <row r="23" spans="1:7">
      <c r="A23" s="171" t="s">
        <v>75</v>
      </c>
      <c r="B23" s="37">
        <f>aantalw2001_niet_gespec</f>
        <v>330</v>
      </c>
      <c r="C23" s="166" t="s">
        <v>110</v>
      </c>
      <c r="D23" s="228"/>
      <c r="E23" s="15"/>
    </row>
    <row r="24" spans="1:7">
      <c r="A24" s="171" t="s">
        <v>76</v>
      </c>
      <c r="B24" s="37">
        <f>aantalw2001_steenkool</f>
        <v>222</v>
      </c>
      <c r="C24" s="166" t="s">
        <v>110</v>
      </c>
      <c r="D24" s="229"/>
      <c r="E24" s="15"/>
    </row>
    <row r="25" spans="1:7">
      <c r="A25" s="171" t="s">
        <v>77</v>
      </c>
      <c r="B25" s="37">
        <f>aantalw2001_stookolie</f>
        <v>6001</v>
      </c>
      <c r="C25" s="166" t="s">
        <v>110</v>
      </c>
      <c r="D25" s="228"/>
      <c r="E25" s="52"/>
    </row>
    <row r="26" spans="1:7">
      <c r="A26" s="171" t="s">
        <v>78</v>
      </c>
      <c r="B26" s="37">
        <f>aantalw2001_WP</f>
        <v>20</v>
      </c>
      <c r="C26" s="166" t="s">
        <v>110</v>
      </c>
      <c r="D26" s="228"/>
      <c r="E26" s="15"/>
    </row>
    <row r="27" spans="1:7" s="15" customFormat="1">
      <c r="A27" s="171"/>
      <c r="B27" s="29"/>
      <c r="C27" s="36"/>
      <c r="D27" s="228"/>
    </row>
    <row r="28" spans="1:7" s="15" customFormat="1">
      <c r="A28" s="230" t="s">
        <v>818</v>
      </c>
      <c r="B28" s="37">
        <f>aantalHuishoudens</f>
        <v>16053</v>
      </c>
      <c r="C28" s="36"/>
      <c r="D28" s="228"/>
    </row>
    <row r="29" spans="1:7" s="15" customFormat="1">
      <c r="A29" s="230" t="s">
        <v>819</v>
      </c>
      <c r="B29" s="37">
        <f>SUM(HH_hh_gas_aantal,HH_rest_gas_aantal)</f>
        <v>10077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10077</v>
      </c>
      <c r="C32" s="167">
        <f>IF(ISERROR(B32/SUM($B$32,$B$34,$B$35,$B$36,$B$38,$B$39)*100),0,B32/SUM($B$32,$B$34,$B$35,$B$36,$B$38,$B$39)*100)</f>
        <v>63.135141908401728</v>
      </c>
      <c r="D32" s="233"/>
      <c r="G32" s="15"/>
    </row>
    <row r="33" spans="1:7">
      <c r="A33" s="171" t="s">
        <v>71</v>
      </c>
      <c r="B33" s="34" t="s">
        <v>110</v>
      </c>
      <c r="C33" s="167"/>
      <c r="D33" s="233"/>
      <c r="G33" s="15"/>
    </row>
    <row r="34" spans="1:7">
      <c r="A34" s="171" t="s">
        <v>72</v>
      </c>
      <c r="B34" s="33">
        <f>IF((($B$28-$B$32-$B$39-$B$77-$B$38)*C20/100)&lt;0,0,($B$28-$B$32-$B$39-$B$77-$B$38)*C20/100)</f>
        <v>393.46103590347263</v>
      </c>
      <c r="C34" s="167">
        <f>IF(ISERROR(B34/SUM($B$32,$B$34,$B$35,$B$36,$B$38,$B$39)*100),0,B34/SUM($B$32,$B$34,$B$35,$B$36,$B$38,$B$39)*100)</f>
        <v>2.4651402537652567</v>
      </c>
      <c r="D34" s="233"/>
      <c r="G34" s="15"/>
    </row>
    <row r="35" spans="1:7">
      <c r="A35" s="171" t="s">
        <v>73</v>
      </c>
      <c r="B35" s="33">
        <f>IF((($B$28-$B$32-$B$39-$B$77-$B$38)*C21/100)&lt;0,0,($B$28-$B$32-$B$39-$B$77-$B$38)*C21/100)</f>
        <v>3415.8432607416125</v>
      </c>
      <c r="C35" s="167">
        <f>IF(ISERROR(B35/SUM($B$32,$B$34,$B$35,$B$36,$B$38,$B$39)*100),0,B35/SUM($B$32,$B$34,$B$35,$B$36,$B$38,$B$39)*100)</f>
        <v>21.401185769949329</v>
      </c>
      <c r="D35" s="233"/>
      <c r="G35" s="15"/>
    </row>
    <row r="36" spans="1:7">
      <c r="A36" s="171" t="s">
        <v>74</v>
      </c>
      <c r="B36" s="33">
        <f>IF((($B$28-$B$32-$B$39-$B$77-$B$38)*C22/100)&lt;0,0,($B$28-$B$32-$B$39-$B$77-$B$38)*C22/100)</f>
        <v>448.59570335491475</v>
      </c>
      <c r="C36" s="167">
        <f>IF(ISERROR(B36/SUM($B$32,$B$34,$B$35,$B$36,$B$38,$B$39)*100),0,B36/SUM($B$32,$B$34,$B$35,$B$36,$B$38,$B$39)*100)</f>
        <v>2.8105739198979682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1626.0999999999995</v>
      </c>
      <c r="C39" s="167">
        <f>IF(ISERROR(B39/SUM($B$32,$B$34,$B$35,$B$36,$B$38,$B$39)*100),0,B39/SUM($B$32,$B$34,$B$35,$B$36,$B$38,$B$39)*100)</f>
        <v>10.187958147985713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10077</v>
      </c>
      <c r="C44" s="34" t="s">
        <v>110</v>
      </c>
      <c r="D44" s="174"/>
    </row>
    <row r="45" spans="1:7">
      <c r="A45" s="171" t="s">
        <v>71</v>
      </c>
      <c r="B45" s="33" t="str">
        <f t="shared" si="0"/>
        <v>-</v>
      </c>
      <c r="C45" s="34" t="s">
        <v>110</v>
      </c>
      <c r="D45" s="174"/>
    </row>
    <row r="46" spans="1:7">
      <c r="A46" s="171" t="s">
        <v>72</v>
      </c>
      <c r="B46" s="33">
        <f t="shared" si="0"/>
        <v>393.46103590347263</v>
      </c>
      <c r="C46" s="34" t="s">
        <v>110</v>
      </c>
      <c r="D46" s="174"/>
    </row>
    <row r="47" spans="1:7">
      <c r="A47" s="171" t="s">
        <v>73</v>
      </c>
      <c r="B47" s="33">
        <f t="shared" si="0"/>
        <v>3415.8432607416125</v>
      </c>
      <c r="C47" s="34" t="s">
        <v>110</v>
      </c>
      <c r="D47" s="174"/>
    </row>
    <row r="48" spans="1:7">
      <c r="A48" s="171" t="s">
        <v>74</v>
      </c>
      <c r="B48" s="33">
        <f t="shared" si="0"/>
        <v>448.59570335491475</v>
      </c>
      <c r="C48" s="33">
        <f>B48*10</f>
        <v>4485.9570335491471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1626.0999999999995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492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76124.290899</v>
      </c>
      <c r="C5" s="17">
        <f>IF(ISERROR('Eigen informatie GS &amp; warmtenet'!B60),0,'Eigen informatie GS &amp; warmtenet'!B60)</f>
        <v>0</v>
      </c>
      <c r="D5" s="30">
        <f>SUM(D6:D12)</f>
        <v>111537.13390910198</v>
      </c>
      <c r="E5" s="17">
        <f>SUM(E6:E12)</f>
        <v>1242.681002671723</v>
      </c>
      <c r="F5" s="17">
        <f>SUM(F6:F12)</f>
        <v>8523.2276331554258</v>
      </c>
      <c r="G5" s="18"/>
      <c r="H5" s="17"/>
      <c r="I5" s="17"/>
      <c r="J5" s="17">
        <f>SUM(J6:J12)</f>
        <v>0.13871900060442838</v>
      </c>
      <c r="K5" s="17"/>
      <c r="L5" s="17"/>
      <c r="M5" s="17"/>
      <c r="N5" s="17">
        <f>SUM(N6:N12)</f>
        <v>5453.0556138704005</v>
      </c>
      <c r="O5" s="17">
        <f>B38*B39*B40</f>
        <v>48.972607658411548</v>
      </c>
      <c r="P5" s="17">
        <f>B46*B47*B48/1000-B46*B47*B48/1000/B49</f>
        <v>788.08707459742516</v>
      </c>
      <c r="R5" s="32"/>
    </row>
    <row r="6" spans="1:18">
      <c r="A6" s="32" t="s">
        <v>53</v>
      </c>
      <c r="B6" s="37">
        <f>B26</f>
        <v>13968.084919999999</v>
      </c>
      <c r="C6" s="33"/>
      <c r="D6" s="37">
        <f>IF(ISERROR(TER_kantoor_gas_kWh/1000),0,TER_kantoor_gas_kWh/1000)*0.902</f>
        <v>59341.546912340003</v>
      </c>
      <c r="E6" s="33">
        <f>$C$26*'E Balans VL '!I12/100/3.6*1000000</f>
        <v>112.39670083038602</v>
      </c>
      <c r="F6" s="33">
        <f>$C$26*('E Balans VL '!L12+'E Balans VL '!N12)/100/3.6*1000000</f>
        <v>1707.7453210189919</v>
      </c>
      <c r="G6" s="34"/>
      <c r="H6" s="33"/>
      <c r="I6" s="33"/>
      <c r="J6" s="33">
        <f>$C$26*('E Balans VL '!D12+'E Balans VL '!E12)/100/3.6*1000000</f>
        <v>0</v>
      </c>
      <c r="K6" s="33"/>
      <c r="L6" s="33"/>
      <c r="M6" s="33"/>
      <c r="N6" s="33">
        <f>$C$26*'E Balans VL '!Y12/100/3.6*1000000</f>
        <v>7.5071577907671925</v>
      </c>
      <c r="O6" s="33"/>
      <c r="P6" s="33"/>
      <c r="R6" s="32"/>
    </row>
    <row r="7" spans="1:18">
      <c r="A7" s="32" t="s">
        <v>52</v>
      </c>
      <c r="B7" s="37">
        <f t="shared" ref="B7:B12" si="0">B27</f>
        <v>7491.1594129999994</v>
      </c>
      <c r="C7" s="33"/>
      <c r="D7" s="37">
        <f>IF(ISERROR(TER_horeca_gas_kWh/1000),0,TER_horeca_gas_kWh/1000)*0.902</f>
        <v>9252.5862833799983</v>
      </c>
      <c r="E7" s="33">
        <f>$C$27*'E Balans VL '!I9/100/3.6*1000000</f>
        <v>80.436657024080162</v>
      </c>
      <c r="F7" s="33">
        <f>$C$27*('E Balans VL '!L9+'E Balans VL '!N9)/100/3.6*1000000</f>
        <v>901.00482656128668</v>
      </c>
      <c r="G7" s="34"/>
      <c r="H7" s="33"/>
      <c r="I7" s="33"/>
      <c r="J7" s="33">
        <f>$C$27*('E Balans VL '!D9+'E Balans VL '!E9)/100/3.6*1000000</f>
        <v>0</v>
      </c>
      <c r="K7" s="33"/>
      <c r="L7" s="33"/>
      <c r="M7" s="33"/>
      <c r="N7" s="33">
        <f>$C$27*'E Balans VL '!Y9/100/3.6*1000000</f>
        <v>1.123076624182973</v>
      </c>
      <c r="O7" s="33"/>
      <c r="P7" s="33"/>
      <c r="R7" s="32"/>
    </row>
    <row r="8" spans="1:18">
      <c r="A8" s="6" t="s">
        <v>51</v>
      </c>
      <c r="B8" s="37">
        <f t="shared" si="0"/>
        <v>30235.318569999999</v>
      </c>
      <c r="C8" s="33"/>
      <c r="D8" s="37">
        <f>IF(ISERROR(TER_handel_gas_kWh/1000),0,TER_handel_gas_kWh/1000)*0.902</f>
        <v>16516.966983659997</v>
      </c>
      <c r="E8" s="33">
        <f>$C$28*'E Balans VL '!I13/100/3.6*1000000</f>
        <v>811.42338588894745</v>
      </c>
      <c r="F8" s="33">
        <f>$C$28*('E Balans VL '!L13+'E Balans VL '!N13)/100/3.6*1000000</f>
        <v>2885.3812681245345</v>
      </c>
      <c r="G8" s="34"/>
      <c r="H8" s="33"/>
      <c r="I8" s="33"/>
      <c r="J8" s="33">
        <f>$C$28*('E Balans VL '!D13+'E Balans VL '!E13)/100/3.6*1000000</f>
        <v>0</v>
      </c>
      <c r="K8" s="33"/>
      <c r="L8" s="33"/>
      <c r="M8" s="33"/>
      <c r="N8" s="33">
        <f>$C$28*'E Balans VL '!Y13/100/3.6*1000000</f>
        <v>11.985624068375273</v>
      </c>
      <c r="O8" s="33"/>
      <c r="P8" s="33"/>
      <c r="R8" s="32"/>
    </row>
    <row r="9" spans="1:18">
      <c r="A9" s="32" t="s">
        <v>50</v>
      </c>
      <c r="B9" s="37">
        <f t="shared" si="0"/>
        <v>1061.0278989999999</v>
      </c>
      <c r="C9" s="33"/>
      <c r="D9" s="37">
        <f>IF(ISERROR(TER_gezond_gas_kWh/1000),0,TER_gezond_gas_kWh/1000)*0.902</f>
        <v>2014.9999693560001</v>
      </c>
      <c r="E9" s="33">
        <f>$C$29*'E Balans VL '!I10/100/3.6*1000000</f>
        <v>1.9887117684122149</v>
      </c>
      <c r="F9" s="33">
        <f>$C$29*('E Balans VL '!L10+'E Balans VL '!N10)/100/3.6*1000000</f>
        <v>87.226174431414947</v>
      </c>
      <c r="G9" s="34"/>
      <c r="H9" s="33"/>
      <c r="I9" s="33"/>
      <c r="J9" s="33">
        <f>$C$29*('E Balans VL '!D10+'E Balans VL '!E10)/100/3.6*1000000</f>
        <v>0</v>
      </c>
      <c r="K9" s="33"/>
      <c r="L9" s="33"/>
      <c r="M9" s="33"/>
      <c r="N9" s="33">
        <f>$C$29*'E Balans VL '!Y10/100/3.6*1000000</f>
        <v>8.2555886947810748</v>
      </c>
      <c r="O9" s="33"/>
      <c r="P9" s="33"/>
      <c r="R9" s="32"/>
    </row>
    <row r="10" spans="1:18">
      <c r="A10" s="32" t="s">
        <v>49</v>
      </c>
      <c r="B10" s="37">
        <f t="shared" si="0"/>
        <v>6302.3504949999997</v>
      </c>
      <c r="C10" s="33"/>
      <c r="D10" s="37">
        <f>IF(ISERROR(TER_ander_gas_kWh/1000),0,TER_ander_gas_kWh/1000)*0.902</f>
        <v>7394.170992032</v>
      </c>
      <c r="E10" s="33">
        <f>$C$30*'E Balans VL '!I14/100/3.6*1000000</f>
        <v>9.7151371487733353</v>
      </c>
      <c r="F10" s="33">
        <f>$C$30*('E Balans VL '!L14+'E Balans VL '!N14)/100/3.6*1000000</f>
        <v>978.44165420825948</v>
      </c>
      <c r="G10" s="34"/>
      <c r="H10" s="33"/>
      <c r="I10" s="33"/>
      <c r="J10" s="33">
        <f>$C$30*('E Balans VL '!D14+'E Balans VL '!E14)/100/3.6*1000000</f>
        <v>0.10698904626775427</v>
      </c>
      <c r="K10" s="33"/>
      <c r="L10" s="33"/>
      <c r="M10" s="33"/>
      <c r="N10" s="33">
        <f>$C$30*'E Balans VL '!Y14/100/3.6*1000000</f>
        <v>4169.4330986748382</v>
      </c>
      <c r="O10" s="33"/>
      <c r="P10" s="33"/>
      <c r="R10" s="32"/>
    </row>
    <row r="11" spans="1:18">
      <c r="A11" s="32" t="s">
        <v>54</v>
      </c>
      <c r="B11" s="37">
        <f t="shared" si="0"/>
        <v>509.69407200000001</v>
      </c>
      <c r="C11" s="33"/>
      <c r="D11" s="37">
        <f>IF(ISERROR(TER_onderwijs_gas_kWh/1000),0,TER_onderwijs_gas_kWh/1000)*0.902</f>
        <v>2315.710090474</v>
      </c>
      <c r="E11" s="33">
        <f>$C$31*'E Balans VL '!I11/100/3.6*1000000</f>
        <v>13.000680075275504</v>
      </c>
      <c r="F11" s="33">
        <f>$C$31*('E Balans VL '!L11+'E Balans VL '!N11)/100/3.6*1000000</f>
        <v>61.295509581297949</v>
      </c>
      <c r="G11" s="34"/>
      <c r="H11" s="33"/>
      <c r="I11" s="33"/>
      <c r="J11" s="33">
        <f>$C$31*('E Balans VL '!D11+'E Balans VL '!E11)/100/3.6*1000000</f>
        <v>0</v>
      </c>
      <c r="K11" s="33"/>
      <c r="L11" s="33"/>
      <c r="M11" s="33"/>
      <c r="N11" s="33">
        <f>$C$31*'E Balans VL '!Y11/100/3.6*1000000</f>
        <v>1.133547179485481</v>
      </c>
      <c r="O11" s="33"/>
      <c r="P11" s="33"/>
      <c r="R11" s="32"/>
    </row>
    <row r="12" spans="1:18">
      <c r="A12" s="32" t="s">
        <v>259</v>
      </c>
      <c r="B12" s="37">
        <f t="shared" si="0"/>
        <v>16556.65553</v>
      </c>
      <c r="C12" s="33"/>
      <c r="D12" s="37">
        <f>IF(ISERROR(TER_rest_gas_kWh/1000),0,TER_rest_gas_kWh/1000)*0.902</f>
        <v>14701.15267786</v>
      </c>
      <c r="E12" s="33">
        <f>$C$32*'E Balans VL '!I8/100/3.6*1000000</f>
        <v>213.71972993584839</v>
      </c>
      <c r="F12" s="33">
        <f>$C$32*('E Balans VL '!L8+'E Balans VL '!N8)/100/3.6*1000000</f>
        <v>1902.1328792296413</v>
      </c>
      <c r="G12" s="34"/>
      <c r="H12" s="33"/>
      <c r="I12" s="33"/>
      <c r="J12" s="33">
        <f>$C$32*('E Balans VL '!D8+'E Balans VL '!E8)/100/3.6*1000000</f>
        <v>3.172995433667411E-2</v>
      </c>
      <c r="K12" s="33"/>
      <c r="L12" s="33"/>
      <c r="M12" s="33"/>
      <c r="N12" s="33">
        <f>$C$32*'E Balans VL '!Y8/100/3.6*1000000</f>
        <v>1253.6175208379702</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76124.290899</v>
      </c>
      <c r="C16" s="21">
        <f t="shared" ca="1" si="1"/>
        <v>0</v>
      </c>
      <c r="D16" s="21">
        <f t="shared" ca="1" si="1"/>
        <v>111537.13390910198</v>
      </c>
      <c r="E16" s="21">
        <f t="shared" si="1"/>
        <v>1242.681002671723</v>
      </c>
      <c r="F16" s="21">
        <f t="shared" ca="1" si="1"/>
        <v>8523.2276331554258</v>
      </c>
      <c r="G16" s="21">
        <f t="shared" si="1"/>
        <v>0</v>
      </c>
      <c r="H16" s="21">
        <f t="shared" si="1"/>
        <v>0</v>
      </c>
      <c r="I16" s="21">
        <f t="shared" si="1"/>
        <v>0</v>
      </c>
      <c r="J16" s="21">
        <f t="shared" si="1"/>
        <v>0.13871900060442838</v>
      </c>
      <c r="K16" s="21">
        <f t="shared" si="1"/>
        <v>0</v>
      </c>
      <c r="L16" s="21">
        <f t="shared" ca="1" si="1"/>
        <v>0</v>
      </c>
      <c r="M16" s="21">
        <f t="shared" si="1"/>
        <v>0</v>
      </c>
      <c r="N16" s="21">
        <f t="shared" ca="1" si="1"/>
        <v>5453.0556138704005</v>
      </c>
      <c r="O16" s="21">
        <f>O5</f>
        <v>48.972607658411548</v>
      </c>
      <c r="P16" s="21">
        <f>P5</f>
        <v>788.08707459742516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0.19743867883835114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15029.879422604878</v>
      </c>
      <c r="C20" s="23">
        <f t="shared" ref="C20:P20" ca="1" si="2">C16*C18</f>
        <v>0</v>
      </c>
      <c r="D20" s="23">
        <f t="shared" ca="1" si="2"/>
        <v>22530.501049638602</v>
      </c>
      <c r="E20" s="23">
        <f t="shared" si="2"/>
        <v>282.08858760648116</v>
      </c>
      <c r="F20" s="23">
        <f t="shared" ca="1" si="2"/>
        <v>2275.7017780524989</v>
      </c>
      <c r="G20" s="23">
        <f t="shared" si="2"/>
        <v>0</v>
      </c>
      <c r="H20" s="23">
        <f t="shared" si="2"/>
        <v>0</v>
      </c>
      <c r="I20" s="23">
        <f t="shared" si="2"/>
        <v>0</v>
      </c>
      <c r="J20" s="23">
        <f t="shared" si="2"/>
        <v>4.910652621396764E-2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13968.084919999999</v>
      </c>
      <c r="C26" s="39">
        <f>IF(ISERROR(B26*3.6/1000000/'E Balans VL '!Z12*100),0,B26*3.6/1000000/'E Balans VL '!Z12*100)</f>
        <v>0.29632014224759551</v>
      </c>
      <c r="D26" s="237" t="s">
        <v>708</v>
      </c>
      <c r="F26" s="6"/>
    </row>
    <row r="27" spans="1:18">
      <c r="A27" s="231" t="s">
        <v>52</v>
      </c>
      <c r="B27" s="33">
        <f>IF(ISERROR(TER_horeca_ele_kWh/1000),0,TER_horeca_ele_kWh/1000)</f>
        <v>7491.1594129999994</v>
      </c>
      <c r="C27" s="39">
        <f>IF(ISERROR(B27*3.6/1000000/'E Balans VL '!Z9*100),0,B27*3.6/1000000/'E Balans VL '!Z9*100)</f>
        <v>0.56415066428368399</v>
      </c>
      <c r="D27" s="237" t="s">
        <v>708</v>
      </c>
      <c r="F27" s="6"/>
    </row>
    <row r="28" spans="1:18">
      <c r="A28" s="171" t="s">
        <v>51</v>
      </c>
      <c r="B28" s="33">
        <f>IF(ISERROR(TER_handel_ele_kWh/1000),0,TER_handel_ele_kWh/1000)</f>
        <v>30235.318569999999</v>
      </c>
      <c r="C28" s="39">
        <f>IF(ISERROR(B28*3.6/1000000/'E Balans VL '!Z13*100),0,B28*3.6/1000000/'E Balans VL '!Z13*100)</f>
        <v>0.87762416599476756</v>
      </c>
      <c r="D28" s="237" t="s">
        <v>708</v>
      </c>
      <c r="F28" s="6"/>
    </row>
    <row r="29" spans="1:18">
      <c r="A29" s="231" t="s">
        <v>50</v>
      </c>
      <c r="B29" s="33">
        <f>IF(ISERROR(TER_gezond_ele_kWh/1000),0,TER_gezond_ele_kWh/1000)</f>
        <v>1061.0278989999999</v>
      </c>
      <c r="C29" s="39">
        <f>IF(ISERROR(B29*3.6/1000000/'E Balans VL '!Z10*100),0,B29*3.6/1000000/'E Balans VL '!Z10*100)</f>
        <v>0.10700592894145522</v>
      </c>
      <c r="D29" s="237" t="s">
        <v>708</v>
      </c>
      <c r="F29" s="6"/>
    </row>
    <row r="30" spans="1:18">
      <c r="A30" s="231" t="s">
        <v>49</v>
      </c>
      <c r="B30" s="33">
        <f>IF(ISERROR(TER_ander_ele_kWh/1000),0,TER_ander_ele_kWh/1000)</f>
        <v>6302.3504949999997</v>
      </c>
      <c r="C30" s="39">
        <f>IF(ISERROR(B30*3.6/1000000/'E Balans VL '!Z14*100),0,B30*3.6/1000000/'E Balans VL '!Z14*100)</f>
        <v>0.45732150823783996</v>
      </c>
      <c r="D30" s="237" t="s">
        <v>708</v>
      </c>
      <c r="F30" s="6"/>
    </row>
    <row r="31" spans="1:18">
      <c r="A31" s="231" t="s">
        <v>54</v>
      </c>
      <c r="B31" s="33">
        <f>IF(ISERROR(TER_onderwijs_ele_kWh/1000),0,TER_onderwijs_ele_kWh/1000)</f>
        <v>509.69407200000001</v>
      </c>
      <c r="C31" s="39">
        <f>IF(ISERROR(B31*3.6/1000000/'E Balans VL '!Z11*100),0,B31*3.6/1000000/'E Balans VL '!Z11*100)</f>
        <v>0.14528356622907293</v>
      </c>
      <c r="D31" s="237" t="s">
        <v>708</v>
      </c>
    </row>
    <row r="32" spans="1:18">
      <c r="A32" s="231" t="s">
        <v>259</v>
      </c>
      <c r="B32" s="33">
        <f>IF(ISERROR(TER_rest_ele_kWh/1000),0,TER_rest_ele_kWh/1000)</f>
        <v>16556.65553</v>
      </c>
      <c r="C32" s="39">
        <f>IF(ISERROR(B32*3.6/1000000/'E Balans VL '!Z8*100),0,B32*3.6/1000000/'E Balans VL '!Z8*100)</f>
        <v>0.13562874966891861</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15</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253298.971972</v>
      </c>
      <c r="C5" s="17">
        <f>IF(ISERROR('Eigen informatie GS &amp; warmtenet'!B61),0,'Eigen informatie GS &amp; warmtenet'!B61)</f>
        <v>0</v>
      </c>
      <c r="D5" s="30">
        <f>SUM(D6:D15)</f>
        <v>200743.52518985601</v>
      </c>
      <c r="E5" s="17">
        <f>SUM(E6:E15)</f>
        <v>12260.627144120906</v>
      </c>
      <c r="F5" s="17">
        <f>SUM(F6:F15)</f>
        <v>44560.606355973432</v>
      </c>
      <c r="G5" s="18"/>
      <c r="H5" s="17"/>
      <c r="I5" s="17"/>
      <c r="J5" s="17">
        <f>SUM(J6:J15)</f>
        <v>1431.7950110691904</v>
      </c>
      <c r="K5" s="17"/>
      <c r="L5" s="17"/>
      <c r="M5" s="17"/>
      <c r="N5" s="17">
        <f>SUM(N6:N15)</f>
        <v>10792.970117122954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6720.0753459999996</v>
      </c>
      <c r="C8" s="33"/>
      <c r="D8" s="37">
        <f>IF( ISERROR(IND_metaal_Gas_kWH/1000),0,IND_metaal_Gas_kWH/1000)*0.902</f>
        <v>9813.5001518400004</v>
      </c>
      <c r="E8" s="33">
        <f>C30*'E Balans VL '!I18/100/3.6*1000000</f>
        <v>48.480627031701765</v>
      </c>
      <c r="F8" s="33">
        <f>C30*'E Balans VL '!L18/100/3.6*1000000+C30*'E Balans VL '!N18/100/3.6*1000000</f>
        <v>635.59521822210718</v>
      </c>
      <c r="G8" s="34"/>
      <c r="H8" s="33"/>
      <c r="I8" s="33"/>
      <c r="J8" s="40">
        <f>C30*'E Balans VL '!D18/100/3.6*1000000+C30*'E Balans VL '!E18/100/3.6*1000000</f>
        <v>6.7590908346959973</v>
      </c>
      <c r="K8" s="33"/>
      <c r="L8" s="33"/>
      <c r="M8" s="33"/>
      <c r="N8" s="33">
        <f>C30*'E Balans VL '!Y18/100/3.6*1000000</f>
        <v>84.959531937492244</v>
      </c>
      <c r="O8" s="33"/>
      <c r="P8" s="33"/>
      <c r="R8" s="32"/>
    </row>
    <row r="9" spans="1:18">
      <c r="A9" s="6" t="s">
        <v>32</v>
      </c>
      <c r="B9" s="37">
        <f t="shared" si="0"/>
        <v>16021.174919999999</v>
      </c>
      <c r="C9" s="33"/>
      <c r="D9" s="37">
        <f>IF( ISERROR(IND_andere_gas_kWh/1000),0,IND_andere_gas_kWh/1000)*0.902</f>
        <v>7691.444053876</v>
      </c>
      <c r="E9" s="33">
        <f>C31*'E Balans VL '!I19/100/3.6*1000000</f>
        <v>4439.6818002798855</v>
      </c>
      <c r="F9" s="33">
        <f>C31*'E Balans VL '!L19/100/3.6*1000000+C31*'E Balans VL '!N19/100/3.6*1000000</f>
        <v>13278.384395721831</v>
      </c>
      <c r="G9" s="34"/>
      <c r="H9" s="33"/>
      <c r="I9" s="33"/>
      <c r="J9" s="40">
        <f>C31*'E Balans VL '!D19/100/3.6*1000000+C31*'E Balans VL '!E19/100/3.6*1000000</f>
        <v>0</v>
      </c>
      <c r="K9" s="33"/>
      <c r="L9" s="33"/>
      <c r="M9" s="33"/>
      <c r="N9" s="33">
        <f>C31*'E Balans VL '!Y19/100/3.6*1000000</f>
        <v>1162.9413390084192</v>
      </c>
      <c r="O9" s="33"/>
      <c r="P9" s="33"/>
      <c r="R9" s="32"/>
    </row>
    <row r="10" spans="1:18">
      <c r="A10" s="6" t="s">
        <v>40</v>
      </c>
      <c r="B10" s="37">
        <f t="shared" si="0"/>
        <v>816.16899899999999</v>
      </c>
      <c r="C10" s="33"/>
      <c r="D10" s="37">
        <f>IF( ISERROR(IND_voed_gas_kWh/1000),0,IND_voed_gas_kWh/1000)*0.902</f>
        <v>881.411152754</v>
      </c>
      <c r="E10" s="33">
        <f>C32*'E Balans VL '!I20/100/3.6*1000000</f>
        <v>1.4448955823942293</v>
      </c>
      <c r="F10" s="33">
        <f>C32*'E Balans VL '!L20/100/3.6*1000000+C32*'E Balans VL '!N20/100/3.6*1000000</f>
        <v>44.08035958695131</v>
      </c>
      <c r="G10" s="34"/>
      <c r="H10" s="33"/>
      <c r="I10" s="33"/>
      <c r="J10" s="40">
        <f>C32*'E Balans VL '!D20/100/3.6*1000000+C32*'E Balans VL '!E20/100/3.6*1000000</f>
        <v>0</v>
      </c>
      <c r="K10" s="33"/>
      <c r="L10" s="33"/>
      <c r="M10" s="33"/>
      <c r="N10" s="33">
        <f>C32*'E Balans VL '!Y20/100/3.6*1000000</f>
        <v>47.425652002216083</v>
      </c>
      <c r="O10" s="33"/>
      <c r="P10" s="33"/>
      <c r="R10" s="32"/>
    </row>
    <row r="11" spans="1:18">
      <c r="A11" s="6" t="s">
        <v>39</v>
      </c>
      <c r="B11" s="37">
        <f t="shared" si="0"/>
        <v>67827.974310000005</v>
      </c>
      <c r="C11" s="33"/>
      <c r="D11" s="37">
        <f>IF( ISERROR(IND_textiel_gas_kWh/1000),0,IND_textiel_gas_kWh/1000)*0.902</f>
        <v>15997.066243400001</v>
      </c>
      <c r="E11" s="33">
        <f>C33*'E Balans VL '!I21/100/3.6*1000000</f>
        <v>239.10064964531523</v>
      </c>
      <c r="F11" s="33">
        <f>C33*'E Balans VL '!L21/100/3.6*1000000+C33*'E Balans VL '!N21/100/3.6*1000000</f>
        <v>1990.8524733291051</v>
      </c>
      <c r="G11" s="34"/>
      <c r="H11" s="33"/>
      <c r="I11" s="33"/>
      <c r="J11" s="40">
        <f>C33*'E Balans VL '!D21/100/3.6*1000000+C33*'E Balans VL '!E21/100/3.6*1000000</f>
        <v>0</v>
      </c>
      <c r="K11" s="33"/>
      <c r="L11" s="33"/>
      <c r="M11" s="33"/>
      <c r="N11" s="33">
        <f>C33*'E Balans VL '!Y21/100/3.6*1000000</f>
        <v>2988.4908387766332</v>
      </c>
      <c r="O11" s="33"/>
      <c r="P11" s="33"/>
      <c r="R11" s="32"/>
    </row>
    <row r="12" spans="1:18">
      <c r="A12" s="6" t="s">
        <v>36</v>
      </c>
      <c r="B12" s="37">
        <f t="shared" si="0"/>
        <v>1184.1668480000001</v>
      </c>
      <c r="C12" s="33"/>
      <c r="D12" s="37">
        <f>IF( ISERROR(IND_min_gas_kWh/1000),0,IND_min_gas_kWh/1000)*0.902</f>
        <v>68.831850009999997</v>
      </c>
      <c r="E12" s="33">
        <f>C34*'E Balans VL '!I22/100/3.6*1000000</f>
        <v>52.146484022528746</v>
      </c>
      <c r="F12" s="33">
        <f>C34*'E Balans VL '!L22/100/3.6*1000000+C34*'E Balans VL '!N22/100/3.6*1000000</f>
        <v>463.05706080879435</v>
      </c>
      <c r="G12" s="34"/>
      <c r="H12" s="33"/>
      <c r="I12" s="33"/>
      <c r="J12" s="40">
        <f>C34*'E Balans VL '!D22/100/3.6*1000000+C34*'E Balans VL '!E22/100/3.6*1000000</f>
        <v>0.35955513555970742</v>
      </c>
      <c r="K12" s="33"/>
      <c r="L12" s="33"/>
      <c r="M12" s="33"/>
      <c r="N12" s="33">
        <f>C34*'E Balans VL '!Y22/100/3.6*1000000</f>
        <v>292.9269919241483</v>
      </c>
      <c r="O12" s="33"/>
      <c r="P12" s="33"/>
      <c r="R12" s="32"/>
    </row>
    <row r="13" spans="1:18">
      <c r="A13" s="6" t="s">
        <v>38</v>
      </c>
      <c r="B13" s="37">
        <f t="shared" si="0"/>
        <v>1079.1768219999999</v>
      </c>
      <c r="C13" s="33"/>
      <c r="D13" s="37">
        <f>IF( ISERROR(IND_papier_gas_kWh/1000),0,IND_papier_gas_kWh/1000)*0.902</f>
        <v>120.02778429400001</v>
      </c>
      <c r="E13" s="33">
        <f>C35*'E Balans VL '!I23/100/3.6*1000000</f>
        <v>1.5878396730891642</v>
      </c>
      <c r="F13" s="33">
        <f>C35*'E Balans VL '!L23/100/3.6*1000000+C35*'E Balans VL '!N23/100/3.6*1000000</f>
        <v>11.555077030584261</v>
      </c>
      <c r="G13" s="34"/>
      <c r="H13" s="33"/>
      <c r="I13" s="33"/>
      <c r="J13" s="40">
        <f>C35*'E Balans VL '!D23/100/3.6*1000000+C35*'E Balans VL '!E23/100/3.6*1000000</f>
        <v>118.06799603373702</v>
      </c>
      <c r="K13" s="33"/>
      <c r="L13" s="33"/>
      <c r="M13" s="33"/>
      <c r="N13" s="33">
        <f>C35*'E Balans VL '!Y23/100/3.6*1000000</f>
        <v>0</v>
      </c>
      <c r="O13" s="33"/>
      <c r="P13" s="33"/>
      <c r="R13" s="32"/>
    </row>
    <row r="14" spans="1:18">
      <c r="A14" s="6" t="s">
        <v>33</v>
      </c>
      <c r="B14" s="37">
        <f t="shared" si="0"/>
        <v>1488.4382269999999</v>
      </c>
      <c r="C14" s="33"/>
      <c r="D14" s="37">
        <f>IF( ISERROR(IND_chemie_gas_kWh/1000),0,IND_chemie_gas_kWh/1000)*0.902</f>
        <v>38.785540881999999</v>
      </c>
      <c r="E14" s="33">
        <f>C36*'E Balans VL '!I24/100/3.6*1000000</f>
        <v>3.3665474696591211</v>
      </c>
      <c r="F14" s="33">
        <f>C36*'E Balans VL '!L24/100/3.6*1000000+C36*'E Balans VL '!N24/100/3.6*1000000</f>
        <v>17.573947289242113</v>
      </c>
      <c r="G14" s="34"/>
      <c r="H14" s="33"/>
      <c r="I14" s="33"/>
      <c r="J14" s="40">
        <f>C36*'E Balans VL '!D24/100/3.6*1000000+C36*'E Balans VL '!E24/100/3.6*1000000</f>
        <v>0</v>
      </c>
      <c r="K14" s="33"/>
      <c r="L14" s="33"/>
      <c r="M14" s="33"/>
      <c r="N14" s="33">
        <f>C36*'E Balans VL '!Y24/100/3.6*1000000</f>
        <v>0.81757683964470396</v>
      </c>
      <c r="O14" s="33"/>
      <c r="P14" s="33"/>
      <c r="R14" s="32"/>
    </row>
    <row r="15" spans="1:18">
      <c r="A15" s="6" t="s">
        <v>269</v>
      </c>
      <c r="B15" s="37">
        <f t="shared" si="0"/>
        <v>158161.7965</v>
      </c>
      <c r="C15" s="33"/>
      <c r="D15" s="37">
        <f>IF( ISERROR(IND_rest_gas_kWh/1000),0,IND_rest_gas_kWh/1000)*0.902</f>
        <v>166132.45841280001</v>
      </c>
      <c r="E15" s="33">
        <f>C37*'E Balans VL '!I15/100/3.6*1000000</f>
        <v>7474.8183004163302</v>
      </c>
      <c r="F15" s="33">
        <f>C37*'E Balans VL '!L15/100/3.6*1000000+C37*'E Balans VL '!N15/100/3.6*1000000</f>
        <v>28119.507823984812</v>
      </c>
      <c r="G15" s="34"/>
      <c r="H15" s="33"/>
      <c r="I15" s="33"/>
      <c r="J15" s="40">
        <f>C37*'E Balans VL '!D15/100/3.6*1000000+C37*'E Balans VL '!E15/100/3.6*1000000</f>
        <v>1306.6083690651976</v>
      </c>
      <c r="K15" s="33"/>
      <c r="L15" s="33"/>
      <c r="M15" s="33"/>
      <c r="N15" s="33">
        <f>C37*'E Balans VL '!Y15/100/3.6*1000000</f>
        <v>6215.4081866343986</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253298.971972</v>
      </c>
      <c r="C18" s="21">
        <f>C5+C16</f>
        <v>0</v>
      </c>
      <c r="D18" s="21">
        <f>MAX((D5+D16),0)</f>
        <v>200743.52518985601</v>
      </c>
      <c r="E18" s="21">
        <f>MAX((E5+E16),0)</f>
        <v>12260.627144120906</v>
      </c>
      <c r="F18" s="21">
        <f>MAX((F5+F16),0)</f>
        <v>44560.606355973432</v>
      </c>
      <c r="G18" s="21"/>
      <c r="H18" s="21"/>
      <c r="I18" s="21"/>
      <c r="J18" s="21">
        <f>MAX((J5+J16),0)</f>
        <v>1431.7950110691904</v>
      </c>
      <c r="K18" s="21"/>
      <c r="L18" s="21">
        <f>MAX((L5+L16),0)</f>
        <v>0</v>
      </c>
      <c r="M18" s="21"/>
      <c r="N18" s="21">
        <f>MAX((N5+N16),0)</f>
        <v>10792.970117122954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0.19743867883835114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50011.014377264219</v>
      </c>
      <c r="C22" s="23">
        <f ca="1">C18*C20</f>
        <v>0</v>
      </c>
      <c r="D22" s="23">
        <f>D18*D20</f>
        <v>40550.192088350916</v>
      </c>
      <c r="E22" s="23">
        <f>E18*E20</f>
        <v>2783.162361715446</v>
      </c>
      <c r="F22" s="23">
        <f>F18*F20</f>
        <v>11897.681897044908</v>
      </c>
      <c r="G22" s="23"/>
      <c r="H22" s="23"/>
      <c r="I22" s="23"/>
      <c r="J22" s="23">
        <f>J18*J20</f>
        <v>506.85543391849336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6720.0753459999996</v>
      </c>
      <c r="C30" s="39">
        <f>IF(ISERROR(B30*3.6/1000000/'E Balans VL '!Z18*100),0,B30*3.6/1000000/'E Balans VL '!Z18*100)</f>
        <v>0.38793946407068641</v>
      </c>
      <c r="D30" s="237" t="s">
        <v>708</v>
      </c>
    </row>
    <row r="31" spans="1:18">
      <c r="A31" s="6" t="s">
        <v>32</v>
      </c>
      <c r="B31" s="37">
        <f>IF( ISERROR(IND_ander_ele_kWh/1000),0,IND_ander_ele_kWh/1000)</f>
        <v>16021.174919999999</v>
      </c>
      <c r="C31" s="39">
        <f>IF(ISERROR(B31*3.6/1000000/'E Balans VL '!Z19*100),0,B31*3.6/1000000/'E Balans VL '!Z19*100)</f>
        <v>0.80581316784830137</v>
      </c>
      <c r="D31" s="237" t="s">
        <v>708</v>
      </c>
    </row>
    <row r="32" spans="1:18">
      <c r="A32" s="171" t="s">
        <v>40</v>
      </c>
      <c r="B32" s="37">
        <f>IF( ISERROR(IND_voed_ele_kWh/1000),0,IND_voed_ele_kWh/1000)</f>
        <v>816.16899899999999</v>
      </c>
      <c r="C32" s="39">
        <f>IF(ISERROR(B32*3.6/1000000/'E Balans VL '!Z20*100),0,B32*3.6/1000000/'E Balans VL '!Z20*100)</f>
        <v>2.7183274280695648E-2</v>
      </c>
      <c r="D32" s="237" t="s">
        <v>708</v>
      </c>
    </row>
    <row r="33" spans="1:5">
      <c r="A33" s="171" t="s">
        <v>39</v>
      </c>
      <c r="B33" s="37">
        <f>IF( ISERROR(IND_textiel_ele_kWh/1000),0,IND_textiel_ele_kWh/1000)</f>
        <v>67827.974310000005</v>
      </c>
      <c r="C33" s="39">
        <f>IF(ISERROR(B33*3.6/1000000/'E Balans VL '!Z21*100),0,B33*3.6/1000000/'E Balans VL '!Z21*100)</f>
        <v>10.575244470827508</v>
      </c>
      <c r="D33" s="237" t="s">
        <v>708</v>
      </c>
    </row>
    <row r="34" spans="1:5">
      <c r="A34" s="171" t="s">
        <v>36</v>
      </c>
      <c r="B34" s="37">
        <f>IF( ISERROR(IND_min_ele_kWh/1000),0,IND_min_ele_kWh/1000)</f>
        <v>1184.1668480000001</v>
      </c>
      <c r="C34" s="39">
        <f>IF(ISERROR(B34*3.6/1000000/'E Balans VL '!Z22*100),0,B34*3.6/1000000/'E Balans VL '!Z22*100)</f>
        <v>0.22088711399571304</v>
      </c>
      <c r="D34" s="237" t="s">
        <v>708</v>
      </c>
    </row>
    <row r="35" spans="1:5">
      <c r="A35" s="171" t="s">
        <v>38</v>
      </c>
      <c r="B35" s="37">
        <f>IF( ISERROR(IND_papier_ele_kWh/1000),0,IND_papier_ele_kWh/1000)</f>
        <v>1079.1768219999999</v>
      </c>
      <c r="C35" s="39">
        <f>IF(ISERROR(B35*3.6/1000000/'E Balans VL '!Z22*100),0,B35*3.6/1000000/'E Balans VL '!Z22*100)</f>
        <v>0.20130292796597973</v>
      </c>
      <c r="D35" s="237" t="s">
        <v>708</v>
      </c>
    </row>
    <row r="36" spans="1:5">
      <c r="A36" s="171" t="s">
        <v>33</v>
      </c>
      <c r="B36" s="37">
        <f>IF( ISERROR(IND_chemie_ele_kWh/1000),0,IND_chemie_ele_kWh/1000)</f>
        <v>1488.4382269999999</v>
      </c>
      <c r="C36" s="39">
        <f>IF(ISERROR(B36*3.6/1000000/'E Balans VL '!Z24*100),0,B36*3.6/1000000/'E Balans VL '!Z24*100)</f>
        <v>3.9259392059769679E-2</v>
      </c>
      <c r="D36" s="237" t="s">
        <v>708</v>
      </c>
    </row>
    <row r="37" spans="1:5">
      <c r="A37" s="171" t="s">
        <v>269</v>
      </c>
      <c r="B37" s="37">
        <f>IF( ISERROR(IND_rest_ele_kWh/1000),0,IND_rest_ele_kWh/1000)</f>
        <v>158161.7965</v>
      </c>
      <c r="C37" s="39">
        <f>IF(ISERROR(B37*3.6/1000000/'E Balans VL '!Z15*100),0,B37*3.6/1000000/'E Balans VL '!Z15*100)</f>
        <v>1.2340945268822672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1568.6263760000002</v>
      </c>
      <c r="C5" s="17">
        <f>'Eigen informatie GS &amp; warmtenet'!B62</f>
        <v>0</v>
      </c>
      <c r="D5" s="30">
        <f>IF(ISERROR(SUM(LB_lb_gas_kWh,LB_rest_gas_kWh)/1000),0,SUM(LB_lb_gas_kWh,LB_rest_gas_kWh)/1000)*0.902</f>
        <v>1624.822536524</v>
      </c>
      <c r="E5" s="17">
        <f>B17*'E Balans VL '!I25/3.6*1000000/100</f>
        <v>48.956311925795596</v>
      </c>
      <c r="F5" s="17">
        <f>B17*('E Balans VL '!L25/3.6*1000000+'E Balans VL '!N25/3.6*1000000)/100</f>
        <v>5543.6993805263746</v>
      </c>
      <c r="G5" s="18"/>
      <c r="H5" s="17"/>
      <c r="I5" s="17"/>
      <c r="J5" s="17">
        <f>('E Balans VL '!D25+'E Balans VL '!E25)/3.6*1000000*landbouw!B17/100</f>
        <v>432.16744491658056</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1568.6263760000002</v>
      </c>
      <c r="C8" s="21">
        <f>C5+C6</f>
        <v>0</v>
      </c>
      <c r="D8" s="21">
        <f>MAX((D5+D6),0)</f>
        <v>1624.822536524</v>
      </c>
      <c r="E8" s="21">
        <f>MAX((E5+E6),0)</f>
        <v>48.956311925795596</v>
      </c>
      <c r="F8" s="21">
        <f>MAX((F5+F6),0)</f>
        <v>5543.6993805263746</v>
      </c>
      <c r="G8" s="21"/>
      <c r="H8" s="21"/>
      <c r="I8" s="21"/>
      <c r="J8" s="21">
        <f>MAX((J5+J6),0)</f>
        <v>432.16744491658056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0.19743867883835114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309.7075192684307</v>
      </c>
      <c r="C12" s="23">
        <f ca="1">C8*C10</f>
        <v>0</v>
      </c>
      <c r="D12" s="23">
        <f>D8*D10</f>
        <v>328.21415237784805</v>
      </c>
      <c r="E12" s="23">
        <f>E8*E10</f>
        <v>11.113082807155601</v>
      </c>
      <c r="F12" s="23">
        <f>F8*F10</f>
        <v>1480.1677346005422</v>
      </c>
      <c r="G12" s="23"/>
      <c r="H12" s="23"/>
      <c r="I12" s="23"/>
      <c r="J12" s="23">
        <f>J8*J10</f>
        <v>152.98727550046951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0.23318755577141206</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255.32836867647805</v>
      </c>
      <c r="C26" s="247">
        <f>B26*'GWP N2O_CH4'!B5</f>
        <v>5361.8957422060394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61.133580209198065</v>
      </c>
      <c r="C27" s="247">
        <f>B27*'GWP N2O_CH4'!B5</f>
        <v>1283.8051843931594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3.1990817407762111</v>
      </c>
      <c r="C28" s="247">
        <f>B28*'GWP N2O_CH4'!B4</f>
        <v>991.71533964062542</v>
      </c>
      <c r="D28" s="50"/>
    </row>
    <row r="29" spans="1:4">
      <c r="A29" s="41" t="s">
        <v>276</v>
      </c>
      <c r="B29" s="247">
        <f>B34*'ha_N2O bodem landbouw'!B4</f>
        <v>11.121729054374029</v>
      </c>
      <c r="C29" s="247">
        <f>B29*'GWP N2O_CH4'!B4</f>
        <v>3447.7360068559492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2.4387949393950103E-3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5.3210448351643613E-4</v>
      </c>
      <c r="C5" s="437" t="s">
        <v>210</v>
      </c>
      <c r="D5" s="422">
        <f>SUM(D6:D11)</f>
        <v>1.8411168376395355E-3</v>
      </c>
      <c r="E5" s="422">
        <f>SUM(E6:E11)</f>
        <v>1.7832278619637982E-3</v>
      </c>
      <c r="F5" s="435" t="s">
        <v>210</v>
      </c>
      <c r="G5" s="422">
        <f>SUM(G6:G11)</f>
        <v>1.0878679409126484</v>
      </c>
      <c r="H5" s="422">
        <f>SUM(H6:H11)</f>
        <v>0.17629294744620178</v>
      </c>
      <c r="I5" s="437" t="s">
        <v>210</v>
      </c>
      <c r="J5" s="437" t="s">
        <v>210</v>
      </c>
      <c r="K5" s="437" t="s">
        <v>210</v>
      </c>
      <c r="L5" s="437" t="s">
        <v>210</v>
      </c>
      <c r="M5" s="422">
        <f>SUM(M6:M11)</f>
        <v>7.4378960408634079E-2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1.5013757678921297E-4</v>
      </c>
      <c r="C6" s="423"/>
      <c r="D6" s="890">
        <f>vkm_GW_PW*SUMIFS(TableVerdeelsleutelVkm[CNG],TableVerdeelsleutelVkm[Voertuigtype],"Lichte voertuigen")*SUMIFS(TableECFTransport[EnergieConsumptieFactor (PJ per km)],TableECFTransport[Index],CONCATENATE($A6,"_CNG_CNG"))</f>
        <v>4.8365355087850569E-4</v>
      </c>
      <c r="E6" s="890">
        <f>vkm_GW_PW*SUMIFS(TableVerdeelsleutelVkm[LPG],TableVerdeelsleutelVkm[Voertuigtype],"Lichte voertuigen")*SUMIFS(TableECFTransport[EnergieConsumptieFactor (PJ per km)],TableECFTransport[Index],CONCATENATE($A6,"_LPG_LPG"))</f>
        <v>4.1360920279322373E-4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0.13361622106987406</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4.5308441094894382E-2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1.0701785160348185E-2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9.44334316953859E-2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1.3503132826903059E-6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5.4433702393903594E-3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5.5670380370881901E-5</v>
      </c>
      <c r="C8" s="423"/>
      <c r="D8" s="425">
        <f>vkm_NGW_PW*SUMIFS(TableVerdeelsleutelVkm[CNG],TableVerdeelsleutelVkm[Voertuigtype],"Lichte voertuigen")*SUMIFS(TableECFTransport[EnergieConsumptieFactor (PJ per km)],TableECFTransport[Index],CONCATENATE($A8,"_CNG_CNG"))</f>
        <v>3.0384703514506274E-4</v>
      </c>
      <c r="E8" s="425">
        <f>vkm_NGW_PW*SUMIFS(TableVerdeelsleutelVkm[LPG],TableVerdeelsleutelVkm[Voertuigtype],"Lichte voertuigen")*SUMIFS(TableECFTransport[EnergieConsumptieFactor (PJ per km)],TableECFTransport[Index],CONCATENATE($A8,"_LPG_LPG"))</f>
        <v>2.468936050309826E-4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7.4529800203222515E-2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2.7988517848724075E-2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6.1491752002986542E-3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2.5406723024826668E-2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4.6062025452936211E-7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1.4645110958849859E-3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3.2629652635634133E-4</v>
      </c>
      <c r="C10" s="423"/>
      <c r="D10" s="425">
        <f>vkm_SW_PW*SUMIFS(TableVerdeelsleutelVkm[CNG],TableVerdeelsleutelVkm[Voertuigtype],"Lichte voertuigen")*SUMIFS(TableECFTransport[EnergieConsumptieFactor (PJ per km)],TableECFTransport[Index],CONCATENATE($A10,"_CNG_CNG"))</f>
        <v>1.0536162516159671E-3</v>
      </c>
      <c r="E10" s="425">
        <f>vkm_SW_PW*SUMIFS(TableVerdeelsleutelVkm[LPG],TableVerdeelsleutelVkm[Voertuigtype],"Lichte voertuigen")*SUMIFS(TableECFTransport[EnergieConsumptieFactor (PJ per km)],TableECFTransport[Index],CONCATENATE($A10,"_LPG_LPG"))</f>
        <v>1.1227250541395919E-3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0.32315952546457621</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0.10298750505475314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2.5446369615838925E-2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0.43672223945476296</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6.6725142929447727E-6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2.5173749096872977E-2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147.80680097678783</v>
      </c>
      <c r="C14" s="21"/>
      <c r="D14" s="21">
        <f t="shared" ref="D14:M14" si="0">((D5)*10^9/3600)+D12</f>
        <v>511.42134378875988</v>
      </c>
      <c r="E14" s="21">
        <f t="shared" si="0"/>
        <v>495.3410727677217</v>
      </c>
      <c r="F14" s="21"/>
      <c r="G14" s="21">
        <f t="shared" si="0"/>
        <v>302185.53914240235</v>
      </c>
      <c r="H14" s="21">
        <f t="shared" si="0"/>
        <v>48970.263179500493</v>
      </c>
      <c r="I14" s="21"/>
      <c r="J14" s="21"/>
      <c r="K14" s="21"/>
      <c r="L14" s="21"/>
      <c r="M14" s="21">
        <f t="shared" si="0"/>
        <v>20660.822335731689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0.19743867883835114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29.182779508180097</v>
      </c>
      <c r="C18" s="23"/>
      <c r="D18" s="23">
        <f t="shared" ref="D18:M18" si="1">D14*D16</f>
        <v>103.3071114453295</v>
      </c>
      <c r="E18" s="23">
        <f t="shared" si="1"/>
        <v>112.44242351827283</v>
      </c>
      <c r="F18" s="23"/>
      <c r="G18" s="23">
        <f t="shared" si="1"/>
        <v>80683.53895102143</v>
      </c>
      <c r="H18" s="23">
        <f t="shared" si="1"/>
        <v>12193.595531695622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6.6695393896937551E-3</v>
      </c>
      <c r="H50" s="319">
        <f t="shared" si="2"/>
        <v>0</v>
      </c>
      <c r="I50" s="319">
        <f t="shared" si="2"/>
        <v>0</v>
      </c>
      <c r="J50" s="319">
        <f t="shared" si="2"/>
        <v>0</v>
      </c>
      <c r="K50" s="319">
        <f t="shared" si="2"/>
        <v>0</v>
      </c>
      <c r="L50" s="319">
        <f t="shared" si="2"/>
        <v>0</v>
      </c>
      <c r="M50" s="319">
        <f t="shared" si="2"/>
        <v>3.7063541611244519E-4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6.6695393896937551E-3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3.7063541611244519E-4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1852.6498304704874</v>
      </c>
      <c r="H54" s="21">
        <f t="shared" si="3"/>
        <v>0</v>
      </c>
      <c r="I54" s="21">
        <f t="shared" si="3"/>
        <v>0</v>
      </c>
      <c r="J54" s="21">
        <f t="shared" si="3"/>
        <v>0</v>
      </c>
      <c r="K54" s="21">
        <f t="shared" si="3"/>
        <v>0</v>
      </c>
      <c r="L54" s="21">
        <f t="shared" si="3"/>
        <v>0</v>
      </c>
      <c r="M54" s="21">
        <f t="shared" si="3"/>
        <v>102.954282253457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0.19743867883835114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494.65750473562014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78879.097899</v>
      </c>
      <c r="D10" s="686">
        <f ca="1">tertiair!C16</f>
        <v>0</v>
      </c>
      <c r="E10" s="686">
        <f ca="1">tertiair!D16</f>
        <v>111537.13390910198</v>
      </c>
      <c r="F10" s="686">
        <f>tertiair!E16</f>
        <v>1242.681002671723</v>
      </c>
      <c r="G10" s="686">
        <f ca="1">tertiair!F16</f>
        <v>8523.2276331554258</v>
      </c>
      <c r="H10" s="686">
        <f>tertiair!G16</f>
        <v>0</v>
      </c>
      <c r="I10" s="686">
        <f>tertiair!H16</f>
        <v>0</v>
      </c>
      <c r="J10" s="686">
        <f>tertiair!I16</f>
        <v>0</v>
      </c>
      <c r="K10" s="686">
        <f>tertiair!J16</f>
        <v>0.13871900060442838</v>
      </c>
      <c r="L10" s="686">
        <f>tertiair!K16</f>
        <v>0</v>
      </c>
      <c r="M10" s="686">
        <f ca="1">tertiair!L16</f>
        <v>0</v>
      </c>
      <c r="N10" s="686">
        <f>tertiair!M16</f>
        <v>0</v>
      </c>
      <c r="O10" s="686">
        <f ca="1">tertiair!N16</f>
        <v>5453.0556138704005</v>
      </c>
      <c r="P10" s="686">
        <f>tertiair!O16</f>
        <v>48.972607658411548</v>
      </c>
      <c r="Q10" s="687">
        <f>tertiair!P16</f>
        <v>788.08707459742516</v>
      </c>
      <c r="R10" s="689">
        <f ca="1">SUM(C10:Q10)</f>
        <v>206472.39445905597</v>
      </c>
      <c r="S10" s="67"/>
    </row>
    <row r="11" spans="1:19" s="448" customFormat="1">
      <c r="A11" s="808" t="s">
        <v>224</v>
      </c>
      <c r="B11" s="813"/>
      <c r="C11" s="686">
        <f>huishoudens!B8</f>
        <v>65879.721905089114</v>
      </c>
      <c r="D11" s="686">
        <f>huishoudens!C8</f>
        <v>0</v>
      </c>
      <c r="E11" s="686">
        <f>huishoudens!D8</f>
        <v>128590.43170914598</v>
      </c>
      <c r="F11" s="686">
        <f>huishoudens!E8</f>
        <v>21378.137402346896</v>
      </c>
      <c r="G11" s="686">
        <f>huishoudens!F8</f>
        <v>33747.880814480312</v>
      </c>
      <c r="H11" s="686">
        <f>huishoudens!G8</f>
        <v>0</v>
      </c>
      <c r="I11" s="686">
        <f>huishoudens!H8</f>
        <v>0</v>
      </c>
      <c r="J11" s="686">
        <f>huishoudens!I8</f>
        <v>0</v>
      </c>
      <c r="K11" s="686">
        <f>huishoudens!J8</f>
        <v>0</v>
      </c>
      <c r="L11" s="686">
        <f>huishoudens!K8</f>
        <v>0</v>
      </c>
      <c r="M11" s="686">
        <f>huishoudens!L8</f>
        <v>0</v>
      </c>
      <c r="N11" s="686">
        <f>huishoudens!M8</f>
        <v>0</v>
      </c>
      <c r="O11" s="686">
        <f>huishoudens!N8</f>
        <v>30411.366577576129</v>
      </c>
      <c r="P11" s="686">
        <f>huishoudens!O8</f>
        <v>976.10744393841969</v>
      </c>
      <c r="Q11" s="687">
        <f>huishoudens!P8</f>
        <v>969.12425630702205</v>
      </c>
      <c r="R11" s="689">
        <f>SUM(C11:Q11)</f>
        <v>281952.77010888391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253298.971972</v>
      </c>
      <c r="D13" s="686">
        <f>industrie!C18</f>
        <v>0</v>
      </c>
      <c r="E13" s="686">
        <f>industrie!D18</f>
        <v>200743.52518985601</v>
      </c>
      <c r="F13" s="686">
        <f>industrie!E18</f>
        <v>12260.627144120906</v>
      </c>
      <c r="G13" s="686">
        <f>industrie!F18</f>
        <v>44560.606355973432</v>
      </c>
      <c r="H13" s="686">
        <f>industrie!G18</f>
        <v>0</v>
      </c>
      <c r="I13" s="686">
        <f>industrie!H18</f>
        <v>0</v>
      </c>
      <c r="J13" s="686">
        <f>industrie!I18</f>
        <v>0</v>
      </c>
      <c r="K13" s="686">
        <f>industrie!J18</f>
        <v>1431.7950110691904</v>
      </c>
      <c r="L13" s="686">
        <f>industrie!K18</f>
        <v>0</v>
      </c>
      <c r="M13" s="686">
        <f>industrie!L18</f>
        <v>0</v>
      </c>
      <c r="N13" s="686">
        <f>industrie!M18</f>
        <v>0</v>
      </c>
      <c r="O13" s="686">
        <f>industrie!N18</f>
        <v>10792.970117122954</v>
      </c>
      <c r="P13" s="686">
        <f>industrie!O18</f>
        <v>0</v>
      </c>
      <c r="Q13" s="687">
        <f>industrie!P18</f>
        <v>0</v>
      </c>
      <c r="R13" s="689">
        <f>SUM(C13:Q13)</f>
        <v>523088.49579014257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398057.79177608911</v>
      </c>
      <c r="D16" s="722">
        <f t="shared" ref="D16:R16" ca="1" si="0">SUM(D9:D15)</f>
        <v>0</v>
      </c>
      <c r="E16" s="722">
        <f t="shared" ca="1" si="0"/>
        <v>440871.09080810397</v>
      </c>
      <c r="F16" s="722">
        <f t="shared" si="0"/>
        <v>34881.44554913952</v>
      </c>
      <c r="G16" s="722">
        <f t="shared" ca="1" si="0"/>
        <v>86831.714803609168</v>
      </c>
      <c r="H16" s="722">
        <f t="shared" si="0"/>
        <v>0</v>
      </c>
      <c r="I16" s="722">
        <f t="shared" si="0"/>
        <v>0</v>
      </c>
      <c r="J16" s="722">
        <f t="shared" si="0"/>
        <v>0</v>
      </c>
      <c r="K16" s="722">
        <f t="shared" si="0"/>
        <v>1431.9337300697948</v>
      </c>
      <c r="L16" s="722">
        <f t="shared" si="0"/>
        <v>0</v>
      </c>
      <c r="M16" s="722">
        <f t="shared" ca="1" si="0"/>
        <v>0</v>
      </c>
      <c r="N16" s="722">
        <f t="shared" si="0"/>
        <v>0</v>
      </c>
      <c r="O16" s="722">
        <f t="shared" ca="1" si="0"/>
        <v>46657.392308569484</v>
      </c>
      <c r="P16" s="722">
        <f t="shared" si="0"/>
        <v>1025.0800515968313</v>
      </c>
      <c r="Q16" s="722">
        <f t="shared" si="0"/>
        <v>1757.2113309044471</v>
      </c>
      <c r="R16" s="722">
        <f t="shared" ca="1" si="0"/>
        <v>1011513.6603580825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1852.6498304704874</v>
      </c>
      <c r="I19" s="686">
        <f>transport!H54</f>
        <v>0</v>
      </c>
      <c r="J19" s="686">
        <f>transport!I54</f>
        <v>0</v>
      </c>
      <c r="K19" s="686">
        <f>transport!J54</f>
        <v>0</v>
      </c>
      <c r="L19" s="686">
        <f>transport!K54</f>
        <v>0</v>
      </c>
      <c r="M19" s="686">
        <f>transport!L54</f>
        <v>0</v>
      </c>
      <c r="N19" s="686">
        <f>transport!M54</f>
        <v>102.954282253457</v>
      </c>
      <c r="O19" s="686">
        <f>transport!N54</f>
        <v>0</v>
      </c>
      <c r="P19" s="686">
        <f>transport!O54</f>
        <v>0</v>
      </c>
      <c r="Q19" s="687">
        <f>transport!P54</f>
        <v>0</v>
      </c>
      <c r="R19" s="689">
        <f>SUM(C19:Q19)</f>
        <v>1955.6041127239444</v>
      </c>
      <c r="S19" s="67"/>
    </row>
    <row r="20" spans="1:19" s="448" customFormat="1">
      <c r="A20" s="808" t="s">
        <v>306</v>
      </c>
      <c r="B20" s="813"/>
      <c r="C20" s="686">
        <f>transport!B14</f>
        <v>147.80680097678783</v>
      </c>
      <c r="D20" s="686">
        <f>transport!C14</f>
        <v>0</v>
      </c>
      <c r="E20" s="686">
        <f>transport!D14</f>
        <v>511.42134378875988</v>
      </c>
      <c r="F20" s="686">
        <f>transport!E14</f>
        <v>495.3410727677217</v>
      </c>
      <c r="G20" s="686">
        <f>transport!F14</f>
        <v>0</v>
      </c>
      <c r="H20" s="686">
        <f>transport!G14</f>
        <v>302185.53914240235</v>
      </c>
      <c r="I20" s="686">
        <f>transport!H14</f>
        <v>48970.263179500493</v>
      </c>
      <c r="J20" s="686">
        <f>transport!I14</f>
        <v>0</v>
      </c>
      <c r="K20" s="686">
        <f>transport!J14</f>
        <v>0</v>
      </c>
      <c r="L20" s="686">
        <f>transport!K14</f>
        <v>0</v>
      </c>
      <c r="M20" s="686">
        <f>transport!L14</f>
        <v>0</v>
      </c>
      <c r="N20" s="686">
        <f>transport!M14</f>
        <v>20660.822335731689</v>
      </c>
      <c r="O20" s="686">
        <f>transport!N14</f>
        <v>0</v>
      </c>
      <c r="P20" s="686">
        <f>transport!O14</f>
        <v>0</v>
      </c>
      <c r="Q20" s="687">
        <f>transport!P14</f>
        <v>0</v>
      </c>
      <c r="R20" s="689">
        <f>SUM(C20:Q20)</f>
        <v>372971.19387516781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147.80680097678783</v>
      </c>
      <c r="D22" s="811">
        <f t="shared" ref="D22:R22" si="1">SUM(D18:D21)</f>
        <v>0</v>
      </c>
      <c r="E22" s="811">
        <f t="shared" si="1"/>
        <v>511.42134378875988</v>
      </c>
      <c r="F22" s="811">
        <f t="shared" si="1"/>
        <v>495.3410727677217</v>
      </c>
      <c r="G22" s="811">
        <f t="shared" si="1"/>
        <v>0</v>
      </c>
      <c r="H22" s="811">
        <f t="shared" si="1"/>
        <v>304038.18897287286</v>
      </c>
      <c r="I22" s="811">
        <f t="shared" si="1"/>
        <v>48970.263179500493</v>
      </c>
      <c r="J22" s="811">
        <f t="shared" si="1"/>
        <v>0</v>
      </c>
      <c r="K22" s="811">
        <f t="shared" si="1"/>
        <v>0</v>
      </c>
      <c r="L22" s="811">
        <f t="shared" si="1"/>
        <v>0</v>
      </c>
      <c r="M22" s="811">
        <f t="shared" si="1"/>
        <v>0</v>
      </c>
      <c r="N22" s="811">
        <f t="shared" si="1"/>
        <v>20763.776617985146</v>
      </c>
      <c r="O22" s="811">
        <f t="shared" si="1"/>
        <v>0</v>
      </c>
      <c r="P22" s="811">
        <f t="shared" si="1"/>
        <v>0</v>
      </c>
      <c r="Q22" s="811">
        <f t="shared" si="1"/>
        <v>0</v>
      </c>
      <c r="R22" s="811">
        <f t="shared" si="1"/>
        <v>374926.79798789177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1568.6263760000002</v>
      </c>
      <c r="D24" s="686">
        <f>+landbouw!C8</f>
        <v>0</v>
      </c>
      <c r="E24" s="686">
        <f>+landbouw!D8</f>
        <v>1624.822536524</v>
      </c>
      <c r="F24" s="686">
        <f>+landbouw!E8</f>
        <v>48.956311925795596</v>
      </c>
      <c r="G24" s="686">
        <f>+landbouw!F8</f>
        <v>5543.6993805263746</v>
      </c>
      <c r="H24" s="686">
        <f>+landbouw!G8</f>
        <v>0</v>
      </c>
      <c r="I24" s="686">
        <f>+landbouw!H8</f>
        <v>0</v>
      </c>
      <c r="J24" s="686">
        <f>+landbouw!I8</f>
        <v>0</v>
      </c>
      <c r="K24" s="686">
        <f>+landbouw!J8</f>
        <v>432.16744491658056</v>
      </c>
      <c r="L24" s="686">
        <f>+landbouw!K8</f>
        <v>0</v>
      </c>
      <c r="M24" s="686">
        <f>+landbouw!L8</f>
        <v>0</v>
      </c>
      <c r="N24" s="686">
        <f>+landbouw!M8</f>
        <v>0</v>
      </c>
      <c r="O24" s="686">
        <f>+landbouw!N8</f>
        <v>0</v>
      </c>
      <c r="P24" s="686">
        <f>+landbouw!O8</f>
        <v>0</v>
      </c>
      <c r="Q24" s="687">
        <f>+landbouw!P8</f>
        <v>0</v>
      </c>
      <c r="R24" s="689">
        <f>SUM(C24:Q24)</f>
        <v>9218.2720498927501</v>
      </c>
      <c r="S24" s="67"/>
    </row>
    <row r="25" spans="1:19" s="448" customFormat="1" ht="15" thickBot="1">
      <c r="A25" s="830" t="s">
        <v>724</v>
      </c>
      <c r="B25" s="949"/>
      <c r="C25" s="950">
        <f>IF(Onbekend_ele_kWh="---",0,Onbekend_ele_kWh)/1000+IF(REST_rest_ele_kWh="---",0,REST_rest_ele_kWh)/1000</f>
        <v>2761.9356949999997</v>
      </c>
      <c r="D25" s="950"/>
      <c r="E25" s="950">
        <f>IF(onbekend_gas_kWh="---",0,onbekend_gas_kWh)/1000+IF(REST_rest_gas_kWh="---",0,REST_rest_gas_kWh)/1000</f>
        <v>3919.5083849999996</v>
      </c>
      <c r="F25" s="950"/>
      <c r="G25" s="950"/>
      <c r="H25" s="950"/>
      <c r="I25" s="950"/>
      <c r="J25" s="950"/>
      <c r="K25" s="950"/>
      <c r="L25" s="950"/>
      <c r="M25" s="950"/>
      <c r="N25" s="950"/>
      <c r="O25" s="950"/>
      <c r="P25" s="950"/>
      <c r="Q25" s="951"/>
      <c r="R25" s="689">
        <f>SUM(C25:Q25)</f>
        <v>6681.4440799999993</v>
      </c>
      <c r="S25" s="67"/>
    </row>
    <row r="26" spans="1:19" s="448" customFormat="1" ht="15.75" thickBot="1">
      <c r="A26" s="694" t="s">
        <v>725</v>
      </c>
      <c r="B26" s="816"/>
      <c r="C26" s="811">
        <f>SUM(C24:C25)</f>
        <v>4330.5620710000003</v>
      </c>
      <c r="D26" s="811">
        <f t="shared" ref="D26:R26" si="2">SUM(D24:D25)</f>
        <v>0</v>
      </c>
      <c r="E26" s="811">
        <f t="shared" si="2"/>
        <v>5544.3309215239997</v>
      </c>
      <c r="F26" s="811">
        <f t="shared" si="2"/>
        <v>48.956311925795596</v>
      </c>
      <c r="G26" s="811">
        <f t="shared" si="2"/>
        <v>5543.6993805263746</v>
      </c>
      <c r="H26" s="811">
        <f t="shared" si="2"/>
        <v>0</v>
      </c>
      <c r="I26" s="811">
        <f t="shared" si="2"/>
        <v>0</v>
      </c>
      <c r="J26" s="811">
        <f t="shared" si="2"/>
        <v>0</v>
      </c>
      <c r="K26" s="811">
        <f t="shared" si="2"/>
        <v>432.16744491658056</v>
      </c>
      <c r="L26" s="811">
        <f t="shared" si="2"/>
        <v>0</v>
      </c>
      <c r="M26" s="811">
        <f t="shared" si="2"/>
        <v>0</v>
      </c>
      <c r="N26" s="811">
        <f t="shared" si="2"/>
        <v>0</v>
      </c>
      <c r="O26" s="811">
        <f t="shared" si="2"/>
        <v>0</v>
      </c>
      <c r="P26" s="811">
        <f t="shared" si="2"/>
        <v>0</v>
      </c>
      <c r="Q26" s="811">
        <f t="shared" si="2"/>
        <v>0</v>
      </c>
      <c r="R26" s="811">
        <f t="shared" si="2"/>
        <v>15899.716129892749</v>
      </c>
      <c r="S26" s="67"/>
    </row>
    <row r="27" spans="1:19" s="448" customFormat="1" ht="17.25" thickTop="1" thickBot="1">
      <c r="A27" s="695" t="s">
        <v>115</v>
      </c>
      <c r="B27" s="803"/>
      <c r="C27" s="696">
        <f ca="1">C22+C16+C26</f>
        <v>402536.16064806591</v>
      </c>
      <c r="D27" s="696">
        <f t="shared" ref="D27:R27" ca="1" si="3">D22+D16+D26</f>
        <v>0</v>
      </c>
      <c r="E27" s="696">
        <f t="shared" ca="1" si="3"/>
        <v>446926.84307341668</v>
      </c>
      <c r="F27" s="696">
        <f t="shared" si="3"/>
        <v>35425.742933833033</v>
      </c>
      <c r="G27" s="696">
        <f t="shared" ca="1" si="3"/>
        <v>92375.414184135545</v>
      </c>
      <c r="H27" s="696">
        <f t="shared" si="3"/>
        <v>304038.18897287286</v>
      </c>
      <c r="I27" s="696">
        <f t="shared" si="3"/>
        <v>48970.263179500493</v>
      </c>
      <c r="J27" s="696">
        <f t="shared" si="3"/>
        <v>0</v>
      </c>
      <c r="K27" s="696">
        <f t="shared" si="3"/>
        <v>1864.1011749863753</v>
      </c>
      <c r="L27" s="696">
        <f t="shared" si="3"/>
        <v>0</v>
      </c>
      <c r="M27" s="696">
        <f t="shared" ca="1" si="3"/>
        <v>0</v>
      </c>
      <c r="N27" s="696">
        <f t="shared" si="3"/>
        <v>20763.776617985146</v>
      </c>
      <c r="O27" s="696">
        <f t="shared" ca="1" si="3"/>
        <v>46657.392308569484</v>
      </c>
      <c r="P27" s="696">
        <f t="shared" si="3"/>
        <v>1025.0800515968313</v>
      </c>
      <c r="Q27" s="696">
        <f t="shared" si="3"/>
        <v>1757.2113309044471</v>
      </c>
      <c r="R27" s="696">
        <f t="shared" ca="1" si="3"/>
        <v>1402340.1744758671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15573.784877139518</v>
      </c>
      <c r="D40" s="686">
        <f ca="1">tertiair!C20</f>
        <v>0</v>
      </c>
      <c r="E40" s="686">
        <f ca="1">tertiair!D20</f>
        <v>22530.501049638602</v>
      </c>
      <c r="F40" s="686">
        <f>tertiair!E20</f>
        <v>282.08858760648116</v>
      </c>
      <c r="G40" s="686">
        <f ca="1">tertiair!F20</f>
        <v>2275.7017780524989</v>
      </c>
      <c r="H40" s="686">
        <f>tertiair!G20</f>
        <v>0</v>
      </c>
      <c r="I40" s="686">
        <f>tertiair!H20</f>
        <v>0</v>
      </c>
      <c r="J40" s="686">
        <f>tertiair!I20</f>
        <v>0</v>
      </c>
      <c r="K40" s="686">
        <f>tertiair!J20</f>
        <v>4.910652621396764E-2</v>
      </c>
      <c r="L40" s="686">
        <f>tertiair!K20</f>
        <v>0</v>
      </c>
      <c r="M40" s="686">
        <f ca="1">tertiair!L20</f>
        <v>0</v>
      </c>
      <c r="N40" s="686">
        <f>tertiair!M20</f>
        <v>0</v>
      </c>
      <c r="O40" s="686">
        <f ca="1">tertiair!N20</f>
        <v>0</v>
      </c>
      <c r="P40" s="686">
        <f>tertiair!O20</f>
        <v>0</v>
      </c>
      <c r="Q40" s="769">
        <f>tertiair!P20</f>
        <v>0</v>
      </c>
      <c r="R40" s="849">
        <f t="shared" ca="1" si="4"/>
        <v>40662.125398963304</v>
      </c>
    </row>
    <row r="41" spans="1:18">
      <c r="A41" s="821" t="s">
        <v>224</v>
      </c>
      <c r="B41" s="828"/>
      <c r="C41" s="686">
        <f ca="1">huishoudens!B12</f>
        <v>13007.205255178776</v>
      </c>
      <c r="D41" s="686">
        <f ca="1">huishoudens!C12</f>
        <v>0</v>
      </c>
      <c r="E41" s="686">
        <f>huishoudens!D12</f>
        <v>25975.267205247488</v>
      </c>
      <c r="F41" s="686">
        <f>huishoudens!E12</f>
        <v>4852.8371903327452</v>
      </c>
      <c r="G41" s="686">
        <f>huishoudens!F12</f>
        <v>9010.6841774662444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52845.993828225255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50011.014377264219</v>
      </c>
      <c r="D43" s="686">
        <f ca="1">industrie!C22</f>
        <v>0</v>
      </c>
      <c r="E43" s="686">
        <f>industrie!D22</f>
        <v>40550.192088350916</v>
      </c>
      <c r="F43" s="686">
        <f>industrie!E22</f>
        <v>2783.162361715446</v>
      </c>
      <c r="G43" s="686">
        <f>industrie!F22</f>
        <v>11897.681897044908</v>
      </c>
      <c r="H43" s="686">
        <f>industrie!G22</f>
        <v>0</v>
      </c>
      <c r="I43" s="686">
        <f>industrie!H22</f>
        <v>0</v>
      </c>
      <c r="J43" s="686">
        <f>industrie!I22</f>
        <v>0</v>
      </c>
      <c r="K43" s="686">
        <f>industrie!J22</f>
        <v>506.85543391849336</v>
      </c>
      <c r="L43" s="686">
        <f>industrie!K22</f>
        <v>0</v>
      </c>
      <c r="M43" s="686">
        <f>industrie!L22</f>
        <v>0</v>
      </c>
      <c r="N43" s="686">
        <f>industrie!M22</f>
        <v>0</v>
      </c>
      <c r="O43" s="686">
        <f>industrie!N22</f>
        <v>0</v>
      </c>
      <c r="P43" s="686">
        <f>industrie!O22</f>
        <v>0</v>
      </c>
      <c r="Q43" s="769">
        <f>industrie!P22</f>
        <v>0</v>
      </c>
      <c r="R43" s="848">
        <f t="shared" ca="1" si="4"/>
        <v>105748.90615829398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78592.004509582504</v>
      </c>
      <c r="D46" s="722">
        <f t="shared" ref="D46:Q46" ca="1" si="5">SUM(D39:D45)</f>
        <v>0</v>
      </c>
      <c r="E46" s="722">
        <f t="shared" ca="1" si="5"/>
        <v>89055.960343237006</v>
      </c>
      <c r="F46" s="722">
        <f t="shared" si="5"/>
        <v>7918.088139654672</v>
      </c>
      <c r="G46" s="722">
        <f t="shared" ca="1" si="5"/>
        <v>23184.06785256365</v>
      </c>
      <c r="H46" s="722">
        <f t="shared" si="5"/>
        <v>0</v>
      </c>
      <c r="I46" s="722">
        <f t="shared" si="5"/>
        <v>0</v>
      </c>
      <c r="J46" s="722">
        <f t="shared" si="5"/>
        <v>0</v>
      </c>
      <c r="K46" s="722">
        <f t="shared" si="5"/>
        <v>506.90454044470732</v>
      </c>
      <c r="L46" s="722">
        <f t="shared" si="5"/>
        <v>0</v>
      </c>
      <c r="M46" s="722">
        <f t="shared" ca="1" si="5"/>
        <v>0</v>
      </c>
      <c r="N46" s="722">
        <f t="shared" si="5"/>
        <v>0</v>
      </c>
      <c r="O46" s="722">
        <f t="shared" ca="1" si="5"/>
        <v>0</v>
      </c>
      <c r="P46" s="722">
        <f t="shared" si="5"/>
        <v>0</v>
      </c>
      <c r="Q46" s="722">
        <f t="shared" si="5"/>
        <v>0</v>
      </c>
      <c r="R46" s="722">
        <f ca="1">SUM(R39:R45)</f>
        <v>199257.02538548253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494.65750473562014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494.65750473562014</v>
      </c>
    </row>
    <row r="50" spans="1:18">
      <c r="A50" s="824" t="s">
        <v>306</v>
      </c>
      <c r="B50" s="834"/>
      <c r="C50" s="692">
        <f ca="1">transport!B18</f>
        <v>29.182779508180097</v>
      </c>
      <c r="D50" s="692">
        <f>transport!C18</f>
        <v>0</v>
      </c>
      <c r="E50" s="692">
        <f>transport!D18</f>
        <v>103.3071114453295</v>
      </c>
      <c r="F50" s="692">
        <f>transport!E18</f>
        <v>112.44242351827283</v>
      </c>
      <c r="G50" s="692">
        <f>transport!F18</f>
        <v>0</v>
      </c>
      <c r="H50" s="692">
        <f>transport!G18</f>
        <v>80683.53895102143</v>
      </c>
      <c r="I50" s="692">
        <f>transport!H18</f>
        <v>12193.595531695622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93122.066797188832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29.182779508180097</v>
      </c>
      <c r="D52" s="722">
        <f t="shared" ref="D52:Q52" ca="1" si="6">SUM(D48:D51)</f>
        <v>0</v>
      </c>
      <c r="E52" s="722">
        <f t="shared" si="6"/>
        <v>103.3071114453295</v>
      </c>
      <c r="F52" s="722">
        <f t="shared" si="6"/>
        <v>112.44242351827283</v>
      </c>
      <c r="G52" s="722">
        <f t="shared" si="6"/>
        <v>0</v>
      </c>
      <c r="H52" s="722">
        <f t="shared" si="6"/>
        <v>81178.196455757046</v>
      </c>
      <c r="I52" s="722">
        <f t="shared" si="6"/>
        <v>12193.595531695622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93616.724301924449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309.7075192684307</v>
      </c>
      <c r="D54" s="692">
        <f ca="1">+landbouw!C12</f>
        <v>0</v>
      </c>
      <c r="E54" s="692">
        <f>+landbouw!D12</f>
        <v>328.21415237784805</v>
      </c>
      <c r="F54" s="692">
        <f>+landbouw!E12</f>
        <v>11.113082807155601</v>
      </c>
      <c r="G54" s="692">
        <f>+landbouw!F12</f>
        <v>1480.1677346005422</v>
      </c>
      <c r="H54" s="692">
        <f>+landbouw!G12</f>
        <v>0</v>
      </c>
      <c r="I54" s="692">
        <f>+landbouw!H12</f>
        <v>0</v>
      </c>
      <c r="J54" s="692">
        <f>+landbouw!I12</f>
        <v>0</v>
      </c>
      <c r="K54" s="692">
        <f>+landbouw!J12</f>
        <v>152.98727550046951</v>
      </c>
      <c r="L54" s="692">
        <f>+landbouw!K12</f>
        <v>0</v>
      </c>
      <c r="M54" s="692">
        <f>+landbouw!L12</f>
        <v>0</v>
      </c>
      <c r="N54" s="692">
        <f>+landbouw!M12</f>
        <v>0</v>
      </c>
      <c r="O54" s="692">
        <f>+landbouw!N12</f>
        <v>0</v>
      </c>
      <c r="P54" s="692">
        <f>+landbouw!O12</f>
        <v>0</v>
      </c>
      <c r="Q54" s="693">
        <f>+landbouw!P12</f>
        <v>0</v>
      </c>
      <c r="R54" s="721">
        <f ca="1">SUM(C54:Q54)</f>
        <v>2282.1897645544459</v>
      </c>
    </row>
    <row r="55" spans="1:18" ht="15" thickBot="1">
      <c r="A55" s="824" t="s">
        <v>724</v>
      </c>
      <c r="B55" s="834"/>
      <c r="C55" s="692">
        <f ca="1">C25*'EF ele_warmte'!B12</f>
        <v>545.31293465728311</v>
      </c>
      <c r="D55" s="692"/>
      <c r="E55" s="692">
        <f>E25*EF_CO2_aardgas</f>
        <v>791.74069377000001</v>
      </c>
      <c r="F55" s="692"/>
      <c r="G55" s="692"/>
      <c r="H55" s="692"/>
      <c r="I55" s="692"/>
      <c r="J55" s="692"/>
      <c r="K55" s="692"/>
      <c r="L55" s="692"/>
      <c r="M55" s="692"/>
      <c r="N55" s="692"/>
      <c r="O55" s="692"/>
      <c r="P55" s="692"/>
      <c r="Q55" s="693"/>
      <c r="R55" s="721">
        <f ca="1">SUM(C55:Q55)</f>
        <v>1337.053628427283</v>
      </c>
    </row>
    <row r="56" spans="1:18" ht="15.75" thickBot="1">
      <c r="A56" s="822" t="s">
        <v>725</v>
      </c>
      <c r="B56" s="835"/>
      <c r="C56" s="722">
        <f ca="1">SUM(C54:C55)</f>
        <v>855.02045392571381</v>
      </c>
      <c r="D56" s="722">
        <f t="shared" ref="D56:Q56" ca="1" si="7">SUM(D54:D55)</f>
        <v>0</v>
      </c>
      <c r="E56" s="722">
        <f t="shared" si="7"/>
        <v>1119.954846147848</v>
      </c>
      <c r="F56" s="722">
        <f t="shared" si="7"/>
        <v>11.113082807155601</v>
      </c>
      <c r="G56" s="722">
        <f t="shared" si="7"/>
        <v>1480.1677346005422</v>
      </c>
      <c r="H56" s="722">
        <f t="shared" si="7"/>
        <v>0</v>
      </c>
      <c r="I56" s="722">
        <f t="shared" si="7"/>
        <v>0</v>
      </c>
      <c r="J56" s="722">
        <f t="shared" si="7"/>
        <v>0</v>
      </c>
      <c r="K56" s="722">
        <f t="shared" si="7"/>
        <v>152.98727550046951</v>
      </c>
      <c r="L56" s="722">
        <f t="shared" si="7"/>
        <v>0</v>
      </c>
      <c r="M56" s="722">
        <f t="shared" si="7"/>
        <v>0</v>
      </c>
      <c r="N56" s="722">
        <f t="shared" si="7"/>
        <v>0</v>
      </c>
      <c r="O56" s="722">
        <f t="shared" si="7"/>
        <v>0</v>
      </c>
      <c r="P56" s="722">
        <f t="shared" si="7"/>
        <v>0</v>
      </c>
      <c r="Q56" s="723">
        <f t="shared" si="7"/>
        <v>0</v>
      </c>
      <c r="R56" s="724">
        <f ca="1">SUM(R54:R55)</f>
        <v>3619.2433929817289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79476.207743016392</v>
      </c>
      <c r="D61" s="730">
        <f t="shared" ref="D61:Q61" ca="1" si="8">D46+D52+D56</f>
        <v>0</v>
      </c>
      <c r="E61" s="730">
        <f t="shared" ca="1" si="8"/>
        <v>90279.222300830181</v>
      </c>
      <c r="F61" s="730">
        <f t="shared" si="8"/>
        <v>8041.6436459801007</v>
      </c>
      <c r="G61" s="730">
        <f t="shared" ca="1" si="8"/>
        <v>24664.235587164192</v>
      </c>
      <c r="H61" s="730">
        <f t="shared" si="8"/>
        <v>81178.196455757046</v>
      </c>
      <c r="I61" s="730">
        <f t="shared" si="8"/>
        <v>12193.595531695622</v>
      </c>
      <c r="J61" s="730">
        <f t="shared" si="8"/>
        <v>0</v>
      </c>
      <c r="K61" s="730">
        <f t="shared" si="8"/>
        <v>659.89181594517686</v>
      </c>
      <c r="L61" s="730">
        <f t="shared" si="8"/>
        <v>0</v>
      </c>
      <c r="M61" s="730">
        <f t="shared" ca="1" si="8"/>
        <v>0</v>
      </c>
      <c r="N61" s="730">
        <f t="shared" si="8"/>
        <v>0</v>
      </c>
      <c r="O61" s="730">
        <f t="shared" ca="1" si="8"/>
        <v>0</v>
      </c>
      <c r="P61" s="730">
        <f t="shared" si="8"/>
        <v>0</v>
      </c>
      <c r="Q61" s="730">
        <f t="shared" si="8"/>
        <v>0</v>
      </c>
      <c r="R61" s="730">
        <f ca="1">R46+R52+R56</f>
        <v>296492.9930803887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0.19743867883835112</v>
      </c>
      <c r="D63" s="776">
        <f t="shared" ca="1" si="9"/>
        <v>0</v>
      </c>
      <c r="E63" s="975">
        <f t="shared" ca="1" si="9"/>
        <v>0.20200000000000004</v>
      </c>
      <c r="F63" s="776">
        <f t="shared" si="9"/>
        <v>0.22700000000000006</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7075.5252828493603</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35839.785849305183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42915.311132154544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7075.5252828493603</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35839.785849305183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42915.311132154544</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65879.721905089114</v>
      </c>
      <c r="C4" s="452">
        <f>huishoudens!C8</f>
        <v>0</v>
      </c>
      <c r="D4" s="452">
        <f>huishoudens!D8</f>
        <v>128590.43170914598</v>
      </c>
      <c r="E4" s="452">
        <f>huishoudens!E8</f>
        <v>21378.137402346896</v>
      </c>
      <c r="F4" s="452">
        <f>huishoudens!F8</f>
        <v>33747.880814480312</v>
      </c>
      <c r="G4" s="452">
        <f>huishoudens!G8</f>
        <v>0</v>
      </c>
      <c r="H4" s="452">
        <f>huishoudens!H8</f>
        <v>0</v>
      </c>
      <c r="I4" s="452">
        <f>huishoudens!I8</f>
        <v>0</v>
      </c>
      <c r="J4" s="452">
        <f>huishoudens!J8</f>
        <v>0</v>
      </c>
      <c r="K4" s="452">
        <f>huishoudens!K8</f>
        <v>0</v>
      </c>
      <c r="L4" s="452">
        <f>huishoudens!L8</f>
        <v>0</v>
      </c>
      <c r="M4" s="452">
        <f>huishoudens!M8</f>
        <v>0</v>
      </c>
      <c r="N4" s="452">
        <f>huishoudens!N8</f>
        <v>30411.366577576129</v>
      </c>
      <c r="O4" s="452">
        <f>huishoudens!O8</f>
        <v>976.10744393841969</v>
      </c>
      <c r="P4" s="453">
        <f>huishoudens!P8</f>
        <v>969.12425630702205</v>
      </c>
      <c r="Q4" s="454">
        <f>SUM(B4:P4)</f>
        <v>281952.77010888391</v>
      </c>
    </row>
    <row r="5" spans="1:17">
      <c r="A5" s="451" t="s">
        <v>155</v>
      </c>
      <c r="B5" s="452">
        <f ca="1">tertiair!B16</f>
        <v>76124.290899</v>
      </c>
      <c r="C5" s="452">
        <f ca="1">tertiair!C16</f>
        <v>0</v>
      </c>
      <c r="D5" s="452">
        <f ca="1">tertiair!D16</f>
        <v>111537.13390910198</v>
      </c>
      <c r="E5" s="452">
        <f>tertiair!E16</f>
        <v>1242.681002671723</v>
      </c>
      <c r="F5" s="452">
        <f ca="1">tertiair!F16</f>
        <v>8523.2276331554258</v>
      </c>
      <c r="G5" s="452">
        <f>tertiair!G16</f>
        <v>0</v>
      </c>
      <c r="H5" s="452">
        <f>tertiair!H16</f>
        <v>0</v>
      </c>
      <c r="I5" s="452">
        <f>tertiair!I16</f>
        <v>0</v>
      </c>
      <c r="J5" s="452">
        <f>tertiair!J16</f>
        <v>0.13871900060442838</v>
      </c>
      <c r="K5" s="452">
        <f>tertiair!K16</f>
        <v>0</v>
      </c>
      <c r="L5" s="452">
        <f ca="1">tertiair!L16</f>
        <v>0</v>
      </c>
      <c r="M5" s="452">
        <f>tertiair!M16</f>
        <v>0</v>
      </c>
      <c r="N5" s="452">
        <f ca="1">tertiair!N16</f>
        <v>5453.0556138704005</v>
      </c>
      <c r="O5" s="452">
        <f>tertiair!O16</f>
        <v>48.972607658411548</v>
      </c>
      <c r="P5" s="453">
        <f>tertiair!P16</f>
        <v>788.08707459742516</v>
      </c>
      <c r="Q5" s="451">
        <f t="shared" ref="Q5:Q14" ca="1" si="0">SUM(B5:P5)</f>
        <v>203717.58745905594</v>
      </c>
    </row>
    <row r="6" spans="1:17">
      <c r="A6" s="451" t="s">
        <v>193</v>
      </c>
      <c r="B6" s="452">
        <f>'openbare verlichting'!B8</f>
        <v>2754.8069999999998</v>
      </c>
      <c r="C6" s="452"/>
      <c r="D6" s="452"/>
      <c r="E6" s="452"/>
      <c r="F6" s="452"/>
      <c r="G6" s="452"/>
      <c r="H6" s="452"/>
      <c r="I6" s="452"/>
      <c r="J6" s="452"/>
      <c r="K6" s="452"/>
      <c r="L6" s="452"/>
      <c r="M6" s="452"/>
      <c r="N6" s="452"/>
      <c r="O6" s="452"/>
      <c r="P6" s="453"/>
      <c r="Q6" s="451">
        <f t="shared" si="0"/>
        <v>2754.8069999999998</v>
      </c>
    </row>
    <row r="7" spans="1:17">
      <c r="A7" s="451" t="s">
        <v>111</v>
      </c>
      <c r="B7" s="452">
        <f>landbouw!B8</f>
        <v>1568.6263760000002</v>
      </c>
      <c r="C7" s="452">
        <f>landbouw!C8</f>
        <v>0</v>
      </c>
      <c r="D7" s="452">
        <f>landbouw!D8</f>
        <v>1624.822536524</v>
      </c>
      <c r="E7" s="452">
        <f>landbouw!E8</f>
        <v>48.956311925795596</v>
      </c>
      <c r="F7" s="452">
        <f>landbouw!F8</f>
        <v>5543.6993805263746</v>
      </c>
      <c r="G7" s="452">
        <f>landbouw!G8</f>
        <v>0</v>
      </c>
      <c r="H7" s="452">
        <f>landbouw!H8</f>
        <v>0</v>
      </c>
      <c r="I7" s="452">
        <f>landbouw!I8</f>
        <v>0</v>
      </c>
      <c r="J7" s="452">
        <f>landbouw!J8</f>
        <v>432.16744491658056</v>
      </c>
      <c r="K7" s="452">
        <f>landbouw!K8</f>
        <v>0</v>
      </c>
      <c r="L7" s="452">
        <f>landbouw!L8</f>
        <v>0</v>
      </c>
      <c r="M7" s="452">
        <f>landbouw!M8</f>
        <v>0</v>
      </c>
      <c r="N7" s="452">
        <f>landbouw!N8</f>
        <v>0</v>
      </c>
      <c r="O7" s="452">
        <f>landbouw!O8</f>
        <v>0</v>
      </c>
      <c r="P7" s="453">
        <f>landbouw!P8</f>
        <v>0</v>
      </c>
      <c r="Q7" s="451">
        <f t="shared" si="0"/>
        <v>9218.2720498927501</v>
      </c>
    </row>
    <row r="8" spans="1:17">
      <c r="A8" s="451" t="s">
        <v>625</v>
      </c>
      <c r="B8" s="452">
        <f>industrie!B18</f>
        <v>253298.971972</v>
      </c>
      <c r="C8" s="452">
        <f>industrie!C18</f>
        <v>0</v>
      </c>
      <c r="D8" s="452">
        <f>industrie!D18</f>
        <v>200743.52518985601</v>
      </c>
      <c r="E8" s="452">
        <f>industrie!E18</f>
        <v>12260.627144120906</v>
      </c>
      <c r="F8" s="452">
        <f>industrie!F18</f>
        <v>44560.606355973432</v>
      </c>
      <c r="G8" s="452">
        <f>industrie!G18</f>
        <v>0</v>
      </c>
      <c r="H8" s="452">
        <f>industrie!H18</f>
        <v>0</v>
      </c>
      <c r="I8" s="452">
        <f>industrie!I18</f>
        <v>0</v>
      </c>
      <c r="J8" s="452">
        <f>industrie!J18</f>
        <v>1431.7950110691904</v>
      </c>
      <c r="K8" s="452">
        <f>industrie!K18</f>
        <v>0</v>
      </c>
      <c r="L8" s="452">
        <f>industrie!L18</f>
        <v>0</v>
      </c>
      <c r="M8" s="452">
        <f>industrie!M18</f>
        <v>0</v>
      </c>
      <c r="N8" s="452">
        <f>industrie!N18</f>
        <v>10792.970117122954</v>
      </c>
      <c r="O8" s="452">
        <f>industrie!O18</f>
        <v>0</v>
      </c>
      <c r="P8" s="453">
        <f>industrie!P18</f>
        <v>0</v>
      </c>
      <c r="Q8" s="451">
        <f t="shared" si="0"/>
        <v>523088.49579014257</v>
      </c>
    </row>
    <row r="9" spans="1:17" s="457" customFormat="1">
      <c r="A9" s="455" t="s">
        <v>551</v>
      </c>
      <c r="B9" s="456">
        <f>transport!B14</f>
        <v>147.80680097678783</v>
      </c>
      <c r="C9" s="456">
        <f>transport!C14</f>
        <v>0</v>
      </c>
      <c r="D9" s="456">
        <f>transport!D14</f>
        <v>511.42134378875988</v>
      </c>
      <c r="E9" s="456">
        <f>transport!E14</f>
        <v>495.3410727677217</v>
      </c>
      <c r="F9" s="456">
        <f>transport!F14</f>
        <v>0</v>
      </c>
      <c r="G9" s="456">
        <f>transport!G14</f>
        <v>302185.53914240235</v>
      </c>
      <c r="H9" s="456">
        <f>transport!H14</f>
        <v>48970.263179500493</v>
      </c>
      <c r="I9" s="456">
        <f>transport!I14</f>
        <v>0</v>
      </c>
      <c r="J9" s="456">
        <f>transport!J14</f>
        <v>0</v>
      </c>
      <c r="K9" s="456">
        <f>transport!K14</f>
        <v>0</v>
      </c>
      <c r="L9" s="456">
        <f>transport!L14</f>
        <v>0</v>
      </c>
      <c r="M9" s="456">
        <f>transport!M14</f>
        <v>20660.822335731689</v>
      </c>
      <c r="N9" s="456">
        <f>transport!N14</f>
        <v>0</v>
      </c>
      <c r="O9" s="456">
        <f>transport!O14</f>
        <v>0</v>
      </c>
      <c r="P9" s="456">
        <f>transport!P14</f>
        <v>0</v>
      </c>
      <c r="Q9" s="455">
        <f>SUM(B9:P9)</f>
        <v>372971.19387516781</v>
      </c>
    </row>
    <row r="10" spans="1:17">
      <c r="A10" s="451" t="s">
        <v>541</v>
      </c>
      <c r="B10" s="452">
        <f>transport!B54</f>
        <v>0</v>
      </c>
      <c r="C10" s="452">
        <f>transport!C54</f>
        <v>0</v>
      </c>
      <c r="D10" s="452">
        <f>transport!D54</f>
        <v>0</v>
      </c>
      <c r="E10" s="452">
        <f>transport!E54</f>
        <v>0</v>
      </c>
      <c r="F10" s="452">
        <f>transport!F54</f>
        <v>0</v>
      </c>
      <c r="G10" s="452">
        <f>transport!G54</f>
        <v>1852.6498304704874</v>
      </c>
      <c r="H10" s="452">
        <f>transport!H54</f>
        <v>0</v>
      </c>
      <c r="I10" s="452">
        <f>transport!I54</f>
        <v>0</v>
      </c>
      <c r="J10" s="452">
        <f>transport!J54</f>
        <v>0</v>
      </c>
      <c r="K10" s="452">
        <f>transport!K54</f>
        <v>0</v>
      </c>
      <c r="L10" s="452">
        <f>transport!L54</f>
        <v>0</v>
      </c>
      <c r="M10" s="452">
        <f>transport!M54</f>
        <v>102.954282253457</v>
      </c>
      <c r="N10" s="452">
        <f>transport!N54</f>
        <v>0</v>
      </c>
      <c r="O10" s="452">
        <f>transport!O54</f>
        <v>0</v>
      </c>
      <c r="P10" s="453">
        <f>transport!P54</f>
        <v>0</v>
      </c>
      <c r="Q10" s="451">
        <f t="shared" si="0"/>
        <v>1955.6041127239444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2761.9356949999997</v>
      </c>
      <c r="C14" s="459"/>
      <c r="D14" s="459">
        <f>'SEAP template'!E25</f>
        <v>3919.5083849999996</v>
      </c>
      <c r="E14" s="459"/>
      <c r="F14" s="459"/>
      <c r="G14" s="459"/>
      <c r="H14" s="459"/>
      <c r="I14" s="459"/>
      <c r="J14" s="459"/>
      <c r="K14" s="459"/>
      <c r="L14" s="459"/>
      <c r="M14" s="459"/>
      <c r="N14" s="459"/>
      <c r="O14" s="459"/>
      <c r="P14" s="460"/>
      <c r="Q14" s="451">
        <f t="shared" si="0"/>
        <v>6681.4440799999993</v>
      </c>
    </row>
    <row r="15" spans="1:17" s="463" customFormat="1">
      <c r="A15" s="461" t="s">
        <v>545</v>
      </c>
      <c r="B15" s="462">
        <f ca="1">SUM(B4:B14)</f>
        <v>402536.16064806591</v>
      </c>
      <c r="C15" s="462">
        <f t="shared" ref="C15:Q15" ca="1" si="1">SUM(C4:C14)</f>
        <v>0</v>
      </c>
      <c r="D15" s="462">
        <f t="shared" ca="1" si="1"/>
        <v>446926.84307341668</v>
      </c>
      <c r="E15" s="462">
        <f t="shared" si="1"/>
        <v>35425.742933833033</v>
      </c>
      <c r="F15" s="462">
        <f t="shared" ca="1" si="1"/>
        <v>92375.414184135545</v>
      </c>
      <c r="G15" s="462">
        <f t="shared" si="1"/>
        <v>304038.18897287286</v>
      </c>
      <c r="H15" s="462">
        <f t="shared" si="1"/>
        <v>48970.263179500493</v>
      </c>
      <c r="I15" s="462">
        <f t="shared" si="1"/>
        <v>0</v>
      </c>
      <c r="J15" s="462">
        <f t="shared" si="1"/>
        <v>1864.1011749863756</v>
      </c>
      <c r="K15" s="462">
        <f t="shared" si="1"/>
        <v>0</v>
      </c>
      <c r="L15" s="462">
        <f t="shared" ca="1" si="1"/>
        <v>0</v>
      </c>
      <c r="M15" s="462">
        <f t="shared" si="1"/>
        <v>20763.776617985146</v>
      </c>
      <c r="N15" s="462">
        <f t="shared" ca="1" si="1"/>
        <v>46657.392308569484</v>
      </c>
      <c r="O15" s="462">
        <f t="shared" si="1"/>
        <v>1025.0800515968313</v>
      </c>
      <c r="P15" s="462">
        <f t="shared" si="1"/>
        <v>1757.2113309044471</v>
      </c>
      <c r="Q15" s="462">
        <f t="shared" ca="1" si="1"/>
        <v>1402340.1744758668</v>
      </c>
    </row>
    <row r="17" spans="1:17">
      <c r="A17" s="464" t="s">
        <v>546</v>
      </c>
      <c r="B17" s="781">
        <f ca="1">huishoudens!B10</f>
        <v>0.19743867883835114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13007.205255178776</v>
      </c>
      <c r="C22" s="452">
        <f t="shared" ref="C22:C32" ca="1" si="3">C4*$C$17</f>
        <v>0</v>
      </c>
      <c r="D22" s="452">
        <f t="shared" ref="D22:D32" si="4">D4*$D$17</f>
        <v>25975.267205247488</v>
      </c>
      <c r="E22" s="452">
        <f t="shared" ref="E22:E32" si="5">E4*$E$17</f>
        <v>4852.8371903327452</v>
      </c>
      <c r="F22" s="452">
        <f t="shared" ref="F22:F32" si="6">F4*$F$17</f>
        <v>9010.6841774662444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52845.993828225255</v>
      </c>
    </row>
    <row r="23" spans="1:17">
      <c r="A23" s="451" t="s">
        <v>155</v>
      </c>
      <c r="B23" s="452">
        <f t="shared" ca="1" si="2"/>
        <v>15029.879422604878</v>
      </c>
      <c r="C23" s="452">
        <f t="shared" ca="1" si="3"/>
        <v>0</v>
      </c>
      <c r="D23" s="452">
        <f t="shared" ca="1" si="4"/>
        <v>22530.501049638602</v>
      </c>
      <c r="E23" s="452">
        <f t="shared" si="5"/>
        <v>282.08858760648116</v>
      </c>
      <c r="F23" s="452">
        <f t="shared" ca="1" si="6"/>
        <v>2275.7017780524989</v>
      </c>
      <c r="G23" s="452">
        <f t="shared" si="7"/>
        <v>0</v>
      </c>
      <c r="H23" s="452">
        <f t="shared" si="8"/>
        <v>0</v>
      </c>
      <c r="I23" s="452">
        <f t="shared" si="9"/>
        <v>0</v>
      </c>
      <c r="J23" s="452">
        <f t="shared" si="10"/>
        <v>4.910652621396764E-2</v>
      </c>
      <c r="K23" s="452">
        <f t="shared" si="11"/>
        <v>0</v>
      </c>
      <c r="L23" s="452">
        <f t="shared" ca="1" si="12"/>
        <v>0</v>
      </c>
      <c r="M23" s="452">
        <f t="shared" si="13"/>
        <v>0</v>
      </c>
      <c r="N23" s="452">
        <f t="shared" ca="1" si="14"/>
        <v>0</v>
      </c>
      <c r="O23" s="452">
        <f t="shared" si="15"/>
        <v>0</v>
      </c>
      <c r="P23" s="453">
        <f t="shared" si="16"/>
        <v>0</v>
      </c>
      <c r="Q23" s="451">
        <f t="shared" ref="Q23:Q31" ca="1" si="17">SUM(B23:P23)</f>
        <v>40118.219944428667</v>
      </c>
    </row>
    <row r="24" spans="1:17">
      <c r="A24" s="451" t="s">
        <v>193</v>
      </c>
      <c r="B24" s="452">
        <f t="shared" ca="1" si="2"/>
        <v>543.90545453464154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543.90545453464154</v>
      </c>
    </row>
    <row r="25" spans="1:17">
      <c r="A25" s="451" t="s">
        <v>111</v>
      </c>
      <c r="B25" s="452">
        <f t="shared" ca="1" si="2"/>
        <v>309.7075192684307</v>
      </c>
      <c r="C25" s="452">
        <f t="shared" ca="1" si="3"/>
        <v>0</v>
      </c>
      <c r="D25" s="452">
        <f t="shared" si="4"/>
        <v>328.21415237784805</v>
      </c>
      <c r="E25" s="452">
        <f t="shared" si="5"/>
        <v>11.113082807155601</v>
      </c>
      <c r="F25" s="452">
        <f t="shared" si="6"/>
        <v>1480.1677346005422</v>
      </c>
      <c r="G25" s="452">
        <f t="shared" si="7"/>
        <v>0</v>
      </c>
      <c r="H25" s="452">
        <f t="shared" si="8"/>
        <v>0</v>
      </c>
      <c r="I25" s="452">
        <f t="shared" si="9"/>
        <v>0</v>
      </c>
      <c r="J25" s="452">
        <f t="shared" si="10"/>
        <v>152.98727550046951</v>
      </c>
      <c r="K25" s="452">
        <f t="shared" si="11"/>
        <v>0</v>
      </c>
      <c r="L25" s="452">
        <f t="shared" si="12"/>
        <v>0</v>
      </c>
      <c r="M25" s="452">
        <f t="shared" si="13"/>
        <v>0</v>
      </c>
      <c r="N25" s="452">
        <f t="shared" si="14"/>
        <v>0</v>
      </c>
      <c r="O25" s="452">
        <f t="shared" si="15"/>
        <v>0</v>
      </c>
      <c r="P25" s="453">
        <f t="shared" si="16"/>
        <v>0</v>
      </c>
      <c r="Q25" s="451">
        <f t="shared" ca="1" si="17"/>
        <v>2282.1897645544459</v>
      </c>
    </row>
    <row r="26" spans="1:17">
      <c r="A26" s="451" t="s">
        <v>625</v>
      </c>
      <c r="B26" s="452">
        <f t="shared" ca="1" si="2"/>
        <v>50011.014377264219</v>
      </c>
      <c r="C26" s="452">
        <f t="shared" ca="1" si="3"/>
        <v>0</v>
      </c>
      <c r="D26" s="452">
        <f t="shared" si="4"/>
        <v>40550.192088350916</v>
      </c>
      <c r="E26" s="452">
        <f t="shared" si="5"/>
        <v>2783.162361715446</v>
      </c>
      <c r="F26" s="452">
        <f t="shared" si="6"/>
        <v>11897.681897044908</v>
      </c>
      <c r="G26" s="452">
        <f t="shared" si="7"/>
        <v>0</v>
      </c>
      <c r="H26" s="452">
        <f t="shared" si="8"/>
        <v>0</v>
      </c>
      <c r="I26" s="452">
        <f t="shared" si="9"/>
        <v>0</v>
      </c>
      <c r="J26" s="452">
        <f t="shared" si="10"/>
        <v>506.85543391849336</v>
      </c>
      <c r="K26" s="452">
        <f t="shared" si="11"/>
        <v>0</v>
      </c>
      <c r="L26" s="452">
        <f t="shared" si="12"/>
        <v>0</v>
      </c>
      <c r="M26" s="452">
        <f t="shared" si="13"/>
        <v>0</v>
      </c>
      <c r="N26" s="452">
        <f t="shared" si="14"/>
        <v>0</v>
      </c>
      <c r="O26" s="452">
        <f t="shared" si="15"/>
        <v>0</v>
      </c>
      <c r="P26" s="453">
        <f t="shared" si="16"/>
        <v>0</v>
      </c>
      <c r="Q26" s="451">
        <f t="shared" ca="1" si="17"/>
        <v>105748.90615829398</v>
      </c>
    </row>
    <row r="27" spans="1:17" s="457" customFormat="1">
      <c r="A27" s="455" t="s">
        <v>551</v>
      </c>
      <c r="B27" s="775">
        <f t="shared" ca="1" si="2"/>
        <v>29.182779508180097</v>
      </c>
      <c r="C27" s="456">
        <f t="shared" ca="1" si="3"/>
        <v>0</v>
      </c>
      <c r="D27" s="456">
        <f t="shared" si="4"/>
        <v>103.3071114453295</v>
      </c>
      <c r="E27" s="456">
        <f t="shared" si="5"/>
        <v>112.44242351827283</v>
      </c>
      <c r="F27" s="456">
        <f t="shared" si="6"/>
        <v>0</v>
      </c>
      <c r="G27" s="456">
        <f t="shared" si="7"/>
        <v>80683.53895102143</v>
      </c>
      <c r="H27" s="456">
        <f t="shared" si="8"/>
        <v>12193.595531695622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93122.066797188832</v>
      </c>
    </row>
    <row r="28" spans="1:17" ht="16.5" customHeight="1">
      <c r="A28" s="451" t="s">
        <v>541</v>
      </c>
      <c r="B28" s="452">
        <f t="shared" ca="1" si="2"/>
        <v>0</v>
      </c>
      <c r="C28" s="452">
        <f t="shared" ca="1" si="3"/>
        <v>0</v>
      </c>
      <c r="D28" s="452">
        <f t="shared" si="4"/>
        <v>0</v>
      </c>
      <c r="E28" s="452">
        <f t="shared" si="5"/>
        <v>0</v>
      </c>
      <c r="F28" s="452">
        <f t="shared" si="6"/>
        <v>0</v>
      </c>
      <c r="G28" s="452">
        <f t="shared" si="7"/>
        <v>494.65750473562014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494.65750473562014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545.31293465728311</v>
      </c>
      <c r="C32" s="452">
        <f t="shared" ca="1" si="3"/>
        <v>0</v>
      </c>
      <c r="D32" s="452">
        <f t="shared" si="4"/>
        <v>791.74069377000001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1337.053628427283</v>
      </c>
    </row>
    <row r="33" spans="1:17" s="463" customFormat="1">
      <c r="A33" s="461" t="s">
        <v>545</v>
      </c>
      <c r="B33" s="462">
        <f ca="1">SUM(B22:B32)</f>
        <v>79476.207743016406</v>
      </c>
      <c r="C33" s="462">
        <f t="shared" ref="C33:Q33" ca="1" si="19">SUM(C22:C32)</f>
        <v>0</v>
      </c>
      <c r="D33" s="462">
        <f t="shared" ca="1" si="19"/>
        <v>90279.222300830195</v>
      </c>
      <c r="E33" s="462">
        <f t="shared" si="19"/>
        <v>8041.6436459801016</v>
      </c>
      <c r="F33" s="462">
        <f t="shared" ca="1" si="19"/>
        <v>24664.235587164192</v>
      </c>
      <c r="G33" s="462">
        <f t="shared" si="19"/>
        <v>81178.196455757046</v>
      </c>
      <c r="H33" s="462">
        <f t="shared" si="19"/>
        <v>12193.595531695622</v>
      </c>
      <c r="I33" s="462">
        <f t="shared" si="19"/>
        <v>0</v>
      </c>
      <c r="J33" s="462">
        <f t="shared" si="19"/>
        <v>659.89181594517686</v>
      </c>
      <c r="K33" s="462">
        <f t="shared" si="19"/>
        <v>0</v>
      </c>
      <c r="L33" s="462">
        <f t="shared" ca="1" si="19"/>
        <v>0</v>
      </c>
      <c r="M33" s="462">
        <f t="shared" si="19"/>
        <v>0</v>
      </c>
      <c r="N33" s="462">
        <f t="shared" ca="1" si="19"/>
        <v>0</v>
      </c>
      <c r="O33" s="462">
        <f t="shared" si="19"/>
        <v>0</v>
      </c>
      <c r="P33" s="462">
        <f t="shared" si="19"/>
        <v>0</v>
      </c>
      <c r="Q33" s="462">
        <f t="shared" ca="1" si="19"/>
        <v>296492.9930803887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7075.5252828493603</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35839.785849305183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42915.311132154544</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0.19743867883835114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0.19743867883835114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2020-06-20T15:33:26Z</dcterms:modified>
</cp:coreProperties>
</file>