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10" i="13"/>
  <c r="C12" i="13" s="1"/>
  <c r="C29" i="20"/>
  <c r="C17" i="19"/>
  <c r="C19" i="19" s="1"/>
  <c r="D39" i="14" s="1"/>
  <c r="C56" i="22"/>
  <c r="C58" i="22" s="1"/>
  <c r="D49" i="14" s="1"/>
  <c r="D52" i="14" s="1"/>
  <c r="C20" i="16"/>
  <c r="C22" i="16" s="1"/>
  <c r="D43" i="14" s="1"/>
  <c r="C10" i="17"/>
  <c r="C12" i="17" s="1"/>
  <c r="D54" i="14" s="1"/>
  <c r="D56" i="14" s="1"/>
  <c r="C17" i="49"/>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<sst xmlns="http://schemas.openxmlformats.org/spreadsheetml/2006/main" count="2420" uniqueCount="897">
  <si>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</si>
  <si>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</si>
  <si>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</si>
  <si>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</si>
  <si>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</si>
  <si>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</si>
  <si>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</si>
  <si>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</si>
  <si>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</si>
  <si>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</si>
  <si>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</si>
  <si>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</si>
  <si>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</si>
  <si>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</si>
  <si>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</si>
  <si>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</si>
  <si>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</si>
  <si>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</si>
  <si>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</si>
  <si>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</si>
  <si>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</si>
  <si>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</si>
  <si>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</si>
  <si>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</si>
  <si>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</si>
  <si>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</si>
  <si>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</si>
  <si>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</si>
  <si>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</si>
  <si>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</si>
  <si>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</si>
  <si>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</si>
  <si>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</si>
  <si>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</si>
  <si>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</si>
  <si>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</si>
  <si>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</si>
  <si>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</si>
  <si>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</si>
  <si>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</si>
  <si>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</si>
  <si>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</si>
  <si>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</si>
  <si>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</si>
  <si>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</si>
  <si>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</si>
  <si>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</si>
  <si>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</si>
  <si>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</si>
  <si>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</si>
  <si>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</si>
  <si>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</si>
  <si>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</si>
  <si>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</si>
  <si>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</si>
  <si>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</si>
  <si>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</si>
  <si>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</si>
  <si>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</si>
  <si>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</si>
  <si>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</si>
  <si>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</si>
  <si>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</si>
  <si>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</si>
  <si>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</si>
  <si>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</si>
  <si>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</si>
  <si>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</si>
  <si>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</si>
  <si>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</si>
  <si>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</si>
  <si>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</si>
  <si>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</si>
  <si>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</si>
  <si>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</si>
  <si>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</si>
  <si>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</si>
  <si>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</si>
  <si>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</si>
  <si>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</si>
  <si>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</si>
  <si>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</si>
  <si>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</si>
  <si>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</si>
  <si>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</si>
  <si>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</si>
  <si>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</si>
  <si>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</si>
  <si>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</si>
  <si>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</si>
  <si>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</si>
  <si>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</si>
  <si>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</si>
  <si>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</si>
  <si>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</si>
  <si>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</si>
  <si>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</si>
  <si>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</si>
  <si>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</si>
  <si>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</si>
  <si>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</si>
  <si>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</si>
  <si>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</si>
  <si>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</si>
  <si>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</si>
  <si>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</si>
  <si>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</si>
  <si>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</si>
  <si>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</si>
  <si>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</si>
  <si>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</si>
  <si>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</si>
  <si>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</si>
  <si>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</si>
  <si>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</si>
  <si>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</si>
  <si>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</si>
  <si>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</si>
  <si>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</si>
  <si>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</si>
  <si>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</si>
  <si>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</si>
  <si>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</si>
  <si>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</si>
  <si>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</si>
  <si>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</si>
  <si>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</si>
  <si>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</si>
  <si>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</si>
  <si>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</si>
  <si>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</si>
  <si>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</si>
  <si>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</si>
  <si>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</si>
  <si>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</si>
  <si>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</si>
  <si>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</si>
  <si>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</si>
  <si>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</si>
  <si>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</si>
  <si>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</si>
  <si>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</si>
  <si>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</si>
  <si>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</si>
  <si>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</si>
  <si>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</si>
  <si>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</si>
  <si>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</si>
  <si>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</si>
  <si>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</si>
  <si>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</si>
  <si>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</si>
  <si>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</si>
  <si>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</si>
  <si>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</si>
  <si>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</si>
  <si>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</si>
  <si>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</si>
  <si>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</si>
  <si>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</si>
  <si>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</si>
  <si>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</si>
  <si>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</si>
  <si>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</si>
  <si>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</si>
  <si>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</si>
  <si>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</si>
  <si>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</si>
  <si>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</si>
  <si>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</si>
  <si>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</si>
  <si>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</si>
  <si>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</si>
  <si>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</si>
  <si>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</si>
  <si>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</si>
  <si>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</si>
  <si>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</si>
  <si>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</si>
  <si>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</si>
  <si>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</si>
  <si>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</si>
  <si>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</si>
  <si>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</si>
  <si>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</si>
  <si>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</si>
  <si>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</si>
  <si>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</si>
  <si>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</si>
  <si>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</si>
  <si>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</si>
  <si>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</si>
  <si>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</si>
  <si>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</si>
  <si>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</si>
  <si>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</si>
  <si>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</si>
  <si>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</si>
  <si>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</si>
  <si>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</si>
  <si>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</si>
  <si>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</si>
  <si>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</si>
  <si>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</si>
  <si>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</si>
  <si>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</si>
  <si>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</si>
  <si>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</si>
  <si>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</si>
  <si>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</si>
  <si>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</si>
  <si>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</si>
  <si>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</si>
  <si>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</si>
  <si>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</si>
  <si>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</si>
  <si>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</si>
  <si>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</si>
  <si>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</si>
  <si>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</si>
  <si>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</si>
  <si>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</si>
  <si>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</si>
  <si>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</si>
  <si>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</si>
  <si>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</si>
  <si>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</si>
  <si>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</si>
  <si>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</si>
  <si>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</si>
  <si>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</si>
  <si>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</si>
  <si>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</si>
  <si>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</si>
  <si>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</si>
  <si>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</si>
  <si>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</si>
  <si>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</si>
  <si>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</si>
  <si>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</si>
  <si>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</si>
  <si>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</si>
  <si>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</si>
  <si>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</si>
  <si>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</si>
  <si>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</si>
  <si>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</si>
  <si>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</si>
  <si>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</si>
  <si>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</si>
  <si>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</si>
  <si>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</si>
  <si>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</si>
  <si>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</si>
  <si>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</si>
  <si>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</si>
  <si>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</si>
  <si>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</si>
  <si>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</si>
  <si>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</si>
  <si>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</si>
  <si>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</si>
  <si>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</si>
  <si>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</si>
  <si>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</si>
  <si>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</si>
  <si>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</si>
  <si>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</si>
  <si>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</si>
  <si>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</si>
  <si>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</si>
  <si>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</si>
  <si>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</si>
  <si>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</si>
  <si>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</si>
  <si>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</si>
  <si>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</si>
  <si>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</si>
  <si>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</si>
  <si>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</si>
  <si>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</si>
  <si>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</si>
  <si>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</si>
  <si>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</si>
  <si>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</si>
  <si>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</si>
  <si>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</si>
  <si>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</si>
  <si>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</si>
  <si>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</si>
  <si>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</si>
  <si>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</si>
  <si>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</si>
  <si>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</si>
  <si>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</si>
  <si>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</si>
  <si>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</si>
  <si>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</si>
  <si>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</si>
  <si>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</si>
  <si>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</si>
  <si>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</si>
  <si>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</si>
  <si>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</si>
  <si>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</si>
  <si>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</si>
  <si>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</si>
  <si>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</si>
  <si>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</si>
  <si>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</si>
  <si>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</si>
  <si>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</si>
  <si>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</si>
  <si>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</si>
  <si>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</si>
  <si>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</si>
  <si>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</si>
  <si>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</si>
  <si>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</si>
  <si>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</si>
  <si>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</si>
  <si>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</si>
  <si>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</si>
  <si>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</si>
  <si>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</si>
  <si>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</si>
  <si>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</si>
  <si>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</si>
  <si>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</si>
  <si>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</si>
  <si>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</si>
  <si>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</si>
  <si>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</si>
  <si>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</si>
  <si>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</si>
  <si>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</si>
  <si>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</si>
  <si>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</si>
  <si>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</si>
  <si>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</si>
  <si>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</si>
  <si>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</si>
  <si>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</si>
  <si>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</si>
  <si>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</si>
  <si>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</si>
  <si>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</si>
  <si>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</si>
  <si>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</si>
  <si>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</si>
  <si>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</si>
  <si>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</si>
  <si>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</si>
  <si>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</si>
  <si>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</si>
  <si>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</si>
  <si>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</si>
  <si>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</si>
  <si>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</si>
  <si>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</si>
  <si>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</si>
  <si>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</si>
  <si>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</si>
  <si>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</si>
  <si>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</si>
  <si>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</si>
  <si>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</si>
  <si>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</si>
  <si>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</si>
  <si>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</si>
  <si>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</si>
  <si>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</si>
  <si>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</si>
  <si>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</si>
  <si>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</si>
  <si>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</si>
  <si>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</si>
  <si>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</si>
  <si>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</si>
  <si>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</si>
  <si>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</si>
  <si>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</si>
  <si>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</si>
  <si>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</si>
  <si>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</si>
  <si>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</si>
  <si>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</si>
  <si>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</si>
  <si>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</si>
  <si>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</si>
  <si>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</si>
  <si>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</si>
  <si>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</si>
  <si>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</si>
  <si>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</si>
  <si>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</si>
  <si>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</si>
  <si>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</si>
  <si>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</si>
  <si>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</si>
  <si>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</si>
  <si>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</si>
  <si>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</si>
  <si>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</si>
  <si>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</si>
  <si>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</si>
  <si>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</si>
  <si>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</si>
  <si>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</si>
  <si>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</si>
  <si>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</si>
  <si>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</si>
  <si>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</si>
  <si>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</si>
  <si>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</si>
  <si>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</si>
  <si>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</si>
  <si>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</si>
  <si>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</si>
  <si>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</si>
  <si>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</si>
  <si>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</si>
  <si>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</si>
  <si>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</si>
  <si>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</si>
  <si>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</si>
  <si>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</si>
  <si>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</si>
  <si>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</si>
  <si>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</si>
  <si>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</si>
  <si>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</si>
  <si>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</si>
  <si>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</si>
  <si>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</si>
  <si>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</si>
  <si>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</si>
  <si>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</si>
  <si>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</si>
  <si>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</si>
  <si>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</si>
  <si>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</si>
  <si>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</si>
  <si>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</si>
  <si>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</si>
  <si>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</si>
  <si>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</si>
  <si>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</si>
  <si>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</si>
  <si>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</si>
  <si>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</si>
  <si>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</si>
  <si>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</si>
  <si>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</si>
  <si>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</si>
  <si>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</si>
  <si>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</si>
  <si>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</si>
  <si>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</si>
  <si>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</si>
  <si>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</si>
  <si>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</si>
  <si>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</si>
  <si>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</si>
  <si>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</si>
  <si>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</si>
  <si>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</si>
  <si>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</si>
  <si>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</si>
  <si>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</si>
  <si>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</si>
  <si>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</si>
  <si>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</si>
  <si>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</si>
  <si>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</si>
  <si>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</si>
  <si>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</si>
  <si>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</si>
  <si>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</si>
  <si>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</si>
  <si>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</si>
  <si>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</si>
  <si>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</si>
  <si>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</si>
  <si>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</si>
  <si>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</si>
  <si>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</si>
  <si>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</si>
  <si>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</si>
  <si>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</si>
  <si>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</si>
  <si>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</si>
  <si>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</si>
  <si>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</si>
  <si>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</si>
  <si>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</si>
  <si>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</si>
  <si>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</si>
  <si>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</si>
  <si>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</si>
  <si>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</si>
  <si>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</si>
  <si>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</si>
  <si>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</si>
  <si>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</si>
  <si>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</si>
  <si>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</si>
  <si>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</si>
  <si>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</si>
  <si>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</si>
  <si>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</si>
  <si>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</si>
  <si>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</si>
  <si>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</si>
  <si>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</si>
  <si>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</si>
  <si>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</si>
  <si>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</si>
  <si>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</si>
  <si>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</si>
  <si>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</si>
  <si>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</si>
  <si>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</si>
  <si>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</si>
  <si>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</si>
  <si>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</si>
  <si>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</si>
  <si>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</si>
  <si>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</si>
  <si>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</si>
  <si>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</si>
  <si>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</si>
  <si>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</si>
  <si>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</si>
  <si>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</si>
  <si>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</si>
  <si>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</si>
  <si>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</si>
  <si>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</si>
  <si>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</si>
  <si>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</si>
  <si>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</si>
  <si>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</si>
  <si>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</si>
  <si>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</si>
  <si>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</si>
  <si>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</si>
  <si>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</si>
  <si>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</si>
  <si>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</si>
  <si>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</si>
  <si>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</si>
  <si>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</si>
  <si>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</si>
  <si>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</si>
  <si>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</si>
  <si>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</si>
  <si>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</si>
  <si>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</si>
  <si>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</si>
  <si>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</si>
  <si>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</si>
  <si>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</si>
  <si>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</si>
  <si>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</si>
  <si>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</si>
  <si>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</si>
  <si>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</si>
  <si>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</si>
  <si>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</si>
  <si>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</si>
  <si>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</si>
  <si>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</si>
  <si>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</si>
  <si>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</si>
  <si>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</si>
  <si>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</si>
  <si>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</si>
  <si>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</si>
  <si>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</si>
  <si>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</si>
  <si>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</si>
  <si>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</si>
  <si>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</si>
  <si>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</si>
  <si>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</si>
  <si>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</si>
  <si>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</si>
  <si>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</si>
  <si>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</si>
  <si>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</si>
  <si>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</si>
  <si>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</si>
  <si>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</si>
  <si>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</si>
  <si>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</si>
  <si>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</si>
  <si>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</si>
  <si>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</si>
  <si>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</si>
  <si>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</si>
  <si>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</si>
  <si>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</si>
  <si>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</si>
  <si>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</si>
  <si>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</si>
  <si>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</si>
  <si>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</si>
  <si>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</si>
  <si>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</si>
  <si>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</si>
  <si>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</si>
  <si>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</si>
  <si>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</si>
  <si>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</si>
  <si>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</si>
  <si>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</si>
  <si>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</si>
  <si>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</si>
  <si>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</si>
  <si>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</si>
  <si>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</si>
  <si>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</si>
  <si>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</si>
  <si>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</si>
  <si>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</si>
  <si>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</si>
  <si>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</si>
  <si>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</si>
  <si>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</si>
  <si>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</si>
  <si>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</si>
  <si>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</si>
  <si>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</si>
  <si>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</si>
  <si>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</si>
  <si>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</si>
  <si>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</si>
  <si>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</si>
  <si>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</si>
  <si>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</si>
  <si>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</si>
  <si>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</si>
  <si>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</si>
  <si>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</si>
  <si>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</si>
  <si>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</si>
  <si>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</si>
  <si>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</si>
  <si>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</si>
  <si>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</si>
  <si>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</si>
  <si>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</si>
  <si>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</si>
  <si>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</si>
  <si>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</si>
  <si>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</si>
  <si>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</si>
  <si>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</si>
  <si>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</si>
  <si>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</si>
  <si>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</si>
  <si>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</si>
  <si>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</si>
  <si>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</si>
  <si>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</si>
  <si>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</si>
  <si>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</si>
  <si>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</si>
  <si>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</si>
  <si>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</si>
  <si>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</si>
  <si>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</si>
  <si>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</si>
  <si>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</si>
  <si>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</si>
  <si>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</si>
  <si>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</si>
  <si>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</si>
  <si>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</si>
  <si>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</si>
  <si>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</si>
  <si>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</si>
  <si>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</si>
  <si>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</si>
  <si>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</si>
  <si>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</si>
  <si>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</si>
  <si>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</si>
  <si>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</si>
  <si>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</si>
  <si>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</si>
  <si>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</si>
  <si>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</si>
  <si>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</si>
  <si>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</si>
  <si>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</si>
  <si>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</si>
  <si>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</si>
  <si>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</si>
  <si>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</si>
  <si>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</si>
  <si>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</si>
  <si>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</si>
  <si>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</si>
  <si>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</si>
  <si>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</si>
  <si>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</si>
  <si>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</si>
  <si>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</si>
  <si>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</si>
  <si>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</si>
  <si>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</si>
  <si>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</si>
  <si>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</si>
  <si>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</si>
  <si>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</si>
  <si>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</si>
  <si>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</si>
  <si>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</si>
  <si>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</si>
  <si>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</si>
  <si>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</si>
  <si>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</si>
  <si>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</si>
  <si>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</si>
  <si>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</si>
  <si>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</si>
  <si>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</si>
  <si>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</si>
  <si>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</si>
  <si>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</si>
  <si>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</si>
  <si>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</si>
  <si>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</si>
  <si>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</si>
  <si>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</si>
  <si>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</si>
  <si>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</si>
  <si>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</si>
  <si>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</si>
  <si>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</si>
  <si>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</si>
  <si>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</si>
  <si>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</si>
  <si>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</si>
  <si>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</si>
  <si>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</si>
  <si>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</si>
  <si>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</si>
  <si>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</si>
  <si>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</si>
  <si>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</si>
  <si>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</si>
  <si>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</si>
  <si>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</si>
  <si>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</si>
  <si>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</si>
  <si>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</si>
  <si>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</si>
  <si>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</si>
  <si>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</si>
  <si>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</si>
  <si>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</si>
  <si>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</si>
  <si>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</si>
  <si>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</si>
  <si>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</si>
  <si>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</si>
  <si>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</si>
  <si>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</si>
  <si>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</si>
  <si>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</si>
  <si>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</si>
  <si>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</si>
  <si>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</si>
  <si>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</si>
  <si>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</si>
  <si>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</si>
  <si>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</si>
  <si>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</si>
  <si>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</si>
  <si>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</si>
  <si>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</si>
  <si>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</si>
  <si>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</si>
  <si>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</si>
  <si>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</si>
  <si>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</si>
  <si>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</si>
  <si>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</si>
  <si>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</si>
  <si>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</si>
  <si>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</si>
  <si>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</si>
  <si>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</si>
  <si>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</si>
  <si>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</si>
  <si>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</si>
  <si>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</si>
  <si>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</si>
  <si>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</si>
  <si>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</si>
  <si>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</si>
  <si>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</si>
  <si>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</si>
  <si>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</si>
  <si>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</si>
  <si>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</si>
  <si>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</si>
  <si>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</si>
  <si>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</si>
  <si>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</si>
  <si>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</si>
  <si>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</si>
  <si>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</si>
  <si>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</si>
  <si>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</si>
  <si>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</si>
  <si>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</si>
  <si>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</si>
  <si>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</si>
  <si>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</si>
  <si>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</si>
  <si>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</si>
  <si>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</si>
  <si>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</si>
  <si>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</si>
  <si>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</si>
  <si>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</si>
  <si>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</si>
  <si>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</si>
  <si>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</si>
  <si>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</si>
  <si>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</si>
  <si>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</si>
  <si>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</si>
  <si>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</si>
  <si>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</si>
  <si>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</si>
  <si>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</si>
  <si>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</si>
  <si>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</si>
  <si>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</si>
  <si>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</si>
  <si>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</si>
  <si>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</si>
  <si>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</si>
  <si>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</si>
  <si>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</si>
  <si>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</si>
  <si>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</si>
  <si>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</si>
  <si>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</si>
  <si>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</si>
  <si>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</si>
  <si>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</si>
  <si>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</si>
  <si>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</si>
  <si>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</si>
  <si>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</si>
  <si>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</si>
  <si>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</si>
  <si>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</si>
  <si>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</si>
  <si>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</si>
  <si>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</si>
  <si>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</si>
  <si>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</si>
  <si>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</si>
  <si>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</si>
  <si>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</si>
  <si>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</si>
  <si>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</si>
  <si>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</si>
  <si>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</si>
  <si>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</si>
  <si>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</si>
  <si>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</si>
  <si>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</si>
  <si>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</si>
  <si>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</si>
  <si>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</si>
  <si>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</si>
  <si>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</si>
  <si>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33040</t>
  </si>
  <si>
    <t>LANGEMARK-POELKAPELLE</t>
  </si>
  <si>
    <t>referentietaak LNE (2017); Jaarverslag De Lijn</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</si>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</sst>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77036.651920550241</c:v>
                </c:pt>
                <c:pt idx="1">
                  <c:v>20320.928419686785</c:v>
                </c:pt>
                <c:pt idx="2">
                  <c:v>720.57600000000002</c:v>
                </c:pt>
                <c:pt idx="3">
                  <c:v>34919.707156333447</c:v>
                </c:pt>
                <c:pt idx="4">
                  <c:v>77880.803702033343</c:v>
                </c:pt>
                <c:pt idx="5">
                  <c:v>57362.268512267357</c:v>
                </c:pt>
                <c:pt idx="6">
                  <c:v>985.26085501257103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77036.651920550241</c:v>
                </c:pt>
                <c:pt idx="1">
                  <c:v>20320.928419686785</c:v>
                </c:pt>
                <c:pt idx="2">
                  <c:v>720.57600000000002</c:v>
                </c:pt>
                <c:pt idx="3">
                  <c:v>34919.707156333447</c:v>
                </c:pt>
                <c:pt idx="4">
                  <c:v>77880.803702033343</c:v>
                </c:pt>
                <c:pt idx="5">
                  <c:v>57362.268512267357</c:v>
                </c:pt>
                <c:pt idx="6">
                  <c:v>985.26085501257103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14929.983405957651</c:v>
                </c:pt>
                <c:pt idx="1">
                  <c:v>4145.4963529543629</c:v>
                </c:pt>
                <c:pt idx="2">
                  <c:v>151.90160166255609</c:v>
                </c:pt>
                <c:pt idx="3">
                  <c:v>8689.0623905896828</c:v>
                </c:pt>
                <c:pt idx="4">
                  <c:v>15991.883937924942</c:v>
                </c:pt>
                <c:pt idx="5">
                  <c:v>14256.956923845672</c:v>
                </c:pt>
                <c:pt idx="6">
                  <c:v>249.21540759870518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14929.983405957651</c:v>
                </c:pt>
                <c:pt idx="1">
                  <c:v>4145.4963529543629</c:v>
                </c:pt>
                <c:pt idx="2">
                  <c:v>151.90160166255609</c:v>
                </c:pt>
                <c:pt idx="3">
                  <c:v>8689.0623905896828</c:v>
                </c:pt>
                <c:pt idx="4">
                  <c:v>15991.883937924942</c:v>
                </c:pt>
                <c:pt idx="5">
                  <c:v>14256.956923845672</c:v>
                </c:pt>
                <c:pt idx="6">
                  <c:v>249.21540759870518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33040</v>
      </c>
      <c r="B6" s="390"/>
      <c r="C6" s="391"/>
    </row>
    <row r="7" spans="1:7" s="388" customFormat="1" ht="15.75" customHeight="1">
      <c r="A7" s="392" t="str">
        <f>txtMunicipality</f>
        <v>LANGEMARK-POELKAPELLE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0.21080580211186065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0.21080580211186065</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3192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4219.45</v>
      </c>
      <c r="C14" s="330"/>
      <c r="D14" s="330"/>
      <c r="E14" s="330"/>
      <c r="F14" s="330"/>
    </row>
    <row r="15" spans="1:6">
      <c r="A15" s="1298" t="s">
        <v>183</v>
      </c>
      <c r="B15" s="1299">
        <v>945</v>
      </c>
      <c r="C15" s="330"/>
      <c r="D15" s="330"/>
      <c r="E15" s="330"/>
      <c r="F15" s="330"/>
    </row>
    <row r="16" spans="1:6">
      <c r="A16" s="1298" t="s">
        <v>6</v>
      </c>
      <c r="B16" s="1299">
        <v>1389</v>
      </c>
      <c r="C16" s="330"/>
      <c r="D16" s="330"/>
      <c r="E16" s="330"/>
      <c r="F16" s="330"/>
    </row>
    <row r="17" spans="1:6">
      <c r="A17" s="1298" t="s">
        <v>7</v>
      </c>
      <c r="B17" s="1299">
        <v>1393</v>
      </c>
      <c r="C17" s="330"/>
      <c r="D17" s="330"/>
      <c r="E17" s="330"/>
      <c r="F17" s="330"/>
    </row>
    <row r="18" spans="1:6">
      <c r="A18" s="1298" t="s">
        <v>8</v>
      </c>
      <c r="B18" s="1299">
        <v>1899</v>
      </c>
      <c r="C18" s="330"/>
      <c r="D18" s="330"/>
      <c r="E18" s="330"/>
      <c r="F18" s="330"/>
    </row>
    <row r="19" spans="1:6">
      <c r="A19" s="1298" t="s">
        <v>9</v>
      </c>
      <c r="B19" s="1299">
        <v>2408</v>
      </c>
      <c r="C19" s="330"/>
      <c r="D19" s="330"/>
      <c r="E19" s="330"/>
      <c r="F19" s="330"/>
    </row>
    <row r="20" spans="1:6">
      <c r="A20" s="1298" t="s">
        <v>10</v>
      </c>
      <c r="B20" s="1299">
        <v>1113</v>
      </c>
      <c r="C20" s="330"/>
      <c r="D20" s="330"/>
      <c r="E20" s="330"/>
      <c r="F20" s="330"/>
    </row>
    <row r="21" spans="1:6">
      <c r="A21" s="1298" t="s">
        <v>11</v>
      </c>
      <c r="B21" s="1299">
        <v>15545</v>
      </c>
      <c r="C21" s="330"/>
      <c r="D21" s="330"/>
      <c r="E21" s="330"/>
      <c r="F21" s="330"/>
    </row>
    <row r="22" spans="1:6">
      <c r="A22" s="1298" t="s">
        <v>12</v>
      </c>
      <c r="B22" s="1299">
        <v>68259</v>
      </c>
      <c r="C22" s="330"/>
      <c r="D22" s="330"/>
      <c r="E22" s="330"/>
      <c r="F22" s="330"/>
    </row>
    <row r="23" spans="1:6">
      <c r="A23" s="1298" t="s">
        <v>13</v>
      </c>
      <c r="B23" s="1299">
        <v>721</v>
      </c>
      <c r="C23" s="330"/>
      <c r="D23" s="330"/>
      <c r="E23" s="330"/>
      <c r="F23" s="330"/>
    </row>
    <row r="24" spans="1:6">
      <c r="A24" s="1298" t="s">
        <v>14</v>
      </c>
      <c r="B24" s="1299">
        <v>30</v>
      </c>
      <c r="C24" s="330"/>
      <c r="D24" s="330"/>
      <c r="E24" s="330"/>
      <c r="F24" s="330"/>
    </row>
    <row r="25" spans="1:6">
      <c r="A25" s="1298" t="s">
        <v>15</v>
      </c>
      <c r="B25" s="1299">
        <v>3857</v>
      </c>
      <c r="C25" s="330"/>
      <c r="D25" s="330"/>
      <c r="E25" s="330"/>
      <c r="F25" s="330"/>
    </row>
    <row r="26" spans="1:6">
      <c r="A26" s="1298" t="s">
        <v>16</v>
      </c>
      <c r="B26" s="1299">
        <v>366</v>
      </c>
      <c r="C26" s="330"/>
      <c r="D26" s="330"/>
      <c r="E26" s="330"/>
      <c r="F26" s="330"/>
    </row>
    <row r="27" spans="1:6">
      <c r="A27" s="1298" t="s">
        <v>17</v>
      </c>
      <c r="B27" s="1299">
        <v>30</v>
      </c>
      <c r="C27" s="330"/>
      <c r="D27" s="330"/>
      <c r="E27" s="330"/>
      <c r="F27" s="330"/>
    </row>
    <row r="28" spans="1:6" s="43" customFormat="1">
      <c r="A28" s="1300" t="s">
        <v>18</v>
      </c>
      <c r="B28" s="1301">
        <v>596165</v>
      </c>
      <c r="C28" s="336"/>
      <c r="D28" s="336"/>
      <c r="E28" s="336"/>
      <c r="F28" s="336"/>
    </row>
    <row r="29" spans="1:6">
      <c r="A29" s="1300" t="s">
        <v>705</v>
      </c>
      <c r="B29" s="1301">
        <v>150</v>
      </c>
      <c r="C29" s="336"/>
      <c r="D29" s="336"/>
      <c r="E29" s="336"/>
      <c r="F29" s="336"/>
    </row>
    <row r="30" spans="1:6">
      <c r="A30" s="1293" t="s">
        <v>706</v>
      </c>
      <c r="B30" s="1302">
        <v>14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12466.231</v>
      </c>
    </row>
    <row r="39" spans="1:6">
      <c r="A39" s="1298" t="s">
        <v>29</v>
      </c>
      <c r="B39" s="1298" t="s">
        <v>30</v>
      </c>
      <c r="C39" s="1299">
        <v>1506</v>
      </c>
      <c r="D39" s="1299">
        <v>21064877.59</v>
      </c>
      <c r="E39" s="1299">
        <v>2905</v>
      </c>
      <c r="F39" s="1299">
        <v>10454865.09</v>
      </c>
    </row>
    <row r="40" spans="1:6">
      <c r="A40" s="1298" t="s">
        <v>29</v>
      </c>
      <c r="B40" s="1298" t="s">
        <v>28</v>
      </c>
      <c r="C40" s="1299">
        <v>0</v>
      </c>
      <c r="D40" s="1299">
        <v>0</v>
      </c>
      <c r="E40" s="1299">
        <v>0</v>
      </c>
      <c r="F40" s="1299">
        <v>0</v>
      </c>
    </row>
    <row r="41" spans="1:6">
      <c r="A41" s="1298" t="s">
        <v>31</v>
      </c>
      <c r="B41" s="1298" t="s">
        <v>32</v>
      </c>
      <c r="C41" s="1299">
        <v>20</v>
      </c>
      <c r="D41" s="1299">
        <v>340519.73100000003</v>
      </c>
      <c r="E41" s="1299">
        <v>85</v>
      </c>
      <c r="F41" s="1299">
        <v>419513.43699999998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9218.4660000000003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4617.1360000000004</v>
      </c>
    </row>
    <row r="48" spans="1:6">
      <c r="A48" s="1298" t="s">
        <v>31</v>
      </c>
      <c r="B48" s="1298" t="s">
        <v>28</v>
      </c>
      <c r="C48" s="1299">
        <v>13</v>
      </c>
      <c r="D48" s="1299">
        <v>17236115.449999999</v>
      </c>
      <c r="E48" s="1299">
        <v>30</v>
      </c>
      <c r="F48" s="1299">
        <v>14311988.369999999</v>
      </c>
    </row>
    <row r="49" spans="1:6">
      <c r="A49" s="1298" t="s">
        <v>31</v>
      </c>
      <c r="B49" s="1298" t="s">
        <v>39</v>
      </c>
      <c r="C49" s="1299">
        <v>0</v>
      </c>
      <c r="D49" s="1299">
        <v>0</v>
      </c>
      <c r="E49" s="1299">
        <v>0</v>
      </c>
      <c r="F49" s="1299">
        <v>0</v>
      </c>
    </row>
    <row r="50" spans="1:6">
      <c r="A50" s="1298" t="s">
        <v>31</v>
      </c>
      <c r="B50" s="1298" t="s">
        <v>40</v>
      </c>
      <c r="C50" s="1299">
        <v>0</v>
      </c>
      <c r="D50" s="1299">
        <v>0</v>
      </c>
      <c r="E50" s="1299">
        <v>11</v>
      </c>
      <c r="F50" s="1299">
        <v>38499188.829999998</v>
      </c>
    </row>
    <row r="51" spans="1:6">
      <c r="A51" s="1298" t="s">
        <v>41</v>
      </c>
      <c r="B51" s="1298" t="s">
        <v>42</v>
      </c>
      <c r="C51" s="1299">
        <v>15</v>
      </c>
      <c r="D51" s="1299">
        <v>24551783.899999999</v>
      </c>
      <c r="E51" s="1299">
        <v>195</v>
      </c>
      <c r="F51" s="1299">
        <v>4561256.2039999999</v>
      </c>
    </row>
    <row r="52" spans="1:6">
      <c r="A52" s="1298" t="s">
        <v>41</v>
      </c>
      <c r="B52" s="1298" t="s">
        <v>28</v>
      </c>
      <c r="C52" s="1299">
        <v>0</v>
      </c>
      <c r="D52" s="1299">
        <v>0</v>
      </c>
      <c r="E52" s="1299">
        <v>5</v>
      </c>
      <c r="F52" s="1299">
        <v>46294.006000000001</v>
      </c>
    </row>
    <row r="53" spans="1:6">
      <c r="A53" s="1298" t="s">
        <v>43</v>
      </c>
      <c r="B53" s="1298" t="s">
        <v>44</v>
      </c>
      <c r="C53" s="1299">
        <v>37</v>
      </c>
      <c r="D53" s="1299">
        <v>539631.24100000004</v>
      </c>
      <c r="E53" s="1299">
        <v>93</v>
      </c>
      <c r="F53" s="1299">
        <v>322739.44799999997</v>
      </c>
    </row>
    <row r="54" spans="1:6">
      <c r="A54" s="1298" t="s">
        <v>45</v>
      </c>
      <c r="B54" s="1298" t="s">
        <v>46</v>
      </c>
      <c r="C54" s="1299">
        <v>0</v>
      </c>
      <c r="D54" s="1299">
        <v>0</v>
      </c>
      <c r="E54" s="1299">
        <v>1</v>
      </c>
      <c r="F54" s="1299">
        <v>720576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125696.90300000001</v>
      </c>
      <c r="E57" s="1299">
        <v>33</v>
      </c>
      <c r="F57" s="1299">
        <v>353191.49599999998</v>
      </c>
    </row>
    <row r="58" spans="1:6">
      <c r="A58" s="1298" t="s">
        <v>48</v>
      </c>
      <c r="B58" s="1298" t="s">
        <v>50</v>
      </c>
      <c r="C58" s="1299">
        <v>5</v>
      </c>
      <c r="D58" s="1299">
        <v>112390.552</v>
      </c>
      <c r="E58" s="1299">
        <v>10</v>
      </c>
      <c r="F58" s="1299">
        <v>39258.618999999999</v>
      </c>
    </row>
    <row r="59" spans="1:6">
      <c r="A59" s="1298" t="s">
        <v>48</v>
      </c>
      <c r="B59" s="1298" t="s">
        <v>51</v>
      </c>
      <c r="C59" s="1299">
        <v>12</v>
      </c>
      <c r="D59" s="1299">
        <v>1839056.656</v>
      </c>
      <c r="E59" s="1299">
        <v>86</v>
      </c>
      <c r="F59" s="1299">
        <v>2870919.87</v>
      </c>
    </row>
    <row r="60" spans="1:6">
      <c r="A60" s="1298" t="s">
        <v>48</v>
      </c>
      <c r="B60" s="1298" t="s">
        <v>52</v>
      </c>
      <c r="C60" s="1299">
        <v>23</v>
      </c>
      <c r="D60" s="1299">
        <v>663722.821</v>
      </c>
      <c r="E60" s="1299">
        <v>46</v>
      </c>
      <c r="F60" s="1299">
        <v>749489.44499999995</v>
      </c>
    </row>
    <row r="61" spans="1:6">
      <c r="A61" s="1298" t="s">
        <v>48</v>
      </c>
      <c r="B61" s="1298" t="s">
        <v>53</v>
      </c>
      <c r="C61" s="1299">
        <v>34</v>
      </c>
      <c r="D61" s="1299">
        <v>2213173.855</v>
      </c>
      <c r="E61" s="1299">
        <v>99</v>
      </c>
      <c r="F61" s="1299">
        <v>1732271.2749999999</v>
      </c>
    </row>
    <row r="62" spans="1:6">
      <c r="A62" s="1298" t="s">
        <v>48</v>
      </c>
      <c r="B62" s="1298" t="s">
        <v>54</v>
      </c>
      <c r="C62" s="1299">
        <v>6</v>
      </c>
      <c r="D62" s="1299">
        <v>430532.23300000001</v>
      </c>
      <c r="E62" s="1299">
        <v>6</v>
      </c>
      <c r="F62" s="1299">
        <v>64540.455000000002</v>
      </c>
    </row>
    <row r="63" spans="1:6">
      <c r="A63" s="1298" t="s">
        <v>48</v>
      </c>
      <c r="B63" s="1298" t="s">
        <v>28</v>
      </c>
      <c r="C63" s="1299">
        <v>65</v>
      </c>
      <c r="D63" s="1299">
        <v>4841502.2290000003</v>
      </c>
      <c r="E63" s="1299">
        <v>80</v>
      </c>
      <c r="F63" s="1299">
        <v>3531806.514</v>
      </c>
    </row>
    <row r="64" spans="1:6">
      <c r="A64" s="1298" t="s">
        <v>55</v>
      </c>
      <c r="B64" s="1298" t="s">
        <v>56</v>
      </c>
      <c r="C64" s="1299">
        <v>0</v>
      </c>
      <c r="D64" s="1299">
        <v>0</v>
      </c>
      <c r="E64" s="1299">
        <v>0</v>
      </c>
      <c r="F64" s="1299">
        <v>0</v>
      </c>
    </row>
    <row r="65" spans="1:6">
      <c r="A65" s="1298" t="s">
        <v>55</v>
      </c>
      <c r="B65" s="1298" t="s">
        <v>28</v>
      </c>
      <c r="C65" s="1299">
        <v>1</v>
      </c>
      <c r="D65" s="1299">
        <v>1461.4179999999999</v>
      </c>
      <c r="E65" s="1299">
        <v>2</v>
      </c>
      <c r="F65" s="1299">
        <v>19823.427</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25453.489000000001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33043846</v>
      </c>
      <c r="E73" s="450"/>
      <c r="F73" s="330"/>
    </row>
    <row r="74" spans="1:6">
      <c r="A74" s="1298" t="s">
        <v>63</v>
      </c>
      <c r="B74" s="1298" t="s">
        <v>647</v>
      </c>
      <c r="C74" s="1312" t="s">
        <v>649</v>
      </c>
      <c r="D74" s="1313">
        <v>2832554</v>
      </c>
      <c r="E74" s="450"/>
      <c r="F74" s="330"/>
    </row>
    <row r="75" spans="1:6">
      <c r="A75" s="1298" t="s">
        <v>64</v>
      </c>
      <c r="B75" s="1298" t="s">
        <v>646</v>
      </c>
      <c r="C75" s="1312" t="s">
        <v>650</v>
      </c>
      <c r="D75" s="1313">
        <v>23559566</v>
      </c>
      <c r="E75" s="450"/>
      <c r="F75" s="330"/>
    </row>
    <row r="76" spans="1:6">
      <c r="A76" s="1298" t="s">
        <v>64</v>
      </c>
      <c r="B76" s="1298" t="s">
        <v>647</v>
      </c>
      <c r="C76" s="1312" t="s">
        <v>651</v>
      </c>
      <c r="D76" s="1313">
        <v>1577398</v>
      </c>
      <c r="E76" s="450"/>
      <c r="F76" s="330"/>
    </row>
    <row r="77" spans="1:6">
      <c r="A77" s="1298" t="s">
        <v>65</v>
      </c>
      <c r="B77" s="1298" t="s">
        <v>646</v>
      </c>
      <c r="C77" s="1312" t="s">
        <v>652</v>
      </c>
      <c r="D77" s="1313">
        <v>1411109</v>
      </c>
      <c r="E77" s="450"/>
      <c r="F77" s="330"/>
    </row>
    <row r="78" spans="1:6">
      <c r="A78" s="1293" t="s">
        <v>65</v>
      </c>
      <c r="B78" s="1293" t="s">
        <v>647</v>
      </c>
      <c r="C78" s="1293" t="s">
        <v>653</v>
      </c>
      <c r="D78" s="1314">
        <v>254059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270462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2876.9835703843792</v>
      </c>
      <c r="C91" s="330"/>
      <c r="D91" s="330"/>
      <c r="E91" s="330"/>
      <c r="F91" s="330"/>
    </row>
    <row r="92" spans="1:6">
      <c r="A92" s="1293" t="s">
        <v>68</v>
      </c>
      <c r="B92" s="1294">
        <v>1389.3838301029102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589</v>
      </c>
      <c r="C97" s="330"/>
      <c r="D97" s="330"/>
      <c r="E97" s="330"/>
      <c r="F97" s="330"/>
    </row>
    <row r="98" spans="1:6">
      <c r="A98" s="1298" t="s">
        <v>71</v>
      </c>
      <c r="B98" s="1299">
        <v>0</v>
      </c>
      <c r="C98" s="330"/>
      <c r="D98" s="330"/>
      <c r="E98" s="330"/>
      <c r="F98" s="330"/>
    </row>
    <row r="99" spans="1:6">
      <c r="A99" s="1298" t="s">
        <v>72</v>
      </c>
      <c r="B99" s="1299">
        <v>207</v>
      </c>
      <c r="C99" s="330"/>
      <c r="D99" s="330"/>
      <c r="E99" s="330"/>
      <c r="F99" s="330"/>
    </row>
    <row r="100" spans="1:6">
      <c r="A100" s="1298" t="s">
        <v>73</v>
      </c>
      <c r="B100" s="1299">
        <v>248</v>
      </c>
      <c r="C100" s="330"/>
      <c r="D100" s="330"/>
      <c r="E100" s="330"/>
      <c r="F100" s="330"/>
    </row>
    <row r="101" spans="1:6">
      <c r="A101" s="1298" t="s">
        <v>74</v>
      </c>
      <c r="B101" s="1299">
        <v>97</v>
      </c>
      <c r="C101" s="330"/>
      <c r="D101" s="330"/>
      <c r="E101" s="330"/>
      <c r="F101" s="330"/>
    </row>
    <row r="102" spans="1:6">
      <c r="A102" s="1298" t="s">
        <v>75</v>
      </c>
      <c r="B102" s="1299">
        <v>44</v>
      </c>
      <c r="C102" s="330"/>
      <c r="D102" s="330"/>
      <c r="E102" s="330"/>
      <c r="F102" s="330"/>
    </row>
    <row r="103" spans="1:6">
      <c r="A103" s="1298" t="s">
        <v>76</v>
      </c>
      <c r="B103" s="1299">
        <v>236</v>
      </c>
      <c r="C103" s="330"/>
      <c r="D103" s="330"/>
      <c r="E103" s="330"/>
      <c r="F103" s="330"/>
    </row>
    <row r="104" spans="1:6">
      <c r="A104" s="1298" t="s">
        <v>77</v>
      </c>
      <c r="B104" s="1299">
        <v>1428</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10</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154</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81596.464327910231</v>
      </c>
      <c r="C3" s="43" t="s">
        <v>169</v>
      </c>
      <c r="D3" s="43"/>
      <c r="E3" s="154"/>
      <c r="F3" s="43"/>
      <c r="G3" s="43"/>
      <c r="H3" s="43"/>
      <c r="I3" s="43"/>
      <c r="J3" s="43"/>
      <c r="K3" s="96"/>
    </row>
    <row r="4" spans="1:11">
      <c r="A4" s="358" t="s">
        <v>170</v>
      </c>
      <c r="B4" s="49">
        <f>IF(ISERROR('SEAP template'!B78+'SEAP template'!C78),0,'SEAP template'!B78+'SEAP template'!C78)</f>
        <v>10937.617400487288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1585.4029411764707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0.21080580211186065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2264.8613445378155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9530.3571428571431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720.57600000000002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720.57600000000002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0.21080580211186065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151.90160166255609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10454.865089999999</v>
      </c>
      <c r="C5" s="17">
        <f>IF(ISERROR('Eigen informatie GS &amp; warmtenet'!B59),0,'Eigen informatie GS &amp; warmtenet'!B59)</f>
        <v>0</v>
      </c>
      <c r="D5" s="30">
        <f>(SUM(HH_hh_gas_kWh,HH_rest_gas_kWh)/1000)*0.902</f>
        <v>19000.519586180002</v>
      </c>
      <c r="E5" s="17">
        <f>B46*B57</f>
        <v>18806.202223801989</v>
      </c>
      <c r="F5" s="17">
        <f>B51*B62</f>
        <v>12508.362195982589</v>
      </c>
      <c r="G5" s="18"/>
      <c r="H5" s="17"/>
      <c r="I5" s="17"/>
      <c r="J5" s="17">
        <f>B50*B61+C50*C61</f>
        <v>1900.3016608266157</v>
      </c>
      <c r="K5" s="17"/>
      <c r="L5" s="17"/>
      <c r="M5" s="17"/>
      <c r="N5" s="17">
        <f>B48*B59+C48*C59</f>
        <v>10995.50509647223</v>
      </c>
      <c r="O5" s="17">
        <f>B69*B70*B71</f>
        <v>325.36914797947321</v>
      </c>
      <c r="P5" s="17">
        <f>B77*B78*B79/1000-B77*B78*B79/1000/B80</f>
        <v>168.54334892296038</v>
      </c>
    </row>
    <row r="6" spans="1:16">
      <c r="A6" s="16" t="s">
        <v>611</v>
      </c>
      <c r="B6" s="783">
        <f>kWh_PV_kleiner_dan_10kW</f>
        <v>2876.9835703843792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13331.848660384378</v>
      </c>
      <c r="C8" s="21">
        <f>C5</f>
        <v>0</v>
      </c>
      <c r="D8" s="21">
        <f>D5</f>
        <v>19000.519586180002</v>
      </c>
      <c r="E8" s="21">
        <f>E5</f>
        <v>18806.202223801989</v>
      </c>
      <c r="F8" s="21">
        <f>F5</f>
        <v>12508.362195982589</v>
      </c>
      <c r="G8" s="21"/>
      <c r="H8" s="21"/>
      <c r="I8" s="21"/>
      <c r="J8" s="21">
        <f>J5</f>
        <v>1900.3016608266157</v>
      </c>
      <c r="K8" s="21"/>
      <c r="L8" s="21">
        <f>L5</f>
        <v>0</v>
      </c>
      <c r="M8" s="21">
        <f>M5</f>
        <v>0</v>
      </c>
      <c r="N8" s="21">
        <f>N5</f>
        <v>10995.50509647223</v>
      </c>
      <c r="O8" s="21">
        <f>O5</f>
        <v>325.36914797947321</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0.21080580211186065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2810.4310504862638</v>
      </c>
      <c r="C12" s="23">
        <f ca="1">C10*C8</f>
        <v>0</v>
      </c>
      <c r="D12" s="23">
        <f>D8*D10</f>
        <v>3838.1049564083605</v>
      </c>
      <c r="E12" s="23">
        <f>E10*E8</f>
        <v>4269.007904803052</v>
      </c>
      <c r="F12" s="23">
        <f>F10*F8</f>
        <v>3339.7327063273515</v>
      </c>
      <c r="G12" s="23"/>
      <c r="H12" s="23"/>
      <c r="I12" s="23"/>
      <c r="J12" s="23">
        <f>J10*J8</f>
        <v>672.70678793262198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589</v>
      </c>
      <c r="C18" s="166" t="s">
        <v>110</v>
      </c>
      <c r="D18" s="228"/>
      <c r="E18" s="15"/>
    </row>
    <row r="19" spans="1:7">
      <c r="A19" s="171" t="s">
        <v>71</v>
      </c>
      <c r="B19" s="37">
        <f>aantalw2001_ander</f>
        <v>0</v>
      </c>
      <c r="C19" s="166" t="s">
        <v>110</v>
      </c>
      <c r="D19" s="229"/>
      <c r="E19" s="15"/>
    </row>
    <row r="20" spans="1:7">
      <c r="A20" s="171" t="s">
        <v>72</v>
      </c>
      <c r="B20" s="37">
        <f>aantalw2001_propaan</f>
        <v>207</v>
      </c>
      <c r="C20" s="167">
        <f>IF(ISERROR(B20/SUM($B$20,$B$21,$B$22)*100),0,B20/SUM($B$20,$B$21,$B$22)*100)</f>
        <v>37.5</v>
      </c>
      <c r="D20" s="229"/>
      <c r="E20" s="15"/>
    </row>
    <row r="21" spans="1:7">
      <c r="A21" s="171" t="s">
        <v>73</v>
      </c>
      <c r="B21" s="37">
        <f>aantalw2001_elektriciteit</f>
        <v>248</v>
      </c>
      <c r="C21" s="167">
        <f>IF(ISERROR(B21/SUM($B$20,$B$21,$B$22)*100),0,B21/SUM($B$20,$B$21,$B$22)*100)</f>
        <v>44.927536231884055</v>
      </c>
      <c r="D21" s="229"/>
      <c r="E21" s="15"/>
    </row>
    <row r="22" spans="1:7">
      <c r="A22" s="171" t="s">
        <v>74</v>
      </c>
      <c r="B22" s="37">
        <f>aantalw2001_hout</f>
        <v>97</v>
      </c>
      <c r="C22" s="167">
        <f>IF(ISERROR(B22/SUM($B$20,$B$21,$B$22)*100),0,B22/SUM($B$20,$B$21,$B$22)*100)</f>
        <v>17.572463768115941</v>
      </c>
      <c r="D22" s="229"/>
      <c r="E22" s="15"/>
    </row>
    <row r="23" spans="1:7">
      <c r="A23" s="171" t="s">
        <v>75</v>
      </c>
      <c r="B23" s="37">
        <f>aantalw2001_niet_gespec</f>
        <v>44</v>
      </c>
      <c r="C23" s="166" t="s">
        <v>110</v>
      </c>
      <c r="D23" s="228"/>
      <c r="E23" s="15"/>
    </row>
    <row r="24" spans="1:7">
      <c r="A24" s="171" t="s">
        <v>76</v>
      </c>
      <c r="B24" s="37">
        <f>aantalw2001_steenkool</f>
        <v>236</v>
      </c>
      <c r="C24" s="166" t="s">
        <v>110</v>
      </c>
      <c r="D24" s="229"/>
      <c r="E24" s="15"/>
    </row>
    <row r="25" spans="1:7">
      <c r="A25" s="171" t="s">
        <v>77</v>
      </c>
      <c r="B25" s="37">
        <f>aantalw2001_stookolie</f>
        <v>1428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3192</v>
      </c>
      <c r="C28" s="36"/>
      <c r="D28" s="228"/>
    </row>
    <row r="29" spans="1:7" s="15" customFormat="1">
      <c r="A29" s="230" t="s">
        <v>819</v>
      </c>
      <c r="B29" s="37">
        <f>SUM(HH_hh_gas_aantal,HH_rest_gas_aantal)</f>
        <v>1506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1506</v>
      </c>
      <c r="C32" s="167">
        <f>IF(ISERROR(B32/SUM($B$32,$B$34,$B$35,$B$36,$B$38,$B$39)*100),0,B32/SUM($B$32,$B$34,$B$35,$B$36,$B$38,$B$39)*100)</f>
        <v>47.418136020151138</v>
      </c>
      <c r="D32" s="233"/>
      <c r="G32" s="15"/>
    </row>
    <row r="33" spans="1:7">
      <c r="A33" s="171" t="s">
        <v>71</v>
      </c>
      <c r="B33" s="34" t="s">
        <v>110</v>
      </c>
      <c r="C33" s="167"/>
      <c r="D33" s="233"/>
      <c r="G33" s="15"/>
    </row>
    <row r="34" spans="1:7">
      <c r="A34" s="171" t="s">
        <v>72</v>
      </c>
      <c r="B34" s="33">
        <f>IF((($B$28-$B$32-$B$39-$B$77-$B$38)*C20/100)&lt;0,0,($B$28-$B$32-$B$39-$B$77-$B$38)*C20/100)</f>
        <v>346.12500000000006</v>
      </c>
      <c r="C34" s="167">
        <f>IF(ISERROR(B34/SUM($B$32,$B$34,$B$35,$B$36,$B$38,$B$39)*100),0,B34/SUM($B$32,$B$34,$B$35,$B$36,$B$38,$B$39)*100)</f>
        <v>10.898142317380355</v>
      </c>
      <c r="D34" s="233"/>
      <c r="G34" s="15"/>
    </row>
    <row r="35" spans="1:7">
      <c r="A35" s="171" t="s">
        <v>73</v>
      </c>
      <c r="B35" s="33">
        <f>IF((($B$28-$B$32-$B$39-$B$77-$B$38)*C21/100)&lt;0,0,($B$28-$B$32-$B$39-$B$77-$B$38)*C21/100)</f>
        <v>414.68115942028993</v>
      </c>
      <c r="C35" s="167">
        <f>IF(ISERROR(B35/SUM($B$32,$B$34,$B$35,$B$36,$B$38,$B$39)*100),0,B35/SUM($B$32,$B$34,$B$35,$B$36,$B$38,$B$39)*100)</f>
        <v>13.056711568648927</v>
      </c>
      <c r="D35" s="233"/>
      <c r="G35" s="15"/>
    </row>
    <row r="36" spans="1:7">
      <c r="A36" s="171" t="s">
        <v>74</v>
      </c>
      <c r="B36" s="33">
        <f>IF((($B$28-$B$32-$B$39-$B$77-$B$38)*C22/100)&lt;0,0,($B$28-$B$32-$B$39-$B$77-$B$38)*C22/100)</f>
        <v>162.19384057971018</v>
      </c>
      <c r="C36" s="167">
        <f>IF(ISERROR(B36/SUM($B$32,$B$34,$B$35,$B$36,$B$38,$B$39)*100),0,B36/SUM($B$32,$B$34,$B$35,$B$36,$B$38,$B$39)*100)</f>
        <v>5.1068589603183305</v>
      </c>
      <c r="D36" s="233"/>
      <c r="G36" s="15"/>
    </row>
    <row r="37" spans="1:7">
      <c r="A37" s="171" t="s">
        <v>75</v>
      </c>
      <c r="B37" s="34" t="s">
        <v>110</v>
      </c>
      <c r="C37" s="167"/>
      <c r="D37" s="173"/>
      <c r="G37" s="15"/>
    </row>
    <row r="38" spans="1:7">
      <c r="A38" s="171" t="s">
        <v>76</v>
      </c>
      <c r="B38" s="33">
        <f>IF((B24-(B29-B18)*0.1)&lt;0,0,B24-(B29-B18)*0.1)</f>
        <v>144.30000000000001</v>
      </c>
      <c r="C38" s="167">
        <f>IF(ISERROR(B38/SUM($B$32,$B$34,$B$35,$B$36,$B$38,$B$39)*100),0,B38/SUM($B$32,$B$34,$B$35,$B$36,$B$38,$B$39)*100)</f>
        <v>4.5434508816120909</v>
      </c>
      <c r="D38" s="234"/>
      <c r="G38" s="15"/>
    </row>
    <row r="39" spans="1:7">
      <c r="A39" s="171" t="s">
        <v>77</v>
      </c>
      <c r="B39" s="33">
        <f>IF((B25-(B29-B18))&lt;0,0,B25-(B29-B18)*0.9)</f>
        <v>602.69999999999993</v>
      </c>
      <c r="C39" s="167">
        <f>IF(ISERROR(B39/SUM($B$32,$B$34,$B$35,$B$36,$B$38,$B$39)*100),0,B39/SUM($B$32,$B$34,$B$35,$B$36,$B$38,$B$39)*100)</f>
        <v>18.976700251889167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1506</v>
      </c>
      <c r="C44" s="34" t="s">
        <v>110</v>
      </c>
      <c r="D44" s="174"/>
    </row>
    <row r="45" spans="1:7">
      <c r="A45" s="171" t="s">
        <v>71</v>
      </c>
      <c r="B45" s="33" t="str">
        <f t="shared" si="0"/>
        <v>-</v>
      </c>
      <c r="C45" s="34" t="s">
        <v>110</v>
      </c>
      <c r="D45" s="174"/>
    </row>
    <row r="46" spans="1:7">
      <c r="A46" s="171" t="s">
        <v>72</v>
      </c>
      <c r="B46" s="33">
        <f t="shared" si="0"/>
        <v>346.12500000000006</v>
      </c>
      <c r="C46" s="34" t="s">
        <v>110</v>
      </c>
      <c r="D46" s="174"/>
    </row>
    <row r="47" spans="1:7">
      <c r="A47" s="171" t="s">
        <v>73</v>
      </c>
      <c r="B47" s="33">
        <f t="shared" si="0"/>
        <v>414.68115942028993</v>
      </c>
      <c r="C47" s="34" t="s">
        <v>110</v>
      </c>
      <c r="D47" s="174"/>
    </row>
    <row r="48" spans="1:7">
      <c r="A48" s="171" t="s">
        <v>74</v>
      </c>
      <c r="B48" s="33">
        <f t="shared" si="0"/>
        <v>162.19384057971018</v>
      </c>
      <c r="C48" s="33">
        <f>B48*10</f>
        <v>1621.938405797102</v>
      </c>
      <c r="D48" s="234"/>
    </row>
    <row r="49" spans="1:6">
      <c r="A49" s="171" t="s">
        <v>75</v>
      </c>
      <c r="B49" s="33" t="str">
        <f t="shared" si="0"/>
        <v>-</v>
      </c>
      <c r="C49" s="34" t="s">
        <v>110</v>
      </c>
      <c r="D49" s="234"/>
    </row>
    <row r="50" spans="1:6">
      <c r="A50" s="171" t="s">
        <v>76</v>
      </c>
      <c r="B50" s="33">
        <f t="shared" si="0"/>
        <v>144.30000000000001</v>
      </c>
      <c r="C50" s="33">
        <f>B50*2</f>
        <v>288.60000000000002</v>
      </c>
      <c r="D50" s="234"/>
    </row>
    <row r="51" spans="1:6">
      <c r="A51" s="171" t="s">
        <v>77</v>
      </c>
      <c r="B51" s="33">
        <f t="shared" si="0"/>
        <v>602.69999999999993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9341.4776740000016</v>
      </c>
      <c r="C5" s="17">
        <f>IF(ISERROR('Eigen informatie GS &amp; warmtenet'!B60),0,'Eigen informatie GS &amp; warmtenet'!B60)</f>
        <v>0</v>
      </c>
      <c r="D5" s="30">
        <f>SUM(D6:D12)</f>
        <v>9223.9198745980011</v>
      </c>
      <c r="E5" s="17">
        <f>SUM(E6:E12)</f>
        <v>146.88759000217851</v>
      </c>
      <c r="F5" s="17">
        <f>SUM(F6:F12)</f>
        <v>1047.4863026544267</v>
      </c>
      <c r="G5" s="18"/>
      <c r="H5" s="17"/>
      <c r="I5" s="17"/>
      <c r="J5" s="17">
        <f>SUM(J6:J12)</f>
        <v>1.2764318450870959E-2</v>
      </c>
      <c r="K5" s="17"/>
      <c r="L5" s="17"/>
      <c r="M5" s="17"/>
      <c r="N5" s="17">
        <f>SUM(N6:N12)</f>
        <v>503.70781504139171</v>
      </c>
      <c r="O5" s="17">
        <f>B38*B39*B40</f>
        <v>4.8972607658411542</v>
      </c>
      <c r="P5" s="17">
        <f>B46*B47*B48/1000-B46*B47*B48/1000/B49</f>
        <v>52.539138306495019</v>
      </c>
      <c r="R5" s="32"/>
    </row>
    <row r="6" spans="1:18">
      <c r="A6" s="32" t="s">
        <v>53</v>
      </c>
      <c r="B6" s="37">
        <f>B26</f>
        <v>1732.2712749999998</v>
      </c>
      <c r="C6" s="33"/>
      <c r="D6" s="37">
        <f>IF(ISERROR(TER_kantoor_gas_kWh/1000),0,TER_kantoor_gas_kWh/1000)*0.902</f>
        <v>1996.2828172100001</v>
      </c>
      <c r="E6" s="33">
        <f>$C$26*'E Balans VL '!I12/100/3.6*1000000</f>
        <v>13.939031539997707</v>
      </c>
      <c r="F6" s="33">
        <f>$C$26*('E Balans VL '!L12+'E Balans VL '!N12)/100/3.6*1000000</f>
        <v>211.78838627914448</v>
      </c>
      <c r="G6" s="34"/>
      <c r="H6" s="33"/>
      <c r="I6" s="33"/>
      <c r="J6" s="33">
        <f>$C$26*('E Balans VL '!D12+'E Balans VL '!E12)/100/3.6*1000000</f>
        <v>0</v>
      </c>
      <c r="K6" s="33"/>
      <c r="L6" s="33"/>
      <c r="M6" s="33"/>
      <c r="N6" s="33">
        <f>$C$26*'E Balans VL '!Y12/100/3.6*1000000</f>
        <v>0.93101050518516359</v>
      </c>
      <c r="O6" s="33"/>
      <c r="P6" s="33"/>
      <c r="R6" s="32"/>
    </row>
    <row r="7" spans="1:18">
      <c r="A7" s="32" t="s">
        <v>52</v>
      </c>
      <c r="B7" s="37">
        <f t="shared" ref="B7:B12" si="0">B27</f>
        <v>749.48944499999993</v>
      </c>
      <c r="C7" s="33"/>
      <c r="D7" s="37">
        <f>IF(ISERROR(TER_horeca_gas_kWh/1000),0,TER_horeca_gas_kWh/1000)*0.902</f>
        <v>598.67798454199999</v>
      </c>
      <c r="E7" s="33">
        <f>$C$27*'E Balans VL '!I9/100/3.6*1000000</f>
        <v>8.0476762149812746</v>
      </c>
      <c r="F7" s="33">
        <f>$C$27*('E Balans VL '!L9+'E Balans VL '!N9)/100/3.6*1000000</f>
        <v>90.145406094262228</v>
      </c>
      <c r="G7" s="34"/>
      <c r="H7" s="33"/>
      <c r="I7" s="33"/>
      <c r="J7" s="33">
        <f>$C$27*('E Balans VL '!D9+'E Balans VL '!E9)/100/3.6*1000000</f>
        <v>0</v>
      </c>
      <c r="K7" s="33"/>
      <c r="L7" s="33"/>
      <c r="M7" s="33"/>
      <c r="N7" s="33">
        <f>$C$27*'E Balans VL '!Y9/100/3.6*1000000</f>
        <v>0.11236365819296841</v>
      </c>
      <c r="O7" s="33"/>
      <c r="P7" s="33"/>
      <c r="R7" s="32"/>
    </row>
    <row r="8" spans="1:18">
      <c r="A8" s="6" t="s">
        <v>51</v>
      </c>
      <c r="B8" s="37">
        <f t="shared" si="0"/>
        <v>2870.9198700000002</v>
      </c>
      <c r="C8" s="33"/>
      <c r="D8" s="37">
        <f>IF(ISERROR(TER_handel_gas_kWh/1000),0,TER_handel_gas_kWh/1000)*0.902</f>
        <v>1658.829103712</v>
      </c>
      <c r="E8" s="33">
        <f>$C$28*'E Balans VL '!I13/100/3.6*1000000</f>
        <v>77.046700074880576</v>
      </c>
      <c r="F8" s="33">
        <f>$C$28*('E Balans VL '!L13+'E Balans VL '!N13)/100/3.6*1000000</f>
        <v>273.97423962993247</v>
      </c>
      <c r="G8" s="34"/>
      <c r="H8" s="33"/>
      <c r="I8" s="33"/>
      <c r="J8" s="33">
        <f>$C$28*('E Balans VL '!D13+'E Balans VL '!E13)/100/3.6*1000000</f>
        <v>0</v>
      </c>
      <c r="K8" s="33"/>
      <c r="L8" s="33"/>
      <c r="M8" s="33"/>
      <c r="N8" s="33">
        <f>$C$28*'E Balans VL '!Y13/100/3.6*1000000</f>
        <v>1.1380652799336064</v>
      </c>
      <c r="O8" s="33"/>
      <c r="P8" s="33"/>
      <c r="R8" s="32"/>
    </row>
    <row r="9" spans="1:18">
      <c r="A9" s="32" t="s">
        <v>50</v>
      </c>
      <c r="B9" s="37">
        <f t="shared" si="0"/>
        <v>39.258618999999996</v>
      </c>
      <c r="C9" s="33"/>
      <c r="D9" s="37">
        <f>IF(ISERROR(TER_gezond_gas_kWh/1000),0,TER_gezond_gas_kWh/1000)*0.902</f>
        <v>101.37627790400001</v>
      </c>
      <c r="E9" s="33">
        <f>$C$29*'E Balans VL '!I10/100/3.6*1000000</f>
        <v>7.3583435167439815E-2</v>
      </c>
      <c r="F9" s="33">
        <f>$C$29*('E Balans VL '!L10+'E Balans VL '!N10)/100/3.6*1000000</f>
        <v>3.2274166890973151</v>
      </c>
      <c r="G9" s="34"/>
      <c r="H9" s="33"/>
      <c r="I9" s="33"/>
      <c r="J9" s="33">
        <f>$C$29*('E Balans VL '!D10+'E Balans VL '!E10)/100/3.6*1000000</f>
        <v>0</v>
      </c>
      <c r="K9" s="33"/>
      <c r="L9" s="33"/>
      <c r="M9" s="33"/>
      <c r="N9" s="33">
        <f>$C$29*'E Balans VL '!Y10/100/3.6*1000000</f>
        <v>0.30546134695852845</v>
      </c>
      <c r="O9" s="33"/>
      <c r="P9" s="33"/>
      <c r="R9" s="32"/>
    </row>
    <row r="10" spans="1:18">
      <c r="A10" s="32" t="s">
        <v>49</v>
      </c>
      <c r="B10" s="37">
        <f t="shared" si="0"/>
        <v>353.19149599999997</v>
      </c>
      <c r="C10" s="33"/>
      <c r="D10" s="37">
        <f>IF(ISERROR(TER_ander_gas_kWh/1000),0,TER_ander_gas_kWh/1000)*0.902</f>
        <v>113.37860650600001</v>
      </c>
      <c r="E10" s="33">
        <f>$C$30*'E Balans VL '!I14/100/3.6*1000000</f>
        <v>0.54444826991813144</v>
      </c>
      <c r="F10" s="33">
        <f>$C$30*('E Balans VL '!L14+'E Balans VL '!N14)/100/3.6*1000000</f>
        <v>54.833077257873114</v>
      </c>
      <c r="G10" s="34"/>
      <c r="H10" s="33"/>
      <c r="I10" s="33"/>
      <c r="J10" s="33">
        <f>$C$30*('E Balans VL '!D14+'E Balans VL '!E14)/100/3.6*1000000</f>
        <v>5.9957981291107717E-3</v>
      </c>
      <c r="K10" s="33"/>
      <c r="L10" s="33"/>
      <c r="M10" s="33"/>
      <c r="N10" s="33">
        <f>$C$30*'E Balans VL '!Y14/100/3.6*1000000</f>
        <v>233.66017405112308</v>
      </c>
      <c r="O10" s="33"/>
      <c r="P10" s="33"/>
      <c r="R10" s="32"/>
    </row>
    <row r="11" spans="1:18">
      <c r="A11" s="32" t="s">
        <v>54</v>
      </c>
      <c r="B11" s="37">
        <f t="shared" si="0"/>
        <v>64.540455000000009</v>
      </c>
      <c r="C11" s="33"/>
      <c r="D11" s="37">
        <f>IF(ISERROR(TER_onderwijs_gas_kWh/1000),0,TER_onderwijs_gas_kWh/1000)*0.902</f>
        <v>388.34007416600002</v>
      </c>
      <c r="E11" s="33">
        <f>$C$31*'E Balans VL '!I11/100/3.6*1000000</f>
        <v>1.6462224174498841</v>
      </c>
      <c r="F11" s="33">
        <f>$C$31*('E Balans VL '!L11+'E Balans VL '!N11)/100/3.6*1000000</f>
        <v>7.7615971916460298</v>
      </c>
      <c r="G11" s="34"/>
      <c r="H11" s="33"/>
      <c r="I11" s="33"/>
      <c r="J11" s="33">
        <f>$C$31*('E Balans VL '!D11+'E Balans VL '!E11)/100/3.6*1000000</f>
        <v>0</v>
      </c>
      <c r="K11" s="33"/>
      <c r="L11" s="33"/>
      <c r="M11" s="33"/>
      <c r="N11" s="33">
        <f>$C$31*'E Balans VL '!Y11/100/3.6*1000000</f>
        <v>0.14353639711932847</v>
      </c>
      <c r="O11" s="33"/>
      <c r="P11" s="33"/>
      <c r="R11" s="32"/>
    </row>
    <row r="12" spans="1:18">
      <c r="A12" s="32" t="s">
        <v>259</v>
      </c>
      <c r="B12" s="37">
        <f t="shared" si="0"/>
        <v>3531.8065139999999</v>
      </c>
      <c r="C12" s="33"/>
      <c r="D12" s="37">
        <f>IF(ISERROR(TER_rest_gas_kWh/1000),0,TER_rest_gas_kWh/1000)*0.902</f>
        <v>4367.035010558001</v>
      </c>
      <c r="E12" s="33">
        <f>$C$32*'E Balans VL '!I8/100/3.6*1000000</f>
        <v>45.589928049783509</v>
      </c>
      <c r="F12" s="33">
        <f>$C$32*('E Balans VL '!L8+'E Balans VL '!N8)/100/3.6*1000000</f>
        <v>405.75617951247079</v>
      </c>
      <c r="G12" s="34"/>
      <c r="H12" s="33"/>
      <c r="I12" s="33"/>
      <c r="J12" s="33">
        <f>$C$32*('E Balans VL '!D8+'E Balans VL '!E8)/100/3.6*1000000</f>
        <v>6.7685203217601872E-3</v>
      </c>
      <c r="K12" s="33"/>
      <c r="L12" s="33"/>
      <c r="M12" s="33"/>
      <c r="N12" s="33">
        <f>$C$32*'E Balans VL '!Y8/100/3.6*1000000</f>
        <v>267.41720380287904</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9341.4776740000016</v>
      </c>
      <c r="C16" s="21">
        <f t="shared" ca="1" si="1"/>
        <v>0</v>
      </c>
      <c r="D16" s="21">
        <f t="shared" ca="1" si="1"/>
        <v>9223.9198745980011</v>
      </c>
      <c r="E16" s="21">
        <f t="shared" si="1"/>
        <v>146.88759000217851</v>
      </c>
      <c r="F16" s="21">
        <f t="shared" ca="1" si="1"/>
        <v>1047.4863026544267</v>
      </c>
      <c r="G16" s="21">
        <f t="shared" si="1"/>
        <v>0</v>
      </c>
      <c r="H16" s="21">
        <f t="shared" si="1"/>
        <v>0</v>
      </c>
      <c r="I16" s="21">
        <f t="shared" si="1"/>
        <v>0</v>
      </c>
      <c r="J16" s="21">
        <f t="shared" si="1"/>
        <v>1.2764318450870959E-2</v>
      </c>
      <c r="K16" s="21">
        <f t="shared" si="1"/>
        <v>0</v>
      </c>
      <c r="L16" s="21">
        <f t="shared" ca="1" si="1"/>
        <v>0</v>
      </c>
      <c r="M16" s="21">
        <f t="shared" si="1"/>
        <v>0</v>
      </c>
      <c r="N16" s="21">
        <f t="shared" ca="1" si="1"/>
        <v>503.70781504139171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0.21080580211186065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1969.2376939776086</v>
      </c>
      <c r="C20" s="23">
        <f t="shared" ref="C20:P20" ca="1" si="2">C16*C18</f>
        <v>0</v>
      </c>
      <c r="D20" s="23">
        <f t="shared" ca="1" si="2"/>
        <v>1863.2318146687962</v>
      </c>
      <c r="E20" s="23">
        <f t="shared" si="2"/>
        <v>33.343482930494524</v>
      </c>
      <c r="F20" s="23">
        <f t="shared" ca="1" si="2"/>
        <v>279.67884280873193</v>
      </c>
      <c r="G20" s="23">
        <f t="shared" si="2"/>
        <v>0</v>
      </c>
      <c r="H20" s="23">
        <f t="shared" si="2"/>
        <v>0</v>
      </c>
      <c r="I20" s="23">
        <f t="shared" si="2"/>
        <v>0</v>
      </c>
      <c r="J20" s="23">
        <f t="shared" si="2"/>
        <v>4.5185687316083188E-3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1732.2712749999998</v>
      </c>
      <c r="C26" s="39">
        <f>IF(ISERROR(B26*3.6/1000000/'E Balans VL '!Z12*100),0,B26*3.6/1000000/'E Balans VL '!Z12*100)</f>
        <v>3.6748550252902072E-2</v>
      </c>
      <c r="D26" s="237" t="s">
        <v>708</v>
      </c>
      <c r="F26" s="6"/>
    </row>
    <row r="27" spans="1:18">
      <c r="A27" s="231" t="s">
        <v>52</v>
      </c>
      <c r="B27" s="33">
        <f>IF(ISERROR(TER_horeca_ele_kWh/1000),0,TER_horeca_ele_kWh/1000)</f>
        <v>749.48944499999993</v>
      </c>
      <c r="C27" s="39">
        <f>IF(ISERROR(B27*3.6/1000000/'E Balans VL '!Z9*100),0,B27*3.6/1000000/'E Balans VL '!Z9*100)</f>
        <v>5.6443194565663372E-2</v>
      </c>
      <c r="D27" s="237" t="s">
        <v>708</v>
      </c>
      <c r="F27" s="6"/>
    </row>
    <row r="28" spans="1:18">
      <c r="A28" s="171" t="s">
        <v>51</v>
      </c>
      <c r="B28" s="33">
        <f>IF(ISERROR(TER_handel_ele_kWh/1000),0,TER_handel_ele_kWh/1000)</f>
        <v>2870.9198700000002</v>
      </c>
      <c r="C28" s="39">
        <f>IF(ISERROR(B28*3.6/1000000/'E Balans VL '!Z13*100),0,B28*3.6/1000000/'E Balans VL '!Z13*100)</f>
        <v>8.333263136332672E-2</v>
      </c>
      <c r="D28" s="237" t="s">
        <v>708</v>
      </c>
      <c r="F28" s="6"/>
    </row>
    <row r="29" spans="1:18">
      <c r="A29" s="231" t="s">
        <v>50</v>
      </c>
      <c r="B29" s="33">
        <f>IF(ISERROR(TER_gezond_ele_kWh/1000),0,TER_gezond_ele_kWh/1000)</f>
        <v>39.258618999999996</v>
      </c>
      <c r="C29" s="39">
        <f>IF(ISERROR(B29*3.6/1000000/'E Balans VL '!Z10*100),0,B29*3.6/1000000/'E Balans VL '!Z10*100)</f>
        <v>3.9592785439600047E-3</v>
      </c>
      <c r="D29" s="237" t="s">
        <v>708</v>
      </c>
      <c r="F29" s="6"/>
    </row>
    <row r="30" spans="1:18">
      <c r="A30" s="231" t="s">
        <v>49</v>
      </c>
      <c r="B30" s="33">
        <f>IF(ISERROR(TER_ander_ele_kWh/1000),0,TER_ander_ele_kWh/1000)</f>
        <v>353.19149599999997</v>
      </c>
      <c r="C30" s="39">
        <f>IF(ISERROR(B30*3.6/1000000/'E Balans VL '!Z14*100),0,B30*3.6/1000000/'E Balans VL '!Z14*100)</f>
        <v>2.5628861450286415E-2</v>
      </c>
      <c r="D30" s="237" t="s">
        <v>708</v>
      </c>
      <c r="F30" s="6"/>
    </row>
    <row r="31" spans="1:18">
      <c r="A31" s="231" t="s">
        <v>54</v>
      </c>
      <c r="B31" s="33">
        <f>IF(ISERROR(TER_onderwijs_ele_kWh/1000),0,TER_onderwijs_ele_kWh/1000)</f>
        <v>64.540455000000009</v>
      </c>
      <c r="C31" s="39">
        <f>IF(ISERROR(B31*3.6/1000000/'E Balans VL '!Z11*100),0,B31*3.6/1000000/'E Balans VL '!Z11*100)</f>
        <v>1.8396657884706576E-2</v>
      </c>
      <c r="D31" s="237" t="s">
        <v>708</v>
      </c>
    </row>
    <row r="32" spans="1:18">
      <c r="A32" s="231" t="s">
        <v>259</v>
      </c>
      <c r="B32" s="33">
        <f>IF(ISERROR(TER_rest_ele_kWh/1000),0,TER_rest_ele_kWh/1000)</f>
        <v>3531.8065139999999</v>
      </c>
      <c r="C32" s="39">
        <f>IF(ISERROR(B32*3.6/1000000/'E Balans VL '!Z8*100),0,B32*3.6/1000000/'E Balans VL '!Z8*100)</f>
        <v>2.8931839567381643E-2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53244.526238999999</v>
      </c>
      <c r="C5" s="17">
        <f>IF(ISERROR('Eigen informatie GS &amp; warmtenet'!B61),0,'Eigen informatie GS &amp; warmtenet'!B61)</f>
        <v>0</v>
      </c>
      <c r="D5" s="30">
        <f>SUM(D6:D15)</f>
        <v>15854.124933261999</v>
      </c>
      <c r="E5" s="17">
        <f>SUM(E6:E15)</f>
        <v>860.87556299448136</v>
      </c>
      <c r="F5" s="17">
        <f>SUM(F6:F15)</f>
        <v>4972.433745540854</v>
      </c>
      <c r="G5" s="18"/>
      <c r="H5" s="17"/>
      <c r="I5" s="17"/>
      <c r="J5" s="17">
        <f>SUM(J6:J15)</f>
        <v>118.74880414817787</v>
      </c>
      <c r="K5" s="17"/>
      <c r="L5" s="17"/>
      <c r="M5" s="17"/>
      <c r="N5" s="17">
        <f>SUM(N6:N15)</f>
        <v>2830.0944170878183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9.2184660000000012</v>
      </c>
      <c r="C8" s="33"/>
      <c r="D8" s="37">
        <f>IF( ISERROR(IND_metaal_Gas_kWH/1000),0,IND_metaal_Gas_kWH/1000)*0.902</f>
        <v>0</v>
      </c>
      <c r="E8" s="33">
        <f>C30*'E Balans VL '!I18/100/3.6*1000000</f>
        <v>6.6504762065866238E-2</v>
      </c>
      <c r="F8" s="33">
        <f>C30*'E Balans VL '!L18/100/3.6*1000000+C30*'E Balans VL '!N18/100/3.6*1000000</f>
        <v>0.87189690699385736</v>
      </c>
      <c r="G8" s="34"/>
      <c r="H8" s="33"/>
      <c r="I8" s="33"/>
      <c r="J8" s="40">
        <f>C30*'E Balans VL '!D18/100/3.6*1000000+C30*'E Balans VL '!E18/100/3.6*1000000</f>
        <v>9.2719866731322629E-3</v>
      </c>
      <c r="K8" s="33"/>
      <c r="L8" s="33"/>
      <c r="M8" s="33"/>
      <c r="N8" s="33">
        <f>C30*'E Balans VL '!Y18/100/3.6*1000000</f>
        <v>0.11654579989313212</v>
      </c>
      <c r="O8" s="33"/>
      <c r="P8" s="33"/>
      <c r="R8" s="32"/>
    </row>
    <row r="9" spans="1:18">
      <c r="A9" s="6" t="s">
        <v>32</v>
      </c>
      <c r="B9" s="37">
        <f t="shared" si="0"/>
        <v>419.51343699999995</v>
      </c>
      <c r="C9" s="33"/>
      <c r="D9" s="37">
        <f>IF( ISERROR(IND_andere_gas_kWh/1000),0,IND_andere_gas_kWh/1000)*0.902</f>
        <v>307.14879736200004</v>
      </c>
      <c r="E9" s="33">
        <f>C31*'E Balans VL '!I19/100/3.6*1000000</f>
        <v>116.25278299013553</v>
      </c>
      <c r="F9" s="33">
        <f>C31*'E Balans VL '!L19/100/3.6*1000000+C31*'E Balans VL '!N19/100/3.6*1000000</f>
        <v>347.69364316112421</v>
      </c>
      <c r="G9" s="34"/>
      <c r="H9" s="33"/>
      <c r="I9" s="33"/>
      <c r="J9" s="40">
        <f>C31*'E Balans VL '!D19/100/3.6*1000000+C31*'E Balans VL '!E19/100/3.6*1000000</f>
        <v>0</v>
      </c>
      <c r="K9" s="33"/>
      <c r="L9" s="33"/>
      <c r="M9" s="33"/>
      <c r="N9" s="33">
        <f>C31*'E Balans VL '!Y19/100/3.6*1000000</f>
        <v>30.451544321370161</v>
      </c>
      <c r="O9" s="33"/>
      <c r="P9" s="33"/>
      <c r="R9" s="32"/>
    </row>
    <row r="10" spans="1:18">
      <c r="A10" s="6" t="s">
        <v>40</v>
      </c>
      <c r="B10" s="37">
        <f t="shared" si="0"/>
        <v>38499.188829999999</v>
      </c>
      <c r="C10" s="33"/>
      <c r="D10" s="37">
        <f>IF( ISERROR(IND_voed_gas_kWh/1000),0,IND_voed_gas_kWh/1000)*0.902</f>
        <v>0</v>
      </c>
      <c r="E10" s="33">
        <f>C32*'E Balans VL '!I20/100/3.6*1000000</f>
        <v>68.156604740421244</v>
      </c>
      <c r="F10" s="33">
        <f>C32*'E Balans VL '!L20/100/3.6*1000000+C32*'E Balans VL '!N20/100/3.6*1000000</f>
        <v>2079.2974120698495</v>
      </c>
      <c r="G10" s="34"/>
      <c r="H10" s="33"/>
      <c r="I10" s="33"/>
      <c r="J10" s="40">
        <f>C32*'E Balans VL '!D20/100/3.6*1000000+C32*'E Balans VL '!E20/100/3.6*1000000</f>
        <v>0</v>
      </c>
      <c r="K10" s="33"/>
      <c r="L10" s="33"/>
      <c r="M10" s="33"/>
      <c r="N10" s="33">
        <f>C32*'E Balans VL '!Y20/100/3.6*1000000</f>
        <v>2237.0968929918704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4.6171360000000004</v>
      </c>
      <c r="C13" s="33"/>
      <c r="D13" s="37">
        <f>IF( ISERROR(IND_papier_gas_kWh/1000),0,IND_papier_gas_kWh/1000)*0.902</f>
        <v>0</v>
      </c>
      <c r="E13" s="33">
        <f>C35*'E Balans VL '!I23/100/3.6*1000000</f>
        <v>6.7933924889726849E-3</v>
      </c>
      <c r="F13" s="33">
        <f>C35*'E Balans VL '!L23/100/3.6*1000000+C35*'E Balans VL '!N23/100/3.6*1000000</f>
        <v>4.943709043139894E-2</v>
      </c>
      <c r="G13" s="34"/>
      <c r="H13" s="33"/>
      <c r="I13" s="33"/>
      <c r="J13" s="40">
        <f>C35*'E Balans VL '!D23/100/3.6*1000000+C35*'E Balans VL '!E23/100/3.6*1000000</f>
        <v>0.5051405699438053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14311.988369999999</v>
      </c>
      <c r="C15" s="33"/>
      <c r="D15" s="37">
        <f>IF( ISERROR(IND_rest_gas_kWh/1000),0,IND_rest_gas_kWh/1000)*0.902</f>
        <v>15546.976135899999</v>
      </c>
      <c r="E15" s="33">
        <f>C37*'E Balans VL '!I15/100/3.6*1000000</f>
        <v>676.39287710936981</v>
      </c>
      <c r="F15" s="33">
        <f>C37*'E Balans VL '!L15/100/3.6*1000000+C37*'E Balans VL '!N15/100/3.6*1000000</f>
        <v>2544.5213563124553</v>
      </c>
      <c r="G15" s="34"/>
      <c r="H15" s="33"/>
      <c r="I15" s="33"/>
      <c r="J15" s="40">
        <f>C37*'E Balans VL '!D15/100/3.6*1000000+C37*'E Balans VL '!E15/100/3.6*1000000</f>
        <v>118.23439159156094</v>
      </c>
      <c r="K15" s="33"/>
      <c r="L15" s="33"/>
      <c r="M15" s="33"/>
      <c r="N15" s="33">
        <f>C37*'E Balans VL '!Y15/100/3.6*1000000</f>
        <v>562.42943397468491</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53244.526238999999</v>
      </c>
      <c r="C18" s="21">
        <f>C5+C16</f>
        <v>0</v>
      </c>
      <c r="D18" s="21">
        <f>MAX((D5+D16),0)</f>
        <v>15854.124933261999</v>
      </c>
      <c r="E18" s="21">
        <f>MAX((E5+E16),0)</f>
        <v>860.87556299448136</v>
      </c>
      <c r="F18" s="21">
        <f>MAX((F5+F16),0)</f>
        <v>4972.433745540854</v>
      </c>
      <c r="G18" s="21"/>
      <c r="H18" s="21"/>
      <c r="I18" s="21"/>
      <c r="J18" s="21">
        <f>MAX((J5+J16),0)</f>
        <v>118.74880414817787</v>
      </c>
      <c r="K18" s="21"/>
      <c r="L18" s="21">
        <f>MAX((L5+L16),0)</f>
        <v>0</v>
      </c>
      <c r="M18" s="21"/>
      <c r="N18" s="21">
        <f>MAX((N5+N16),0)</f>
        <v>2830.0944170878183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0.21080580211186065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11224.255061878406</v>
      </c>
      <c r="C22" s="23">
        <f ca="1">C18*C20</f>
        <v>0</v>
      </c>
      <c r="D22" s="23">
        <f>D18*D20</f>
        <v>3202.5332365189242</v>
      </c>
      <c r="E22" s="23">
        <f>E18*E20</f>
        <v>195.41875279974727</v>
      </c>
      <c r="F22" s="23">
        <f>F18*F20</f>
        <v>1327.6398100594081</v>
      </c>
      <c r="G22" s="23"/>
      <c r="H22" s="23"/>
      <c r="I22" s="23"/>
      <c r="J22" s="23">
        <f>J18*J20</f>
        <v>42.037076668454965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9.2184660000000012</v>
      </c>
      <c r="C30" s="39">
        <f>IF(ISERROR(B30*3.6/1000000/'E Balans VL '!Z18*100),0,B30*3.6/1000000/'E Balans VL '!Z18*100)</f>
        <v>5.321676581680763E-4</v>
      </c>
      <c r="D30" s="237" t="s">
        <v>708</v>
      </c>
    </row>
    <row r="31" spans="1:18">
      <c r="A31" s="6" t="s">
        <v>32</v>
      </c>
      <c r="B31" s="37">
        <f>IF( ISERROR(IND_ander_ele_kWh/1000),0,IND_ander_ele_kWh/1000)</f>
        <v>419.51343699999995</v>
      </c>
      <c r="C31" s="39">
        <f>IF(ISERROR(B31*3.6/1000000/'E Balans VL '!Z19*100),0,B31*3.6/1000000/'E Balans VL '!Z19*100)</f>
        <v>2.1100166080946749E-2</v>
      </c>
      <c r="D31" s="237" t="s">
        <v>708</v>
      </c>
    </row>
    <row r="32" spans="1:18">
      <c r="A32" s="171" t="s">
        <v>40</v>
      </c>
      <c r="B32" s="37">
        <f>IF( ISERROR(IND_voed_ele_kWh/1000),0,IND_voed_ele_kWh/1000)</f>
        <v>38499.188829999999</v>
      </c>
      <c r="C32" s="39">
        <f>IF(ISERROR(B32*3.6/1000000/'E Balans VL '!Z20*100),0,B32*3.6/1000000/'E Balans VL '!Z20*100)</f>
        <v>1.2822516057733582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4.6171360000000004</v>
      </c>
      <c r="C35" s="39">
        <f>IF(ISERROR(B35*3.6/1000000/'E Balans VL '!Z22*100),0,B35*3.6/1000000/'E Balans VL '!Z22*100)</f>
        <v>8.6125181403973118E-4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14311.988369999999</v>
      </c>
      <c r="C37" s="39">
        <f>IF(ISERROR(B37*3.6/1000000/'E Balans VL '!Z15*100),0,B37*3.6/1000000/'E Balans VL '!Z15*100)</f>
        <v>0.111672647295832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4607.5502100000003</v>
      </c>
      <c r="C5" s="17">
        <f>'Eigen informatie GS &amp; warmtenet'!B62</f>
        <v>0</v>
      </c>
      <c r="D5" s="30">
        <f>IF(ISERROR(SUM(LB_lb_gas_kWh,LB_rest_gas_kWh)/1000),0,SUM(LB_lb_gas_kWh,LB_rest_gas_kWh)/1000)*0.902</f>
        <v>22145.709077799998</v>
      </c>
      <c r="E5" s="17">
        <f>B17*'E Balans VL '!I25/3.6*1000000/100</f>
        <v>143.80012267148379</v>
      </c>
      <c r="F5" s="17">
        <f>B17*('E Balans VL '!L25/3.6*1000000+'E Balans VL '!N25/3.6*1000000)/100</f>
        <v>16283.592852783431</v>
      </c>
      <c r="G5" s="18"/>
      <c r="H5" s="17"/>
      <c r="I5" s="17"/>
      <c r="J5" s="17">
        <f>('E Balans VL '!D25+'E Balans VL '!E25)/3.6*1000000*landbouw!B17/100</f>
        <v>1269.4120359356718</v>
      </c>
      <c r="K5" s="17"/>
      <c r="L5" s="17">
        <f>L6*(-1)</f>
        <v>0</v>
      </c>
      <c r="M5" s="17"/>
      <c r="N5" s="17">
        <f>N6*(-1)</f>
        <v>0</v>
      </c>
      <c r="O5" s="17"/>
      <c r="P5" s="17"/>
      <c r="R5" s="32"/>
    </row>
    <row r="6" spans="1:18">
      <c r="A6" s="16" t="s">
        <v>478</v>
      </c>
      <c r="B6" s="17" t="s">
        <v>210</v>
      </c>
      <c r="C6" s="17">
        <f>'lokale energieproductie'!O40+'lokale energieproductie'!O33</f>
        <v>9530.3571428571431</v>
      </c>
      <c r="D6" s="308">
        <f>('lokale energieproductie'!P33+'lokale energieproductie'!P40)*(-1)</f>
        <v>-19060.714285714286</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4607.5502100000003</v>
      </c>
      <c r="C8" s="21">
        <f>C5+C6</f>
        <v>9530.3571428571431</v>
      </c>
      <c r="D8" s="21">
        <f>MAX((D5+D6),0)</f>
        <v>3084.9947920857121</v>
      </c>
      <c r="E8" s="21">
        <f>MAX((E5+E6),0)</f>
        <v>143.80012267148379</v>
      </c>
      <c r="F8" s="21">
        <f>MAX((F5+F6),0)</f>
        <v>16283.592852783431</v>
      </c>
      <c r="G8" s="21"/>
      <c r="H8" s="21"/>
      <c r="I8" s="21"/>
      <c r="J8" s="21">
        <f>MAX((J5+J6),0)</f>
        <v>1269.4120359356718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0.21080580211186065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971.29831778972198</v>
      </c>
      <c r="C12" s="23">
        <f ca="1">C8*C10</f>
        <v>2264.8613445378155</v>
      </c>
      <c r="D12" s="23">
        <f>D8*D10</f>
        <v>623.16894800131388</v>
      </c>
      <c r="E12" s="23">
        <f>E8*E10</f>
        <v>32.642627846426819</v>
      </c>
      <c r="F12" s="23">
        <f>F8*F10</f>
        <v>4347.7192916931763</v>
      </c>
      <c r="G12" s="23"/>
      <c r="H12" s="23"/>
      <c r="I12" s="23"/>
      <c r="J12" s="23">
        <f>J8*J10</f>
        <v>449.37186072122779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0.6849453687650835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717.84975656469908</v>
      </c>
      <c r="C26" s="247">
        <f>B26*'GWP N2O_CH4'!B5</f>
        <v>15074.844887858681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500.72424556491637</v>
      </c>
      <c r="C27" s="247">
        <f>B27*'GWP N2O_CH4'!B5</f>
        <v>10515.209156863244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11.546925754085869</v>
      </c>
      <c r="C28" s="247">
        <f>B28*'GWP N2O_CH4'!B4</f>
        <v>3579.5469837666196</v>
      </c>
      <c r="D28" s="50"/>
    </row>
    <row r="29" spans="1:4">
      <c r="A29" s="41" t="s">
        <v>276</v>
      </c>
      <c r="B29" s="247">
        <f>B34*'ha_N2O bodem landbouw'!B4</f>
        <v>28.489129897510637</v>
      </c>
      <c r="C29" s="247">
        <f>B29*'GWP N2O_CH4'!B4</f>
        <v>8831.6302682282967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6.2471532512735324E-3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9.9885947493074461E-5</v>
      </c>
      <c r="C5" s="437" t="s">
        <v>210</v>
      </c>
      <c r="D5" s="422">
        <f>SUM(D6:D11)</f>
        <v>4.1251407280113399E-4</v>
      </c>
      <c r="E5" s="422">
        <f>SUM(E6:E11)</f>
        <v>3.4498780537584674E-4</v>
      </c>
      <c r="F5" s="435" t="s">
        <v>210</v>
      </c>
      <c r="G5" s="422">
        <f>SUM(G6:G11)</f>
        <v>0.15579826371204505</v>
      </c>
      <c r="H5" s="422">
        <f>SUM(H6:H11)</f>
        <v>3.8330168284824336E-2</v>
      </c>
      <c r="I5" s="437" t="s">
        <v>210</v>
      </c>
      <c r="J5" s="437" t="s">
        <v>210</v>
      </c>
      <c r="K5" s="437" t="s">
        <v>210</v>
      </c>
      <c r="L5" s="437" t="s">
        <v>210</v>
      </c>
      <c r="M5" s="422">
        <f>SUM(M6:M11)</f>
        <v>1.151834682162305E-2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5.6892926281770697E-5</v>
      </c>
      <c r="C6" s="423"/>
      <c r="D6" s="890">
        <f>vkm_GW_PW*SUMIFS(TableVerdeelsleutelVkm[CNG],TableVerdeelsleutelVkm[Voertuigtype],"Lichte voertuigen")*SUMIFS(TableECFTransport[EnergieConsumptieFactor (PJ per km)],TableECFTransport[Index],CONCATENATE($A6,"_CNG_CNG"))</f>
        <v>1.8327500952462726E-4</v>
      </c>
      <c r="E6" s="890">
        <f>vkm_GW_PW*SUMIFS(TableVerdeelsleutelVkm[LPG],TableVerdeelsleutelVkm[Voertuigtype],"Lichte voertuigen")*SUMIFS(TableECFTransport[EnergieConsumptieFactor (PJ per km)],TableECFTransport[Index],CONCATENATE($A6,"_LPG_LPG"))</f>
        <v>1.5673250086495005E-4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5.0632346531406761E-2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1.7169118180006354E-2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4.0553197089749611E-3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2.6890472088300494E-2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3.8450960625652281E-7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1.5500315180832724E-3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4.0563457766644704E-5</v>
      </c>
      <c r="C8" s="423"/>
      <c r="D8" s="425">
        <f>vkm_NGW_PW*SUMIFS(TableVerdeelsleutelVkm[CNG],TableVerdeelsleutelVkm[Voertuigtype],"Lichte voertuigen")*SUMIFS(TableECFTransport[EnergieConsumptieFactor (PJ per km)],TableECFTransport[Index],CONCATENATE($A8,"_CNG_CNG"))</f>
        <v>2.2139396741168186E-4</v>
      </c>
      <c r="E8" s="425">
        <f>vkm_NGW_PW*SUMIFS(TableVerdeelsleutelVkm[LPG],TableVerdeelsleutelVkm[Voertuigtype],"Lichte voertuigen")*SUMIFS(TableECFTransport[EnergieConsumptieFactor (PJ per km)],TableECFTransport[Index],CONCATENATE($A8,"_LPG_LPG"))</f>
        <v>1.7989563307828843E-4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5.4305114905971549E-2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2.0393448978507766E-2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4.4805120222867634E-3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1.9277198081980688E-2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3.4949284401841723E-7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1.111188973920264E-3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2.4295634446590505E-6</v>
      </c>
      <c r="C10" s="423"/>
      <c r="D10" s="425">
        <f>vkm_SW_PW*SUMIFS(TableVerdeelsleutelVkm[CNG],TableVerdeelsleutelVkm[Voertuigtype],"Lichte voertuigen")*SUMIFS(TableECFTransport[EnergieConsumptieFactor (PJ per km)],TableECFTransport[Index],CONCATENATE($A10,"_CNG_CNG"))</f>
        <v>7.8450958648248474E-6</v>
      </c>
      <c r="E10" s="425">
        <f>vkm_SW_PW*SUMIFS(TableVerdeelsleutelVkm[LPG],TableVerdeelsleutelVkm[Voertuigtype],"Lichte voertuigen")*SUMIFS(TableECFTransport[EnergieConsumptieFactor (PJ per km)],TableECFTransport[Index],CONCATENATE($A10,"_LPG_LPG"))</f>
        <v>8.3596714326082318E-6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2.4062057252937758E-3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7.6683218277479742E-4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1.8947051048410132E-4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2.2869263790918125E-3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3.4941085140188253E-8</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1.3182408787368576E-4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27.746096525854018</v>
      </c>
      <c r="C14" s="21"/>
      <c r="D14" s="21">
        <f t="shared" ref="D14:M14" si="0">((D5)*10^9/3600)+D12</f>
        <v>114.58724244475944</v>
      </c>
      <c r="E14" s="21">
        <f t="shared" si="0"/>
        <v>95.829945937735204</v>
      </c>
      <c r="F14" s="21"/>
      <c r="G14" s="21">
        <f t="shared" si="0"/>
        <v>43277.295475568069</v>
      </c>
      <c r="H14" s="21">
        <f t="shared" si="0"/>
        <v>10647.26896800676</v>
      </c>
      <c r="I14" s="21"/>
      <c r="J14" s="21"/>
      <c r="K14" s="21"/>
      <c r="L14" s="21"/>
      <c r="M14" s="21">
        <f t="shared" si="0"/>
        <v>3199.5407837841803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0.21080580211186065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5.8490381336057666</v>
      </c>
      <c r="C18" s="23"/>
      <c r="D18" s="23">
        <f t="shared" ref="D18:M18" si="1">D14*D16</f>
        <v>23.14662297384141</v>
      </c>
      <c r="E18" s="23">
        <f t="shared" si="1"/>
        <v>21.753397727865892</v>
      </c>
      <c r="F18" s="23"/>
      <c r="G18" s="23">
        <f t="shared" si="1"/>
        <v>11555.037891976675</v>
      </c>
      <c r="H18" s="23">
        <f t="shared" si="1"/>
        <v>2651.1699730336832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3.3602077429038899E-3</v>
      </c>
      <c r="H50" s="319">
        <f t="shared" si="2"/>
        <v>0</v>
      </c>
      <c r="I50" s="319">
        <f t="shared" si="2"/>
        <v>0</v>
      </c>
      <c r="J50" s="319">
        <f t="shared" si="2"/>
        <v>0</v>
      </c>
      <c r="K50" s="319">
        <f t="shared" si="2"/>
        <v>0</v>
      </c>
      <c r="L50" s="319">
        <f t="shared" si="2"/>
        <v>0</v>
      </c>
      <c r="M50" s="319">
        <f t="shared" si="2"/>
        <v>1.867313351413656E-4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3.3602077429038899E-3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1.867313351413656E-4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933.39103969552502</v>
      </c>
      <c r="H54" s="21">
        <f t="shared" si="3"/>
        <v>0</v>
      </c>
      <c r="I54" s="21">
        <f t="shared" si="3"/>
        <v>0</v>
      </c>
      <c r="J54" s="21">
        <f t="shared" si="3"/>
        <v>0</v>
      </c>
      <c r="K54" s="21">
        <f t="shared" si="3"/>
        <v>0</v>
      </c>
      <c r="L54" s="21">
        <f t="shared" si="3"/>
        <v>0</v>
      </c>
      <c r="M54" s="21">
        <f t="shared" si="3"/>
        <v>51.869815317045997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0.21080580211186065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249.21540759870518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10062.053674000003</v>
      </c>
      <c r="D10" s="686">
        <f ca="1">tertiair!C16</f>
        <v>0</v>
      </c>
      <c r="E10" s="686">
        <f ca="1">tertiair!D16</f>
        <v>9223.9198745980011</v>
      </c>
      <c r="F10" s="686">
        <f>tertiair!E16</f>
        <v>146.88759000217851</v>
      </c>
      <c r="G10" s="686">
        <f ca="1">tertiair!F16</f>
        <v>1047.4863026544267</v>
      </c>
      <c r="H10" s="686">
        <f>tertiair!G16</f>
        <v>0</v>
      </c>
      <c r="I10" s="686">
        <f>tertiair!H16</f>
        <v>0</v>
      </c>
      <c r="J10" s="686">
        <f>tertiair!I16</f>
        <v>0</v>
      </c>
      <c r="K10" s="686">
        <f>tertiair!J16</f>
        <v>1.2764318450870959E-2</v>
      </c>
      <c r="L10" s="686">
        <f>tertiair!K16</f>
        <v>0</v>
      </c>
      <c r="M10" s="686">
        <f ca="1">tertiair!L16</f>
        <v>0</v>
      </c>
      <c r="N10" s="686">
        <f>tertiair!M16</f>
        <v>0</v>
      </c>
      <c r="O10" s="686">
        <f ca="1">tertiair!N16</f>
        <v>503.70781504139171</v>
      </c>
      <c r="P10" s="686">
        <f>tertiair!O16</f>
        <v>4.8972607658411542</v>
      </c>
      <c r="Q10" s="687">
        <f>tertiair!P16</f>
        <v>52.539138306495019</v>
      </c>
      <c r="R10" s="689">
        <f ca="1">SUM(C10:Q10)</f>
        <v>21041.504419686786</v>
      </c>
      <c r="S10" s="67"/>
    </row>
    <row r="11" spans="1:19" s="448" customFormat="1">
      <c r="A11" s="808" t="s">
        <v>224</v>
      </c>
      <c r="B11" s="813"/>
      <c r="C11" s="686">
        <f>huishoudens!B8</f>
        <v>13331.848660384378</v>
      </c>
      <c r="D11" s="686">
        <f>huishoudens!C8</f>
        <v>0</v>
      </c>
      <c r="E11" s="686">
        <f>huishoudens!D8</f>
        <v>19000.519586180002</v>
      </c>
      <c r="F11" s="686">
        <f>huishoudens!E8</f>
        <v>18806.202223801989</v>
      </c>
      <c r="G11" s="686">
        <f>huishoudens!F8</f>
        <v>12508.362195982589</v>
      </c>
      <c r="H11" s="686">
        <f>huishoudens!G8</f>
        <v>0</v>
      </c>
      <c r="I11" s="686">
        <f>huishoudens!H8</f>
        <v>0</v>
      </c>
      <c r="J11" s="686">
        <f>huishoudens!I8</f>
        <v>0</v>
      </c>
      <c r="K11" s="686">
        <f>huishoudens!J8</f>
        <v>1900.3016608266157</v>
      </c>
      <c r="L11" s="686">
        <f>huishoudens!K8</f>
        <v>0</v>
      </c>
      <c r="M11" s="686">
        <f>huishoudens!L8</f>
        <v>0</v>
      </c>
      <c r="N11" s="686">
        <f>huishoudens!M8</f>
        <v>0</v>
      </c>
      <c r="O11" s="686">
        <f>huishoudens!N8</f>
        <v>10995.50509647223</v>
      </c>
      <c r="P11" s="686">
        <f>huishoudens!O8</f>
        <v>325.36914797947321</v>
      </c>
      <c r="Q11" s="687">
        <f>huishoudens!P8</f>
        <v>168.54334892296038</v>
      </c>
      <c r="R11" s="689">
        <f>SUM(C11:Q11)</f>
        <v>77036.651920550241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53244.526238999999</v>
      </c>
      <c r="D13" s="686">
        <f>industrie!C18</f>
        <v>0</v>
      </c>
      <c r="E13" s="686">
        <f>industrie!D18</f>
        <v>15854.124933261999</v>
      </c>
      <c r="F13" s="686">
        <f>industrie!E18</f>
        <v>860.87556299448136</v>
      </c>
      <c r="G13" s="686">
        <f>industrie!F18</f>
        <v>4972.433745540854</v>
      </c>
      <c r="H13" s="686">
        <f>industrie!G18</f>
        <v>0</v>
      </c>
      <c r="I13" s="686">
        <f>industrie!H18</f>
        <v>0</v>
      </c>
      <c r="J13" s="686">
        <f>industrie!I18</f>
        <v>0</v>
      </c>
      <c r="K13" s="686">
        <f>industrie!J18</f>
        <v>118.74880414817787</v>
      </c>
      <c r="L13" s="686">
        <f>industrie!K18</f>
        <v>0</v>
      </c>
      <c r="M13" s="686">
        <f>industrie!L18</f>
        <v>0</v>
      </c>
      <c r="N13" s="686">
        <f>industrie!M18</f>
        <v>0</v>
      </c>
      <c r="O13" s="686">
        <f>industrie!N18</f>
        <v>2830.0944170878183</v>
      </c>
      <c r="P13" s="686">
        <f>industrie!O18</f>
        <v>0</v>
      </c>
      <c r="Q13" s="687">
        <f>industrie!P18</f>
        <v>0</v>
      </c>
      <c r="R13" s="689">
        <f>SUM(C13:Q13)</f>
        <v>77880.803702033343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76638.428573384386</v>
      </c>
      <c r="D16" s="722">
        <f t="shared" ref="D16:R16" ca="1" si="0">SUM(D9:D15)</f>
        <v>0</v>
      </c>
      <c r="E16" s="722">
        <f t="shared" ca="1" si="0"/>
        <v>44078.564394040004</v>
      </c>
      <c r="F16" s="722">
        <f t="shared" si="0"/>
        <v>19813.965376798649</v>
      </c>
      <c r="G16" s="722">
        <f t="shared" ca="1" si="0"/>
        <v>18528.28224417787</v>
      </c>
      <c r="H16" s="722">
        <f t="shared" si="0"/>
        <v>0</v>
      </c>
      <c r="I16" s="722">
        <f t="shared" si="0"/>
        <v>0</v>
      </c>
      <c r="J16" s="722">
        <f t="shared" si="0"/>
        <v>0</v>
      </c>
      <c r="K16" s="722">
        <f t="shared" si="0"/>
        <v>2019.0632292932444</v>
      </c>
      <c r="L16" s="722">
        <f t="shared" si="0"/>
        <v>0</v>
      </c>
      <c r="M16" s="722">
        <f t="shared" ca="1" si="0"/>
        <v>0</v>
      </c>
      <c r="N16" s="722">
        <f t="shared" si="0"/>
        <v>0</v>
      </c>
      <c r="O16" s="722">
        <f t="shared" ca="1" si="0"/>
        <v>14329.307328601441</v>
      </c>
      <c r="P16" s="722">
        <f t="shared" si="0"/>
        <v>330.26640874531438</v>
      </c>
      <c r="Q16" s="722">
        <f t="shared" si="0"/>
        <v>221.08248722945541</v>
      </c>
      <c r="R16" s="722">
        <f t="shared" ca="1" si="0"/>
        <v>175958.96004227037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933.39103969552502</v>
      </c>
      <c r="I19" s="686">
        <f>transport!H54</f>
        <v>0</v>
      </c>
      <c r="J19" s="686">
        <f>transport!I54</f>
        <v>0</v>
      </c>
      <c r="K19" s="686">
        <f>transport!J54</f>
        <v>0</v>
      </c>
      <c r="L19" s="686">
        <f>transport!K54</f>
        <v>0</v>
      </c>
      <c r="M19" s="686">
        <f>transport!L54</f>
        <v>0</v>
      </c>
      <c r="N19" s="686">
        <f>transport!M54</f>
        <v>51.869815317045997</v>
      </c>
      <c r="O19" s="686">
        <f>transport!N54</f>
        <v>0</v>
      </c>
      <c r="P19" s="686">
        <f>transport!O54</f>
        <v>0</v>
      </c>
      <c r="Q19" s="687">
        <f>transport!P54</f>
        <v>0</v>
      </c>
      <c r="R19" s="689">
        <f>SUM(C19:Q19)</f>
        <v>985.26085501257103</v>
      </c>
      <c r="S19" s="67"/>
    </row>
    <row r="20" spans="1:19" s="448" customFormat="1">
      <c r="A20" s="808" t="s">
        <v>306</v>
      </c>
      <c r="B20" s="813"/>
      <c r="C20" s="686">
        <f>transport!B14</f>
        <v>27.746096525854018</v>
      </c>
      <c r="D20" s="686">
        <f>transport!C14</f>
        <v>0</v>
      </c>
      <c r="E20" s="686">
        <f>transport!D14</f>
        <v>114.58724244475944</v>
      </c>
      <c r="F20" s="686">
        <f>transport!E14</f>
        <v>95.829945937735204</v>
      </c>
      <c r="G20" s="686">
        <f>transport!F14</f>
        <v>0</v>
      </c>
      <c r="H20" s="686">
        <f>transport!G14</f>
        <v>43277.295475568069</v>
      </c>
      <c r="I20" s="686">
        <f>transport!H14</f>
        <v>10647.26896800676</v>
      </c>
      <c r="J20" s="686">
        <f>transport!I14</f>
        <v>0</v>
      </c>
      <c r="K20" s="686">
        <f>transport!J14</f>
        <v>0</v>
      </c>
      <c r="L20" s="686">
        <f>transport!K14</f>
        <v>0</v>
      </c>
      <c r="M20" s="686">
        <f>transport!L14</f>
        <v>0</v>
      </c>
      <c r="N20" s="686">
        <f>transport!M14</f>
        <v>3199.5407837841803</v>
      </c>
      <c r="O20" s="686">
        <f>transport!N14</f>
        <v>0</v>
      </c>
      <c r="P20" s="686">
        <f>transport!O14</f>
        <v>0</v>
      </c>
      <c r="Q20" s="687">
        <f>transport!P14</f>
        <v>0</v>
      </c>
      <c r="R20" s="689">
        <f>SUM(C20:Q20)</f>
        <v>57362.268512267357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27.746096525854018</v>
      </c>
      <c r="D22" s="811">
        <f t="shared" ref="D22:R22" si="1">SUM(D18:D21)</f>
        <v>0</v>
      </c>
      <c r="E22" s="811">
        <f t="shared" si="1"/>
        <v>114.58724244475944</v>
      </c>
      <c r="F22" s="811">
        <f t="shared" si="1"/>
        <v>95.829945937735204</v>
      </c>
      <c r="G22" s="811">
        <f t="shared" si="1"/>
        <v>0</v>
      </c>
      <c r="H22" s="811">
        <f t="shared" si="1"/>
        <v>44210.686515263595</v>
      </c>
      <c r="I22" s="811">
        <f t="shared" si="1"/>
        <v>10647.26896800676</v>
      </c>
      <c r="J22" s="811">
        <f t="shared" si="1"/>
        <v>0</v>
      </c>
      <c r="K22" s="811">
        <f t="shared" si="1"/>
        <v>0</v>
      </c>
      <c r="L22" s="811">
        <f t="shared" si="1"/>
        <v>0</v>
      </c>
      <c r="M22" s="811">
        <f t="shared" si="1"/>
        <v>0</v>
      </c>
      <c r="N22" s="811">
        <f t="shared" si="1"/>
        <v>3251.4105991012261</v>
      </c>
      <c r="O22" s="811">
        <f t="shared" si="1"/>
        <v>0</v>
      </c>
      <c r="P22" s="811">
        <f t="shared" si="1"/>
        <v>0</v>
      </c>
      <c r="Q22" s="811">
        <f t="shared" si="1"/>
        <v>0</v>
      </c>
      <c r="R22" s="811">
        <f t="shared" si="1"/>
        <v>58347.529367279931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4607.5502100000003</v>
      </c>
      <c r="D24" s="686">
        <f>+landbouw!C8</f>
        <v>9530.3571428571431</v>
      </c>
      <c r="E24" s="686">
        <f>+landbouw!D8</f>
        <v>3084.9947920857121</v>
      </c>
      <c r="F24" s="686">
        <f>+landbouw!E8</f>
        <v>143.80012267148379</v>
      </c>
      <c r="G24" s="686">
        <f>+landbouw!F8</f>
        <v>16283.592852783431</v>
      </c>
      <c r="H24" s="686">
        <f>+landbouw!G8</f>
        <v>0</v>
      </c>
      <c r="I24" s="686">
        <f>+landbouw!H8</f>
        <v>0</v>
      </c>
      <c r="J24" s="686">
        <f>+landbouw!I8</f>
        <v>0</v>
      </c>
      <c r="K24" s="686">
        <f>+landbouw!J8</f>
        <v>1269.4120359356718</v>
      </c>
      <c r="L24" s="686">
        <f>+landbouw!K8</f>
        <v>0</v>
      </c>
      <c r="M24" s="686">
        <f>+landbouw!L8</f>
        <v>0</v>
      </c>
      <c r="N24" s="686">
        <f>+landbouw!M8</f>
        <v>0</v>
      </c>
      <c r="O24" s="686">
        <f>+landbouw!N8</f>
        <v>0</v>
      </c>
      <c r="P24" s="686">
        <f>+landbouw!O8</f>
        <v>0</v>
      </c>
      <c r="Q24" s="687">
        <f>+landbouw!P8</f>
        <v>0</v>
      </c>
      <c r="R24" s="689">
        <f>SUM(C24:Q24)</f>
        <v>34919.707156333447</v>
      </c>
      <c r="S24" s="67"/>
    </row>
    <row r="25" spans="1:19" s="448" customFormat="1" ht="15" thickBot="1">
      <c r="A25" s="830" t="s">
        <v>724</v>
      </c>
      <c r="B25" s="949"/>
      <c r="C25" s="950">
        <f>IF(Onbekend_ele_kWh="---",0,Onbekend_ele_kWh)/1000+IF(REST_rest_ele_kWh="---",0,REST_rest_ele_kWh)/1000</f>
        <v>322.73944799999998</v>
      </c>
      <c r="D25" s="950"/>
      <c r="E25" s="950">
        <f>IF(onbekend_gas_kWh="---",0,onbekend_gas_kWh)/1000+IF(REST_rest_gas_kWh="---",0,REST_rest_gas_kWh)/1000</f>
        <v>539.63124100000005</v>
      </c>
      <c r="F25" s="950"/>
      <c r="G25" s="950"/>
      <c r="H25" s="950"/>
      <c r="I25" s="950"/>
      <c r="J25" s="950"/>
      <c r="K25" s="950"/>
      <c r="L25" s="950"/>
      <c r="M25" s="950"/>
      <c r="N25" s="950"/>
      <c r="O25" s="950"/>
      <c r="P25" s="950"/>
      <c r="Q25" s="951"/>
      <c r="R25" s="689">
        <f>SUM(C25:Q25)</f>
        <v>862.37068900000008</v>
      </c>
      <c r="S25" s="67"/>
    </row>
    <row r="26" spans="1:19" s="448" customFormat="1" ht="15.75" thickBot="1">
      <c r="A26" s="694" t="s">
        <v>725</v>
      </c>
      <c r="B26" s="816"/>
      <c r="C26" s="811">
        <f>SUM(C24:C25)</f>
        <v>4930.2896580000006</v>
      </c>
      <c r="D26" s="811">
        <f t="shared" ref="D26:R26" si="2">SUM(D24:D25)</f>
        <v>9530.3571428571431</v>
      </c>
      <c r="E26" s="811">
        <f t="shared" si="2"/>
        <v>3624.6260330857122</v>
      </c>
      <c r="F26" s="811">
        <f t="shared" si="2"/>
        <v>143.80012267148379</v>
      </c>
      <c r="G26" s="811">
        <f t="shared" si="2"/>
        <v>16283.592852783431</v>
      </c>
      <c r="H26" s="811">
        <f t="shared" si="2"/>
        <v>0</v>
      </c>
      <c r="I26" s="811">
        <f t="shared" si="2"/>
        <v>0</v>
      </c>
      <c r="J26" s="811">
        <f t="shared" si="2"/>
        <v>0</v>
      </c>
      <c r="K26" s="811">
        <f t="shared" si="2"/>
        <v>1269.4120359356718</v>
      </c>
      <c r="L26" s="811">
        <f t="shared" si="2"/>
        <v>0</v>
      </c>
      <c r="M26" s="811">
        <f t="shared" si="2"/>
        <v>0</v>
      </c>
      <c r="N26" s="811">
        <f t="shared" si="2"/>
        <v>0</v>
      </c>
      <c r="O26" s="811">
        <f t="shared" si="2"/>
        <v>0</v>
      </c>
      <c r="P26" s="811">
        <f t="shared" si="2"/>
        <v>0</v>
      </c>
      <c r="Q26" s="811">
        <f t="shared" si="2"/>
        <v>0</v>
      </c>
      <c r="R26" s="811">
        <f t="shared" si="2"/>
        <v>35782.07784533345</v>
      </c>
      <c r="S26" s="67"/>
    </row>
    <row r="27" spans="1:19" s="448" customFormat="1" ht="17.25" thickTop="1" thickBot="1">
      <c r="A27" s="695" t="s">
        <v>115</v>
      </c>
      <c r="B27" s="803"/>
      <c r="C27" s="696">
        <f ca="1">C22+C16+C26</f>
        <v>81596.464327910231</v>
      </c>
      <c r="D27" s="696">
        <f t="shared" ref="D27:R27" ca="1" si="3">D22+D16+D26</f>
        <v>9530.3571428571431</v>
      </c>
      <c r="E27" s="696">
        <f t="shared" ca="1" si="3"/>
        <v>47817.777669570474</v>
      </c>
      <c r="F27" s="696">
        <f t="shared" si="3"/>
        <v>20053.595445407867</v>
      </c>
      <c r="G27" s="696">
        <f t="shared" ca="1" si="3"/>
        <v>34811.875096961303</v>
      </c>
      <c r="H27" s="696">
        <f t="shared" si="3"/>
        <v>44210.686515263595</v>
      </c>
      <c r="I27" s="696">
        <f t="shared" si="3"/>
        <v>10647.26896800676</v>
      </c>
      <c r="J27" s="696">
        <f t="shared" si="3"/>
        <v>0</v>
      </c>
      <c r="K27" s="696">
        <f t="shared" si="3"/>
        <v>3288.4752652289162</v>
      </c>
      <c r="L27" s="696">
        <f t="shared" si="3"/>
        <v>0</v>
      </c>
      <c r="M27" s="696">
        <f t="shared" ca="1" si="3"/>
        <v>0</v>
      </c>
      <c r="N27" s="696">
        <f t="shared" si="3"/>
        <v>3251.4105991012261</v>
      </c>
      <c r="O27" s="696">
        <f t="shared" ca="1" si="3"/>
        <v>14329.307328601441</v>
      </c>
      <c r="P27" s="696">
        <f t="shared" si="3"/>
        <v>330.26640874531438</v>
      </c>
      <c r="Q27" s="696">
        <f t="shared" si="3"/>
        <v>221.08248722945541</v>
      </c>
      <c r="R27" s="696">
        <f t="shared" ca="1" si="3"/>
        <v>270088.56725488376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2121.1392956401646</v>
      </c>
      <c r="D40" s="686">
        <f ca="1">tertiair!C20</f>
        <v>0</v>
      </c>
      <c r="E40" s="686">
        <f ca="1">tertiair!D20</f>
        <v>1863.2318146687962</v>
      </c>
      <c r="F40" s="686">
        <f>tertiair!E20</f>
        <v>33.343482930494524</v>
      </c>
      <c r="G40" s="686">
        <f ca="1">tertiair!F20</f>
        <v>279.67884280873193</v>
      </c>
      <c r="H40" s="686">
        <f>tertiair!G20</f>
        <v>0</v>
      </c>
      <c r="I40" s="686">
        <f>tertiair!H20</f>
        <v>0</v>
      </c>
      <c r="J40" s="686">
        <f>tertiair!I20</f>
        <v>0</v>
      </c>
      <c r="K40" s="686">
        <f>tertiair!J20</f>
        <v>4.5185687316083188E-3</v>
      </c>
      <c r="L40" s="686">
        <f>tertiair!K20</f>
        <v>0</v>
      </c>
      <c r="M40" s="686">
        <f ca="1">tertiair!L20</f>
        <v>0</v>
      </c>
      <c r="N40" s="686">
        <f>tertiair!M20</f>
        <v>0</v>
      </c>
      <c r="O40" s="686">
        <f ca="1">tertiair!N20</f>
        <v>0</v>
      </c>
      <c r="P40" s="686">
        <f>tertiair!O20</f>
        <v>0</v>
      </c>
      <c r="Q40" s="769">
        <f>tertiair!P20</f>
        <v>0</v>
      </c>
      <c r="R40" s="849">
        <f t="shared" ca="1" si="4"/>
        <v>4297.3979546169185</v>
      </c>
    </row>
    <row r="41" spans="1:18">
      <c r="A41" s="821" t="s">
        <v>224</v>
      </c>
      <c r="B41" s="828"/>
      <c r="C41" s="686">
        <f ca="1">huishoudens!B12</f>
        <v>2810.4310504862638</v>
      </c>
      <c r="D41" s="686">
        <f ca="1">huishoudens!C12</f>
        <v>0</v>
      </c>
      <c r="E41" s="686">
        <f>huishoudens!D12</f>
        <v>3838.1049564083605</v>
      </c>
      <c r="F41" s="686">
        <f>huishoudens!E12</f>
        <v>4269.007904803052</v>
      </c>
      <c r="G41" s="686">
        <f>huishoudens!F12</f>
        <v>3339.7327063273515</v>
      </c>
      <c r="H41" s="686">
        <f>huishoudens!G12</f>
        <v>0</v>
      </c>
      <c r="I41" s="686">
        <f>huishoudens!H12</f>
        <v>0</v>
      </c>
      <c r="J41" s="686">
        <f>huishoudens!I12</f>
        <v>0</v>
      </c>
      <c r="K41" s="686">
        <f>huishoudens!J12</f>
        <v>672.70678793262198</v>
      </c>
      <c r="L41" s="686">
        <f>huishoudens!K12</f>
        <v>0</v>
      </c>
      <c r="M41" s="686">
        <f>huishoudens!L12</f>
        <v>0</v>
      </c>
      <c r="N41" s="686">
        <f>huishoudens!M12</f>
        <v>0</v>
      </c>
      <c r="O41" s="686">
        <f>huishoudens!N12</f>
        <v>0</v>
      </c>
      <c r="P41" s="686">
        <f>huishoudens!O12</f>
        <v>0</v>
      </c>
      <c r="Q41" s="769">
        <f>huishoudens!P12</f>
        <v>0</v>
      </c>
      <c r="R41" s="849">
        <f t="shared" ca="1" si="4"/>
        <v>14929.983405957651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11224.255061878406</v>
      </c>
      <c r="D43" s="686">
        <f ca="1">industrie!C22</f>
        <v>0</v>
      </c>
      <c r="E43" s="686">
        <f>industrie!D22</f>
        <v>3202.5332365189242</v>
      </c>
      <c r="F43" s="686">
        <f>industrie!E22</f>
        <v>195.41875279974727</v>
      </c>
      <c r="G43" s="686">
        <f>industrie!F22</f>
        <v>1327.6398100594081</v>
      </c>
      <c r="H43" s="686">
        <f>industrie!G22</f>
        <v>0</v>
      </c>
      <c r="I43" s="686">
        <f>industrie!H22</f>
        <v>0</v>
      </c>
      <c r="J43" s="686">
        <f>industrie!I22</f>
        <v>0</v>
      </c>
      <c r="K43" s="686">
        <f>industrie!J22</f>
        <v>42.037076668454965</v>
      </c>
      <c r="L43" s="686">
        <f>industrie!K22</f>
        <v>0</v>
      </c>
      <c r="M43" s="686">
        <f>industrie!L22</f>
        <v>0</v>
      </c>
      <c r="N43" s="686">
        <f>industrie!M22</f>
        <v>0</v>
      </c>
      <c r="O43" s="686">
        <f>industrie!N22</f>
        <v>0</v>
      </c>
      <c r="P43" s="686">
        <f>industrie!O22</f>
        <v>0</v>
      </c>
      <c r="Q43" s="769">
        <f>industrie!P22</f>
        <v>0</v>
      </c>
      <c r="R43" s="848">
        <f t="shared" ca="1" si="4"/>
        <v>15991.883937924942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16155.825408004835</v>
      </c>
      <c r="D46" s="722">
        <f t="shared" ref="D46:Q46" ca="1" si="5">SUM(D39:D45)</f>
        <v>0</v>
      </c>
      <c r="E46" s="722">
        <f t="shared" ca="1" si="5"/>
        <v>8903.8700075960805</v>
      </c>
      <c r="F46" s="722">
        <f t="shared" si="5"/>
        <v>4497.7701405332937</v>
      </c>
      <c r="G46" s="722">
        <f t="shared" ca="1" si="5"/>
        <v>4947.0513591954914</v>
      </c>
      <c r="H46" s="722">
        <f t="shared" si="5"/>
        <v>0</v>
      </c>
      <c r="I46" s="722">
        <f t="shared" si="5"/>
        <v>0</v>
      </c>
      <c r="J46" s="722">
        <f t="shared" si="5"/>
        <v>0</v>
      </c>
      <c r="K46" s="722">
        <f t="shared" si="5"/>
        <v>714.74838316980845</v>
      </c>
      <c r="L46" s="722">
        <f t="shared" si="5"/>
        <v>0</v>
      </c>
      <c r="M46" s="722">
        <f t="shared" ca="1" si="5"/>
        <v>0</v>
      </c>
      <c r="N46" s="722">
        <f t="shared" si="5"/>
        <v>0</v>
      </c>
      <c r="O46" s="722">
        <f t="shared" ca="1" si="5"/>
        <v>0</v>
      </c>
      <c r="P46" s="722">
        <f t="shared" si="5"/>
        <v>0</v>
      </c>
      <c r="Q46" s="722">
        <f t="shared" si="5"/>
        <v>0</v>
      </c>
      <c r="R46" s="722">
        <f ca="1">SUM(R39:R45)</f>
        <v>35219.265298499515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249.21540759870518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249.21540759870518</v>
      </c>
    </row>
    <row r="50" spans="1:18">
      <c r="A50" s="824" t="s">
        <v>306</v>
      </c>
      <c r="B50" s="834"/>
      <c r="C50" s="692">
        <f ca="1">transport!B18</f>
        <v>5.8490381336057666</v>
      </c>
      <c r="D50" s="692">
        <f>transport!C18</f>
        <v>0</v>
      </c>
      <c r="E50" s="692">
        <f>transport!D18</f>
        <v>23.14662297384141</v>
      </c>
      <c r="F50" s="692">
        <f>transport!E18</f>
        <v>21.753397727865892</v>
      </c>
      <c r="G50" s="692">
        <f>transport!F18</f>
        <v>0</v>
      </c>
      <c r="H50" s="692">
        <f>transport!G18</f>
        <v>11555.037891976675</v>
      </c>
      <c r="I50" s="692">
        <f>transport!H18</f>
        <v>2651.1699730336832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14256.956923845672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5.8490381336057666</v>
      </c>
      <c r="D52" s="722">
        <f t="shared" ref="D52:Q52" ca="1" si="6">SUM(D48:D51)</f>
        <v>0</v>
      </c>
      <c r="E52" s="722">
        <f t="shared" si="6"/>
        <v>23.14662297384141</v>
      </c>
      <c r="F52" s="722">
        <f t="shared" si="6"/>
        <v>21.753397727865892</v>
      </c>
      <c r="G52" s="722">
        <f t="shared" si="6"/>
        <v>0</v>
      </c>
      <c r="H52" s="722">
        <f t="shared" si="6"/>
        <v>11804.253299575381</v>
      </c>
      <c r="I52" s="722">
        <f t="shared" si="6"/>
        <v>2651.1699730336832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14506.172331444377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971.29831778972198</v>
      </c>
      <c r="D54" s="692">
        <f ca="1">+landbouw!C12</f>
        <v>2264.8613445378155</v>
      </c>
      <c r="E54" s="692">
        <f>+landbouw!D12</f>
        <v>623.16894800131388</v>
      </c>
      <c r="F54" s="692">
        <f>+landbouw!E12</f>
        <v>32.642627846426819</v>
      </c>
      <c r="G54" s="692">
        <f>+landbouw!F12</f>
        <v>4347.7192916931763</v>
      </c>
      <c r="H54" s="692">
        <f>+landbouw!G12</f>
        <v>0</v>
      </c>
      <c r="I54" s="692">
        <f>+landbouw!H12</f>
        <v>0</v>
      </c>
      <c r="J54" s="692">
        <f>+landbouw!I12</f>
        <v>0</v>
      </c>
      <c r="K54" s="692">
        <f>+landbouw!J12</f>
        <v>449.37186072122779</v>
      </c>
      <c r="L54" s="692">
        <f>+landbouw!K12</f>
        <v>0</v>
      </c>
      <c r="M54" s="692">
        <f>+landbouw!L12</f>
        <v>0</v>
      </c>
      <c r="N54" s="692">
        <f>+landbouw!M12</f>
        <v>0</v>
      </c>
      <c r="O54" s="692">
        <f>+landbouw!N12</f>
        <v>0</v>
      </c>
      <c r="P54" s="692">
        <f>+landbouw!O12</f>
        <v>0</v>
      </c>
      <c r="Q54" s="693">
        <f>+landbouw!P12</f>
        <v>0</v>
      </c>
      <c r="R54" s="721">
        <f ca="1">SUM(C54:Q54)</f>
        <v>8689.0623905896828</v>
      </c>
    </row>
    <row r="55" spans="1:18" ht="15" thickBot="1">
      <c r="A55" s="824" t="s">
        <v>724</v>
      </c>
      <c r="B55" s="834"/>
      <c r="C55" s="692">
        <f ca="1">C25*'EF ele_warmte'!B12</f>
        <v>68.035348208779141</v>
      </c>
      <c r="D55" s="692"/>
      <c r="E55" s="692">
        <f>E25*EF_CO2_aardgas</f>
        <v>109.00551068200002</v>
      </c>
      <c r="F55" s="692"/>
      <c r="G55" s="692"/>
      <c r="H55" s="692"/>
      <c r="I55" s="692"/>
      <c r="J55" s="692"/>
      <c r="K55" s="692"/>
      <c r="L55" s="692"/>
      <c r="M55" s="692"/>
      <c r="N55" s="692"/>
      <c r="O55" s="692"/>
      <c r="P55" s="692"/>
      <c r="Q55" s="693"/>
      <c r="R55" s="721">
        <f ca="1">SUM(C55:Q55)</f>
        <v>177.04085889077916</v>
      </c>
    </row>
    <row r="56" spans="1:18" ht="15.75" thickBot="1">
      <c r="A56" s="822" t="s">
        <v>725</v>
      </c>
      <c r="B56" s="835"/>
      <c r="C56" s="722">
        <f ca="1">SUM(C54:C55)</f>
        <v>1039.3336659985011</v>
      </c>
      <c r="D56" s="722">
        <f t="shared" ref="D56:Q56" ca="1" si="7">SUM(D54:D55)</f>
        <v>2264.8613445378155</v>
      </c>
      <c r="E56" s="722">
        <f t="shared" si="7"/>
        <v>732.1744586833139</v>
      </c>
      <c r="F56" s="722">
        <f t="shared" si="7"/>
        <v>32.642627846426819</v>
      </c>
      <c r="G56" s="722">
        <f t="shared" si="7"/>
        <v>4347.7192916931763</v>
      </c>
      <c r="H56" s="722">
        <f t="shared" si="7"/>
        <v>0</v>
      </c>
      <c r="I56" s="722">
        <f t="shared" si="7"/>
        <v>0</v>
      </c>
      <c r="J56" s="722">
        <f t="shared" si="7"/>
        <v>0</v>
      </c>
      <c r="K56" s="722">
        <f t="shared" si="7"/>
        <v>449.37186072122779</v>
      </c>
      <c r="L56" s="722">
        <f t="shared" si="7"/>
        <v>0</v>
      </c>
      <c r="M56" s="722">
        <f t="shared" si="7"/>
        <v>0</v>
      </c>
      <c r="N56" s="722">
        <f t="shared" si="7"/>
        <v>0</v>
      </c>
      <c r="O56" s="722">
        <f t="shared" si="7"/>
        <v>0</v>
      </c>
      <c r="P56" s="722">
        <f t="shared" si="7"/>
        <v>0</v>
      </c>
      <c r="Q56" s="723">
        <f t="shared" si="7"/>
        <v>0</v>
      </c>
      <c r="R56" s="724">
        <f ca="1">SUM(R54:R55)</f>
        <v>8866.1032494804622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17201.00811213694</v>
      </c>
      <c r="D61" s="730">
        <f t="shared" ref="D61:Q61" ca="1" si="8">D46+D52+D56</f>
        <v>2264.8613445378155</v>
      </c>
      <c r="E61" s="730">
        <f t="shared" ca="1" si="8"/>
        <v>9659.191089253236</v>
      </c>
      <c r="F61" s="730">
        <f t="shared" si="8"/>
        <v>4552.1661661075868</v>
      </c>
      <c r="G61" s="730">
        <f t="shared" ca="1" si="8"/>
        <v>9294.7706508886677</v>
      </c>
      <c r="H61" s="730">
        <f t="shared" si="8"/>
        <v>11804.253299575381</v>
      </c>
      <c r="I61" s="730">
        <f t="shared" si="8"/>
        <v>2651.1699730336832</v>
      </c>
      <c r="J61" s="730">
        <f t="shared" si="8"/>
        <v>0</v>
      </c>
      <c r="K61" s="730">
        <f t="shared" si="8"/>
        <v>1164.1202438910364</v>
      </c>
      <c r="L61" s="730">
        <f t="shared" si="8"/>
        <v>0</v>
      </c>
      <c r="M61" s="730">
        <f t="shared" ca="1" si="8"/>
        <v>0</v>
      </c>
      <c r="N61" s="730">
        <f t="shared" si="8"/>
        <v>0</v>
      </c>
      <c r="O61" s="730">
        <f t="shared" ca="1" si="8"/>
        <v>0</v>
      </c>
      <c r="P61" s="730">
        <f t="shared" si="8"/>
        <v>0</v>
      </c>
      <c r="Q61" s="730">
        <f t="shared" si="8"/>
        <v>0</v>
      </c>
      <c r="R61" s="730">
        <f ca="1">R46+R52+R56</f>
        <v>58591.540879424349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0.21080580211186065</v>
      </c>
      <c r="D63" s="776">
        <f t="shared" ca="1" si="9"/>
        <v>0.23764705882352943</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4266.3674004872892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6671.25</v>
      </c>
      <c r="D76" s="958">
        <f>'lokale energieproductie'!C8</f>
        <v>7848.5294117647054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1585.4029411764707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4266.3674004872892</v>
      </c>
      <c r="C78" s="748">
        <f>SUM(C72:C77)</f>
        <v>6671.25</v>
      </c>
      <c r="D78" s="749">
        <f t="shared" ref="D78:H78" si="10">SUM(D76:D77)</f>
        <v>7848.5294117647054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1585.4029411764707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9530.3571428571431</v>
      </c>
      <c r="D87" s="772">
        <f>'lokale energieproductie'!C17</f>
        <v>11212.18487394958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2264.8613445378155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9530.3571428571431</v>
      </c>
      <c r="D90" s="748">
        <f t="shared" ref="D90:H90" si="12">SUM(D87:D89)</f>
        <v>11212.18487394958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2264.8613445378155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4266.3674004872892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6671.25</v>
      </c>
      <c r="C8" s="548">
        <f>B49</f>
        <v>7848.5294117647054</v>
      </c>
      <c r="D8" s="549"/>
      <c r="E8" s="549">
        <f>E49</f>
        <v>0</v>
      </c>
      <c r="F8" s="550"/>
      <c r="G8" s="551"/>
      <c r="H8" s="549">
        <f>I49</f>
        <v>0</v>
      </c>
      <c r="I8" s="549">
        <f>G49+F49</f>
        <v>0</v>
      </c>
      <c r="J8" s="549">
        <f>H49+D49+C49</f>
        <v>0</v>
      </c>
      <c r="K8" s="549"/>
      <c r="L8" s="549"/>
      <c r="M8" s="549"/>
      <c r="N8" s="552"/>
      <c r="O8" s="553">
        <f>C8*$C$12+D8*$D$12+E8*$E$12+F8*$F$12+G8*$G$12+H8*$H$12+I8*$I$12+J8*$J$12</f>
        <v>1585.4029411764707</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10937.617400487288</v>
      </c>
      <c r="C10" s="563">
        <f t="shared" ref="C10:L10" si="0">SUM(C8:C9)</f>
        <v>7848.5294117647054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1585.4029411764707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9530.3571428571431</v>
      </c>
      <c r="C17" s="579">
        <f>B50</f>
        <v>11212.18487394958</v>
      </c>
      <c r="D17" s="580"/>
      <c r="E17" s="580">
        <f>E50</f>
        <v>0</v>
      </c>
      <c r="F17" s="581"/>
      <c r="G17" s="582"/>
      <c r="H17" s="579">
        <f>I50</f>
        <v>0</v>
      </c>
      <c r="I17" s="580">
        <f>G50+F50</f>
        <v>0</v>
      </c>
      <c r="J17" s="580">
        <f>H50+D50+C50</f>
        <v>0</v>
      </c>
      <c r="K17" s="580"/>
      <c r="L17" s="580"/>
      <c r="M17" s="580"/>
      <c r="N17" s="972"/>
      <c r="O17" s="583">
        <f>C17*$C$22+E17*$E$22+H17*$H$22+I17*$I$22+J17*$J$22+D17*$D$22+F17*$F$22+G17*$G$22+K17*$K$22+L17*$L$22</f>
        <v>2264.8613445378155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9530.3571428571431</v>
      </c>
      <c r="C20" s="562">
        <f>SUM(C17:C19)</f>
        <v>11212.18487394958</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2264.8613445378155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33040</v>
      </c>
      <c r="C28" s="791">
        <v>8920</v>
      </c>
      <c r="D28" s="640" t="s">
        <v>888</v>
      </c>
      <c r="E28" s="639" t="s">
        <v>889</v>
      </c>
      <c r="F28" s="639" t="s">
        <v>890</v>
      </c>
      <c r="G28" s="639" t="s">
        <v>891</v>
      </c>
      <c r="H28" s="639" t="s">
        <v>892</v>
      </c>
      <c r="I28" s="639" t="s">
        <v>889</v>
      </c>
      <c r="J28" s="790">
        <v>40584</v>
      </c>
      <c r="K28" s="790">
        <v>40584</v>
      </c>
      <c r="L28" s="639" t="s">
        <v>893</v>
      </c>
      <c r="M28" s="639">
        <v>1477</v>
      </c>
      <c r="N28" s="639">
        <v>6646.5</v>
      </c>
      <c r="O28" s="639">
        <v>9495</v>
      </c>
      <c r="P28" s="639">
        <v>18990</v>
      </c>
      <c r="Q28" s="639">
        <v>0</v>
      </c>
      <c r="R28" s="639">
        <v>0</v>
      </c>
      <c r="S28" s="639">
        <v>0</v>
      </c>
      <c r="T28" s="639">
        <v>0</v>
      </c>
      <c r="U28" s="639">
        <v>0</v>
      </c>
      <c r="V28" s="639">
        <v>0</v>
      </c>
      <c r="W28" s="639">
        <v>0</v>
      </c>
      <c r="X28" s="639">
        <v>10</v>
      </c>
      <c r="Y28" s="639" t="s">
        <v>111</v>
      </c>
      <c r="Z28" s="641" t="s">
        <v>111</v>
      </c>
    </row>
    <row r="29" spans="1:26" s="593" customFormat="1" ht="25.5">
      <c r="A29" s="592"/>
      <c r="B29" s="791">
        <v>33040</v>
      </c>
      <c r="C29" s="791">
        <v>8920</v>
      </c>
      <c r="D29" s="640" t="s">
        <v>894</v>
      </c>
      <c r="E29" s="639" t="s">
        <v>895</v>
      </c>
      <c r="F29" s="639" t="s">
        <v>896</v>
      </c>
      <c r="G29" s="639" t="s">
        <v>891</v>
      </c>
      <c r="H29" s="639" t="s">
        <v>892</v>
      </c>
      <c r="I29" s="639" t="s">
        <v>895</v>
      </c>
      <c r="J29" s="790">
        <v>41411</v>
      </c>
      <c r="K29" s="790">
        <v>41474</v>
      </c>
      <c r="L29" s="639" t="s">
        <v>893</v>
      </c>
      <c r="M29" s="639">
        <v>5.5</v>
      </c>
      <c r="N29" s="639">
        <v>24.75</v>
      </c>
      <c r="O29" s="639">
        <v>35.357142857142861</v>
      </c>
      <c r="P29" s="639">
        <v>70.714285714285722</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1482.5</v>
      </c>
      <c r="N30" s="597">
        <f>SUM(N28:N29)</f>
        <v>6671.25</v>
      </c>
      <c r="O30" s="597">
        <f>SUM(O28:O29)</f>
        <v>9530.3571428571431</v>
      </c>
      <c r="P30" s="597">
        <f>SUM(P28:P29)</f>
        <v>19060.714285714286</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1482.5</v>
      </c>
      <c r="N33" s="602">
        <f>SUMIF($Z$28:$Z$29,"landbouw",N28:N29)</f>
        <v>6671.25</v>
      </c>
      <c r="O33" s="602">
        <f>SUMIF($Z$28:$Z$29,"landbouw",O28:O29)</f>
        <v>9530.3571428571431</v>
      </c>
      <c r="P33" s="602">
        <f>SUMIF($Z$28:$Z$29,"landbouw",P28:P29)</f>
        <v>19060.714285714286</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7848.5294117647054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11212.18487394958</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13331.848660384378</v>
      </c>
      <c r="C4" s="452">
        <f>huishoudens!C8</f>
        <v>0</v>
      </c>
      <c r="D4" s="452">
        <f>huishoudens!D8</f>
        <v>19000.519586180002</v>
      </c>
      <c r="E4" s="452">
        <f>huishoudens!E8</f>
        <v>18806.202223801989</v>
      </c>
      <c r="F4" s="452">
        <f>huishoudens!F8</f>
        <v>12508.362195982589</v>
      </c>
      <c r="G4" s="452">
        <f>huishoudens!G8</f>
        <v>0</v>
      </c>
      <c r="H4" s="452">
        <f>huishoudens!H8</f>
        <v>0</v>
      </c>
      <c r="I4" s="452">
        <f>huishoudens!I8</f>
        <v>0</v>
      </c>
      <c r="J4" s="452">
        <f>huishoudens!J8</f>
        <v>1900.3016608266157</v>
      </c>
      <c r="K4" s="452">
        <f>huishoudens!K8</f>
        <v>0</v>
      </c>
      <c r="L4" s="452">
        <f>huishoudens!L8</f>
        <v>0</v>
      </c>
      <c r="M4" s="452">
        <f>huishoudens!M8</f>
        <v>0</v>
      </c>
      <c r="N4" s="452">
        <f>huishoudens!N8</f>
        <v>10995.50509647223</v>
      </c>
      <c r="O4" s="452">
        <f>huishoudens!O8</f>
        <v>325.36914797947321</v>
      </c>
      <c r="P4" s="453">
        <f>huishoudens!P8</f>
        <v>168.54334892296038</v>
      </c>
      <c r="Q4" s="454">
        <f>SUM(B4:P4)</f>
        <v>77036.651920550241</v>
      </c>
    </row>
    <row r="5" spans="1:17">
      <c r="A5" s="451" t="s">
        <v>155</v>
      </c>
      <c r="B5" s="452">
        <f ca="1">tertiair!B16</f>
        <v>9341.4776740000016</v>
      </c>
      <c r="C5" s="452">
        <f ca="1">tertiair!C16</f>
        <v>0</v>
      </c>
      <c r="D5" s="452">
        <f ca="1">tertiair!D16</f>
        <v>9223.9198745980011</v>
      </c>
      <c r="E5" s="452">
        <f>tertiair!E16</f>
        <v>146.88759000217851</v>
      </c>
      <c r="F5" s="452">
        <f ca="1">tertiair!F16</f>
        <v>1047.4863026544267</v>
      </c>
      <c r="G5" s="452">
        <f>tertiair!G16</f>
        <v>0</v>
      </c>
      <c r="H5" s="452">
        <f>tertiair!H16</f>
        <v>0</v>
      </c>
      <c r="I5" s="452">
        <f>tertiair!I16</f>
        <v>0</v>
      </c>
      <c r="J5" s="452">
        <f>tertiair!J16</f>
        <v>1.2764318450870959E-2</v>
      </c>
      <c r="K5" s="452">
        <f>tertiair!K16</f>
        <v>0</v>
      </c>
      <c r="L5" s="452">
        <f ca="1">tertiair!L16</f>
        <v>0</v>
      </c>
      <c r="M5" s="452">
        <f>tertiair!M16</f>
        <v>0</v>
      </c>
      <c r="N5" s="452">
        <f ca="1">tertiair!N16</f>
        <v>503.70781504139171</v>
      </c>
      <c r="O5" s="452">
        <f>tertiair!O16</f>
        <v>4.8972607658411542</v>
      </c>
      <c r="P5" s="453">
        <f>tertiair!P16</f>
        <v>52.539138306495019</v>
      </c>
      <c r="Q5" s="451">
        <f t="shared" ref="Q5:Q14" ca="1" si="0">SUM(B5:P5)</f>
        <v>20320.928419686785</v>
      </c>
    </row>
    <row r="6" spans="1:17">
      <c r="A6" s="451" t="s">
        <v>193</v>
      </c>
      <c r="B6" s="452">
        <f>'openbare verlichting'!B8</f>
        <v>720.57600000000002</v>
      </c>
      <c r="C6" s="452"/>
      <c r="D6" s="452"/>
      <c r="E6" s="452"/>
      <c r="F6" s="452"/>
      <c r="G6" s="452"/>
      <c r="H6" s="452"/>
      <c r="I6" s="452"/>
      <c r="J6" s="452"/>
      <c r="K6" s="452"/>
      <c r="L6" s="452"/>
      <c r="M6" s="452"/>
      <c r="N6" s="452"/>
      <c r="O6" s="452"/>
      <c r="P6" s="453"/>
      <c r="Q6" s="451">
        <f t="shared" si="0"/>
        <v>720.57600000000002</v>
      </c>
    </row>
    <row r="7" spans="1:17">
      <c r="A7" s="451" t="s">
        <v>111</v>
      </c>
      <c r="B7" s="452">
        <f>landbouw!B8</f>
        <v>4607.5502100000003</v>
      </c>
      <c r="C7" s="452">
        <f>landbouw!C8</f>
        <v>9530.3571428571431</v>
      </c>
      <c r="D7" s="452">
        <f>landbouw!D8</f>
        <v>3084.9947920857121</v>
      </c>
      <c r="E7" s="452">
        <f>landbouw!E8</f>
        <v>143.80012267148379</v>
      </c>
      <c r="F7" s="452">
        <f>landbouw!F8</f>
        <v>16283.592852783431</v>
      </c>
      <c r="G7" s="452">
        <f>landbouw!G8</f>
        <v>0</v>
      </c>
      <c r="H7" s="452">
        <f>landbouw!H8</f>
        <v>0</v>
      </c>
      <c r="I7" s="452">
        <f>landbouw!I8</f>
        <v>0</v>
      </c>
      <c r="J7" s="452">
        <f>landbouw!J8</f>
        <v>1269.4120359356718</v>
      </c>
      <c r="K7" s="452">
        <f>landbouw!K8</f>
        <v>0</v>
      </c>
      <c r="L7" s="452">
        <f>landbouw!L8</f>
        <v>0</v>
      </c>
      <c r="M7" s="452">
        <f>landbouw!M8</f>
        <v>0</v>
      </c>
      <c r="N7" s="452">
        <f>landbouw!N8</f>
        <v>0</v>
      </c>
      <c r="O7" s="452">
        <f>landbouw!O8</f>
        <v>0</v>
      </c>
      <c r="P7" s="453">
        <f>landbouw!P8</f>
        <v>0</v>
      </c>
      <c r="Q7" s="451">
        <f t="shared" si="0"/>
        <v>34919.707156333447</v>
      </c>
    </row>
    <row r="8" spans="1:17">
      <c r="A8" s="451" t="s">
        <v>625</v>
      </c>
      <c r="B8" s="452">
        <f>industrie!B18</f>
        <v>53244.526238999999</v>
      </c>
      <c r="C8" s="452">
        <f>industrie!C18</f>
        <v>0</v>
      </c>
      <c r="D8" s="452">
        <f>industrie!D18</f>
        <v>15854.124933261999</v>
      </c>
      <c r="E8" s="452">
        <f>industrie!E18</f>
        <v>860.87556299448136</v>
      </c>
      <c r="F8" s="452">
        <f>industrie!F18</f>
        <v>4972.433745540854</v>
      </c>
      <c r="G8" s="452">
        <f>industrie!G18</f>
        <v>0</v>
      </c>
      <c r="H8" s="452">
        <f>industrie!H18</f>
        <v>0</v>
      </c>
      <c r="I8" s="452">
        <f>industrie!I18</f>
        <v>0</v>
      </c>
      <c r="J8" s="452">
        <f>industrie!J18</f>
        <v>118.74880414817787</v>
      </c>
      <c r="K8" s="452">
        <f>industrie!K18</f>
        <v>0</v>
      </c>
      <c r="L8" s="452">
        <f>industrie!L18</f>
        <v>0</v>
      </c>
      <c r="M8" s="452">
        <f>industrie!M18</f>
        <v>0</v>
      </c>
      <c r="N8" s="452">
        <f>industrie!N18</f>
        <v>2830.0944170878183</v>
      </c>
      <c r="O8" s="452">
        <f>industrie!O18</f>
        <v>0</v>
      </c>
      <c r="P8" s="453">
        <f>industrie!P18</f>
        <v>0</v>
      </c>
      <c r="Q8" s="451">
        <f t="shared" si="0"/>
        <v>77880.803702033343</v>
      </c>
    </row>
    <row r="9" spans="1:17" s="457" customFormat="1">
      <c r="A9" s="455" t="s">
        <v>551</v>
      </c>
      <c r="B9" s="456">
        <f>transport!B14</f>
        <v>27.746096525854018</v>
      </c>
      <c r="C9" s="456">
        <f>transport!C14</f>
        <v>0</v>
      </c>
      <c r="D9" s="456">
        <f>transport!D14</f>
        <v>114.58724244475944</v>
      </c>
      <c r="E9" s="456">
        <f>transport!E14</f>
        <v>95.829945937735204</v>
      </c>
      <c r="F9" s="456">
        <f>transport!F14</f>
        <v>0</v>
      </c>
      <c r="G9" s="456">
        <f>transport!G14</f>
        <v>43277.295475568069</v>
      </c>
      <c r="H9" s="456">
        <f>transport!H14</f>
        <v>10647.26896800676</v>
      </c>
      <c r="I9" s="456">
        <f>transport!I14</f>
        <v>0</v>
      </c>
      <c r="J9" s="456">
        <f>transport!J14</f>
        <v>0</v>
      </c>
      <c r="K9" s="456">
        <f>transport!K14</f>
        <v>0</v>
      </c>
      <c r="L9" s="456">
        <f>transport!L14</f>
        <v>0</v>
      </c>
      <c r="M9" s="456">
        <f>transport!M14</f>
        <v>3199.5407837841803</v>
      </c>
      <c r="N9" s="456">
        <f>transport!N14</f>
        <v>0</v>
      </c>
      <c r="O9" s="456">
        <f>transport!O14</f>
        <v>0</v>
      </c>
      <c r="P9" s="456">
        <f>transport!P14</f>
        <v>0</v>
      </c>
      <c r="Q9" s="455">
        <f>SUM(B9:P9)</f>
        <v>57362.268512267357</v>
      </c>
    </row>
    <row r="10" spans="1:17">
      <c r="A10" s="451" t="s">
        <v>541</v>
      </c>
      <c r="B10" s="452">
        <f>transport!B54</f>
        <v>0</v>
      </c>
      <c r="C10" s="452">
        <f>transport!C54</f>
        <v>0</v>
      </c>
      <c r="D10" s="452">
        <f>transport!D54</f>
        <v>0</v>
      </c>
      <c r="E10" s="452">
        <f>transport!E54</f>
        <v>0</v>
      </c>
      <c r="F10" s="452">
        <f>transport!F54</f>
        <v>0</v>
      </c>
      <c r="G10" s="452">
        <f>transport!G54</f>
        <v>933.39103969552502</v>
      </c>
      <c r="H10" s="452">
        <f>transport!H54</f>
        <v>0</v>
      </c>
      <c r="I10" s="452">
        <f>transport!I54</f>
        <v>0</v>
      </c>
      <c r="J10" s="452">
        <f>transport!J54</f>
        <v>0</v>
      </c>
      <c r="K10" s="452">
        <f>transport!K54</f>
        <v>0</v>
      </c>
      <c r="L10" s="452">
        <f>transport!L54</f>
        <v>0</v>
      </c>
      <c r="M10" s="452">
        <f>transport!M54</f>
        <v>51.869815317045997</v>
      </c>
      <c r="N10" s="452">
        <f>transport!N54</f>
        <v>0</v>
      </c>
      <c r="O10" s="452">
        <f>transport!O54</f>
        <v>0</v>
      </c>
      <c r="P10" s="453">
        <f>transport!P54</f>
        <v>0</v>
      </c>
      <c r="Q10" s="451">
        <f t="shared" si="0"/>
        <v>985.26085501257103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322.73944799999998</v>
      </c>
      <c r="C14" s="459"/>
      <c r="D14" s="459">
        <f>'SEAP template'!E25</f>
        <v>539.63124100000005</v>
      </c>
      <c r="E14" s="459"/>
      <c r="F14" s="459"/>
      <c r="G14" s="459"/>
      <c r="H14" s="459"/>
      <c r="I14" s="459"/>
      <c r="J14" s="459"/>
      <c r="K14" s="459"/>
      <c r="L14" s="459"/>
      <c r="M14" s="459"/>
      <c r="N14" s="459"/>
      <c r="O14" s="459"/>
      <c r="P14" s="460"/>
      <c r="Q14" s="451">
        <f t="shared" si="0"/>
        <v>862.37068900000008</v>
      </c>
    </row>
    <row r="15" spans="1:17" s="463" customFormat="1">
      <c r="A15" s="461" t="s">
        <v>545</v>
      </c>
      <c r="B15" s="462">
        <f ca="1">SUM(B4:B14)</f>
        <v>81596.464327910217</v>
      </c>
      <c r="C15" s="462">
        <f t="shared" ref="C15:Q15" ca="1" si="1">SUM(C4:C14)</f>
        <v>9530.3571428571431</v>
      </c>
      <c r="D15" s="462">
        <f t="shared" ca="1" si="1"/>
        <v>47817.777669570474</v>
      </c>
      <c r="E15" s="462">
        <f t="shared" si="1"/>
        <v>20053.595445407867</v>
      </c>
      <c r="F15" s="462">
        <f t="shared" ca="1" si="1"/>
        <v>34811.875096961303</v>
      </c>
      <c r="G15" s="462">
        <f t="shared" si="1"/>
        <v>44210.686515263595</v>
      </c>
      <c r="H15" s="462">
        <f t="shared" si="1"/>
        <v>10647.26896800676</v>
      </c>
      <c r="I15" s="462">
        <f t="shared" si="1"/>
        <v>0</v>
      </c>
      <c r="J15" s="462">
        <f t="shared" si="1"/>
        <v>3288.4752652289162</v>
      </c>
      <c r="K15" s="462">
        <f t="shared" si="1"/>
        <v>0</v>
      </c>
      <c r="L15" s="462">
        <f t="shared" ca="1" si="1"/>
        <v>0</v>
      </c>
      <c r="M15" s="462">
        <f t="shared" si="1"/>
        <v>3251.4105991012261</v>
      </c>
      <c r="N15" s="462">
        <f t="shared" ca="1" si="1"/>
        <v>14329.307328601441</v>
      </c>
      <c r="O15" s="462">
        <f t="shared" si="1"/>
        <v>330.26640874531438</v>
      </c>
      <c r="P15" s="462">
        <f t="shared" si="1"/>
        <v>221.08248722945541</v>
      </c>
      <c r="Q15" s="462">
        <f t="shared" ca="1" si="1"/>
        <v>270088.5672548837</v>
      </c>
    </row>
    <row r="17" spans="1:17">
      <c r="A17" s="464" t="s">
        <v>546</v>
      </c>
      <c r="B17" s="781">
        <f ca="1">huishoudens!B10</f>
        <v>0.21080580211186065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2810.4310504862638</v>
      </c>
      <c r="C22" s="452">
        <f t="shared" ref="C22:C32" ca="1" si="3">C4*$C$17</f>
        <v>0</v>
      </c>
      <c r="D22" s="452">
        <f t="shared" ref="D22:D32" si="4">D4*$D$17</f>
        <v>3838.1049564083605</v>
      </c>
      <c r="E22" s="452">
        <f t="shared" ref="E22:E32" si="5">E4*$E$17</f>
        <v>4269.007904803052</v>
      </c>
      <c r="F22" s="452">
        <f t="shared" ref="F22:F32" si="6">F4*$F$17</f>
        <v>3339.7327063273515</v>
      </c>
      <c r="G22" s="452">
        <f t="shared" ref="G22:G32" si="7">G4*$G$17</f>
        <v>0</v>
      </c>
      <c r="H22" s="452">
        <f t="shared" ref="H22:H32" si="8">H4*$H$17</f>
        <v>0</v>
      </c>
      <c r="I22" s="452">
        <f t="shared" ref="I22:I32" si="9">I4*$I$17</f>
        <v>0</v>
      </c>
      <c r="J22" s="452">
        <f t="shared" ref="J22:J32" si="10">J4*$J$17</f>
        <v>672.70678793262198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14929.983405957651</v>
      </c>
    </row>
    <row r="23" spans="1:17">
      <c r="A23" s="451" t="s">
        <v>155</v>
      </c>
      <c r="B23" s="452">
        <f t="shared" ca="1" si="2"/>
        <v>1969.2376939776086</v>
      </c>
      <c r="C23" s="452">
        <f t="shared" ca="1" si="3"/>
        <v>0</v>
      </c>
      <c r="D23" s="452">
        <f t="shared" ca="1" si="4"/>
        <v>1863.2318146687962</v>
      </c>
      <c r="E23" s="452">
        <f t="shared" si="5"/>
        <v>33.343482930494524</v>
      </c>
      <c r="F23" s="452">
        <f t="shared" ca="1" si="6"/>
        <v>279.67884280873193</v>
      </c>
      <c r="G23" s="452">
        <f t="shared" si="7"/>
        <v>0</v>
      </c>
      <c r="H23" s="452">
        <f t="shared" si="8"/>
        <v>0</v>
      </c>
      <c r="I23" s="452">
        <f t="shared" si="9"/>
        <v>0</v>
      </c>
      <c r="J23" s="452">
        <f t="shared" si="10"/>
        <v>4.5185687316083188E-3</v>
      </c>
      <c r="K23" s="452">
        <f t="shared" si="11"/>
        <v>0</v>
      </c>
      <c r="L23" s="452">
        <f t="shared" ca="1" si="12"/>
        <v>0</v>
      </c>
      <c r="M23" s="452">
        <f t="shared" si="13"/>
        <v>0</v>
      </c>
      <c r="N23" s="452">
        <f t="shared" ca="1" si="14"/>
        <v>0</v>
      </c>
      <c r="O23" s="452">
        <f t="shared" si="15"/>
        <v>0</v>
      </c>
      <c r="P23" s="453">
        <f t="shared" si="16"/>
        <v>0</v>
      </c>
      <c r="Q23" s="451">
        <f t="shared" ref="Q23:Q31" ca="1" si="17">SUM(B23:P23)</f>
        <v>4145.4963529543629</v>
      </c>
    </row>
    <row r="24" spans="1:17">
      <c r="A24" s="451" t="s">
        <v>193</v>
      </c>
      <c r="B24" s="452">
        <f t="shared" ca="1" si="2"/>
        <v>151.90160166255609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151.90160166255609</v>
      </c>
    </row>
    <row r="25" spans="1:17">
      <c r="A25" s="451" t="s">
        <v>111</v>
      </c>
      <c r="B25" s="452">
        <f t="shared" ca="1" si="2"/>
        <v>971.29831778972198</v>
      </c>
      <c r="C25" s="452">
        <f t="shared" ca="1" si="3"/>
        <v>2264.8613445378155</v>
      </c>
      <c r="D25" s="452">
        <f t="shared" si="4"/>
        <v>623.16894800131388</v>
      </c>
      <c r="E25" s="452">
        <f t="shared" si="5"/>
        <v>32.642627846426819</v>
      </c>
      <c r="F25" s="452">
        <f t="shared" si="6"/>
        <v>4347.7192916931763</v>
      </c>
      <c r="G25" s="452">
        <f t="shared" si="7"/>
        <v>0</v>
      </c>
      <c r="H25" s="452">
        <f t="shared" si="8"/>
        <v>0</v>
      </c>
      <c r="I25" s="452">
        <f t="shared" si="9"/>
        <v>0</v>
      </c>
      <c r="J25" s="452">
        <f t="shared" si="10"/>
        <v>449.37186072122779</v>
      </c>
      <c r="K25" s="452">
        <f t="shared" si="11"/>
        <v>0</v>
      </c>
      <c r="L25" s="452">
        <f t="shared" si="12"/>
        <v>0</v>
      </c>
      <c r="M25" s="452">
        <f t="shared" si="13"/>
        <v>0</v>
      </c>
      <c r="N25" s="452">
        <f t="shared" si="14"/>
        <v>0</v>
      </c>
      <c r="O25" s="452">
        <f t="shared" si="15"/>
        <v>0</v>
      </c>
      <c r="P25" s="453">
        <f t="shared" si="16"/>
        <v>0</v>
      </c>
      <c r="Q25" s="451">
        <f t="shared" ca="1" si="17"/>
        <v>8689.0623905896828</v>
      </c>
    </row>
    <row r="26" spans="1:17">
      <c r="A26" s="451" t="s">
        <v>625</v>
      </c>
      <c r="B26" s="452">
        <f t="shared" ca="1" si="2"/>
        <v>11224.255061878406</v>
      </c>
      <c r="C26" s="452">
        <f t="shared" ca="1" si="3"/>
        <v>0</v>
      </c>
      <c r="D26" s="452">
        <f t="shared" si="4"/>
        <v>3202.5332365189242</v>
      </c>
      <c r="E26" s="452">
        <f t="shared" si="5"/>
        <v>195.41875279974727</v>
      </c>
      <c r="F26" s="452">
        <f t="shared" si="6"/>
        <v>1327.6398100594081</v>
      </c>
      <c r="G26" s="452">
        <f t="shared" si="7"/>
        <v>0</v>
      </c>
      <c r="H26" s="452">
        <f t="shared" si="8"/>
        <v>0</v>
      </c>
      <c r="I26" s="452">
        <f t="shared" si="9"/>
        <v>0</v>
      </c>
      <c r="J26" s="452">
        <f t="shared" si="10"/>
        <v>42.037076668454965</v>
      </c>
      <c r="K26" s="452">
        <f t="shared" si="11"/>
        <v>0</v>
      </c>
      <c r="L26" s="452">
        <f t="shared" si="12"/>
        <v>0</v>
      </c>
      <c r="M26" s="452">
        <f t="shared" si="13"/>
        <v>0</v>
      </c>
      <c r="N26" s="452">
        <f t="shared" si="14"/>
        <v>0</v>
      </c>
      <c r="O26" s="452">
        <f t="shared" si="15"/>
        <v>0</v>
      </c>
      <c r="P26" s="453">
        <f t="shared" si="16"/>
        <v>0</v>
      </c>
      <c r="Q26" s="451">
        <f t="shared" ca="1" si="17"/>
        <v>15991.883937924942</v>
      </c>
    </row>
    <row r="27" spans="1:17" s="457" customFormat="1">
      <c r="A27" s="455" t="s">
        <v>551</v>
      </c>
      <c r="B27" s="775">
        <f t="shared" ca="1" si="2"/>
        <v>5.8490381336057666</v>
      </c>
      <c r="C27" s="456">
        <f t="shared" ca="1" si="3"/>
        <v>0</v>
      </c>
      <c r="D27" s="456">
        <f t="shared" si="4"/>
        <v>23.14662297384141</v>
      </c>
      <c r="E27" s="456">
        <f t="shared" si="5"/>
        <v>21.753397727865892</v>
      </c>
      <c r="F27" s="456">
        <f t="shared" si="6"/>
        <v>0</v>
      </c>
      <c r="G27" s="456">
        <f t="shared" si="7"/>
        <v>11555.037891976675</v>
      </c>
      <c r="H27" s="456">
        <f t="shared" si="8"/>
        <v>2651.1699730336832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14256.956923845672</v>
      </c>
    </row>
    <row r="28" spans="1:17" ht="16.5" customHeight="1">
      <c r="A28" s="451" t="s">
        <v>541</v>
      </c>
      <c r="B28" s="452">
        <f t="shared" ca="1" si="2"/>
        <v>0</v>
      </c>
      <c r="C28" s="452">
        <f t="shared" ca="1" si="3"/>
        <v>0</v>
      </c>
      <c r="D28" s="452">
        <f t="shared" si="4"/>
        <v>0</v>
      </c>
      <c r="E28" s="452">
        <f t="shared" si="5"/>
        <v>0</v>
      </c>
      <c r="F28" s="452">
        <f t="shared" si="6"/>
        <v>0</v>
      </c>
      <c r="G28" s="452">
        <f t="shared" si="7"/>
        <v>249.21540759870518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249.21540759870518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68.035348208779141</v>
      </c>
      <c r="C32" s="452">
        <f t="shared" ca="1" si="3"/>
        <v>0</v>
      </c>
      <c r="D32" s="452">
        <f t="shared" si="4"/>
        <v>109.00551068200002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177.04085889077916</v>
      </c>
    </row>
    <row r="33" spans="1:17" s="463" customFormat="1">
      <c r="A33" s="461" t="s">
        <v>545</v>
      </c>
      <c r="B33" s="462">
        <f ca="1">SUM(B22:B32)</f>
        <v>17201.00811213694</v>
      </c>
      <c r="C33" s="462">
        <f t="shared" ref="C33:Q33" ca="1" si="19">SUM(C22:C32)</f>
        <v>2264.8613445378155</v>
      </c>
      <c r="D33" s="462">
        <f t="shared" ca="1" si="19"/>
        <v>9659.191089253236</v>
      </c>
      <c r="E33" s="462">
        <f t="shared" si="19"/>
        <v>4552.1661661075868</v>
      </c>
      <c r="F33" s="462">
        <f t="shared" ca="1" si="19"/>
        <v>9294.7706508886677</v>
      </c>
      <c r="G33" s="462">
        <f t="shared" si="19"/>
        <v>11804.253299575381</v>
      </c>
      <c r="H33" s="462">
        <f t="shared" si="19"/>
        <v>2651.1699730336832</v>
      </c>
      <c r="I33" s="462">
        <f t="shared" si="19"/>
        <v>0</v>
      </c>
      <c r="J33" s="462">
        <f t="shared" si="19"/>
        <v>1164.1202438910364</v>
      </c>
      <c r="K33" s="462">
        <f t="shared" si="19"/>
        <v>0</v>
      </c>
      <c r="L33" s="462">
        <f t="shared" ca="1" si="19"/>
        <v>0</v>
      </c>
      <c r="M33" s="462">
        <f t="shared" si="19"/>
        <v>0</v>
      </c>
      <c r="N33" s="462">
        <f t="shared" ca="1" si="19"/>
        <v>0</v>
      </c>
      <c r="O33" s="462">
        <f t="shared" si="19"/>
        <v>0</v>
      </c>
      <c r="P33" s="462">
        <f t="shared" si="19"/>
        <v>0</v>
      </c>
      <c r="Q33" s="462">
        <f t="shared" ca="1" si="19"/>
        <v>58591.540879424349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4266.3674004872892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6671.25</v>
      </c>
      <c r="D8" s="1029">
        <f>'SEAP template'!D76</f>
        <v>7848.5294117647054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1585.4029411764707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4266.3674004872892</v>
      </c>
      <c r="C10" s="1031">
        <f>SUM(C4:C9)</f>
        <v>6671.25</v>
      </c>
      <c r="D10" s="1031">
        <f t="shared" ref="D10:H10" si="0">SUM(D8:D9)</f>
        <v>7848.5294117647054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1585.4029411764707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0.21080580211186065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9530.3571428571431</v>
      </c>
      <c r="D17" s="1030">
        <f>'SEAP template'!D87</f>
        <v>11212.18487394958</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2264.8613445378155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9530.3571428571431</v>
      </c>
      <c r="D20" s="1031">
        <f t="shared" ref="D20:H20" si="2">SUM(D17:D19)</f>
        <v>11212.18487394958</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2264.8613445378155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0.21080580211186065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2020-06-20T15:33:04Z</dcterms:modified>
</cp:coreProperties>
</file>