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20" i="16"/>
  <c r="C22" i="16" s="1"/>
  <c r="D43" i="14" s="1"/>
  <c r="C10" i="17"/>
  <c r="C12" i="17" s="1"/>
  <c r="D54" i="14" s="1"/>
  <c r="D56" i="14" s="1"/>
  <c r="C16" i="22"/>
  <c r="C56" i="22"/>
  <c r="C58" i="22" s="1"/>
  <c r="D49" i="14" s="1"/>
  <c r="D52" i="14" s="1"/>
  <c r="C10" i="13"/>
  <c r="C12" i="13" s="1"/>
  <c r="D41" i="14" s="1"/>
  <c r="D46" i="14" s="1"/>
  <c r="D61" i="14" s="1"/>
  <c r="D63" i="14" s="1"/>
  <c r="C22" i="59"/>
  <c r="C17" i="49"/>
  <c r="C18" i="15"/>
  <c r="C20" i="15" s="1"/>
  <c r="D40"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<sst xmlns="http://schemas.openxmlformats.org/spreadsheetml/2006/main" count="2410" uniqueCount="894">
  <si>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</si>
  <si>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</si>
  <si>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</si>
  <si>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</si>
  <si>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</si>
  <si>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</si>
  <si>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</si>
  <si>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</si>
  <si>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</si>
  <si>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</si>
  <si>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</si>
  <si>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</si>
  <si>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</si>
  <si>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</si>
  <si>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</si>
  <si>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</si>
  <si>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</si>
  <si>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</si>
  <si>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</si>
  <si>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</si>
  <si>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</si>
  <si>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</si>
  <si>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</si>
  <si>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</si>
  <si>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</si>
  <si>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</si>
  <si>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</si>
  <si>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</si>
  <si>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</si>
  <si>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</si>
  <si>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</si>
  <si>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</si>
  <si>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</si>
  <si>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</si>
  <si>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</si>
  <si>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</si>
  <si>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</si>
  <si>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</si>
  <si>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</si>
  <si>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</si>
  <si>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</si>
  <si>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</si>
  <si>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</si>
  <si>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</si>
  <si>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</si>
  <si>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</si>
  <si>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</si>
  <si>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</si>
  <si>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</si>
  <si>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</si>
  <si>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</si>
  <si>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</si>
  <si>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</si>
  <si>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</si>
  <si>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</si>
  <si>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</si>
  <si>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</si>
  <si>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</si>
  <si>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</si>
  <si>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</si>
  <si>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</si>
  <si>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</si>
  <si>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</si>
  <si>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</si>
  <si>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</si>
  <si>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</si>
  <si>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</si>
  <si>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</si>
  <si>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</si>
  <si>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</si>
  <si>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</si>
  <si>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</si>
  <si>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</si>
  <si>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</si>
  <si>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</si>
  <si>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</si>
  <si>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</si>
  <si>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</si>
  <si>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</si>
  <si>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</si>
  <si>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</si>
  <si>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</si>
  <si>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</si>
  <si>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</si>
  <si>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</si>
  <si>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</si>
  <si>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</si>
  <si>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</si>
  <si>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</si>
  <si>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</si>
  <si>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</si>
  <si>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</si>
  <si>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</si>
  <si>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</si>
  <si>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</si>
  <si>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</si>
  <si>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</si>
  <si>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</si>
  <si>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</si>
  <si>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</si>
  <si>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</si>
  <si>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</si>
  <si>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</si>
  <si>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</si>
  <si>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</si>
  <si>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</si>
  <si>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</si>
  <si>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</si>
  <si>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</si>
  <si>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</si>
  <si>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</si>
  <si>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</si>
  <si>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</si>
  <si>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</si>
  <si>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</si>
  <si>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</si>
  <si>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</si>
  <si>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</si>
  <si>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</si>
  <si>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</si>
  <si>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</si>
  <si>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</si>
  <si>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</si>
  <si>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</si>
  <si>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</si>
  <si>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</si>
  <si>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</si>
  <si>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</si>
  <si>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</si>
  <si>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</si>
  <si>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</si>
  <si>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</si>
  <si>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</si>
  <si>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</si>
  <si>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</si>
  <si>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</si>
  <si>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</si>
  <si>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</si>
  <si>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</si>
  <si>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</si>
  <si>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</si>
  <si>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</si>
  <si>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</si>
  <si>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</si>
  <si>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</si>
  <si>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</si>
  <si>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</si>
  <si>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</si>
  <si>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</si>
  <si>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</si>
  <si>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</si>
  <si>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</si>
  <si>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</si>
  <si>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</si>
  <si>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</si>
  <si>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</si>
  <si>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</si>
  <si>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</si>
  <si>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</si>
  <si>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</si>
  <si>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</si>
  <si>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</si>
  <si>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</si>
  <si>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</si>
  <si>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</si>
  <si>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</si>
  <si>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</si>
  <si>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</si>
  <si>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</si>
  <si>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</si>
  <si>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</si>
  <si>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</si>
  <si>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</si>
  <si>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</si>
  <si>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</si>
  <si>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</si>
  <si>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</si>
  <si>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</si>
  <si>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</si>
  <si>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</si>
  <si>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</si>
  <si>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</si>
  <si>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</si>
  <si>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</si>
  <si>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</si>
  <si>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</si>
  <si>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</si>
  <si>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</si>
  <si>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</si>
  <si>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</si>
  <si>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</si>
  <si>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</si>
  <si>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</si>
  <si>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</si>
  <si>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</si>
  <si>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</si>
  <si>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</si>
  <si>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</si>
  <si>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</si>
  <si>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</si>
  <si>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</si>
  <si>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</si>
  <si>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</si>
  <si>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</si>
  <si>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</si>
  <si>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</si>
  <si>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</si>
  <si>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</si>
  <si>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</si>
  <si>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</si>
  <si>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</si>
  <si>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</si>
  <si>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</si>
  <si>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</si>
  <si>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</si>
  <si>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</si>
  <si>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</si>
  <si>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</si>
  <si>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</si>
  <si>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</si>
  <si>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</si>
  <si>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</si>
  <si>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</si>
  <si>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</si>
  <si>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</si>
  <si>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</si>
  <si>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</si>
  <si>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</si>
  <si>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</si>
  <si>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</si>
  <si>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</si>
  <si>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</si>
  <si>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</si>
  <si>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</si>
  <si>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</si>
  <si>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</si>
  <si>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</si>
  <si>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</si>
  <si>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</si>
  <si>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</si>
  <si>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</si>
  <si>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</si>
  <si>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</si>
  <si>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</si>
  <si>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</si>
  <si>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</si>
  <si>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</si>
  <si>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</si>
  <si>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</si>
  <si>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</si>
  <si>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</si>
  <si>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</si>
  <si>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</si>
  <si>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</si>
  <si>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</si>
  <si>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</si>
  <si>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</si>
  <si>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</si>
  <si>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</si>
  <si>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</si>
  <si>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</si>
  <si>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</si>
  <si>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</si>
  <si>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</si>
  <si>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</si>
  <si>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</si>
  <si>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</si>
  <si>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</si>
  <si>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</si>
  <si>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</si>
  <si>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</si>
  <si>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</si>
  <si>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</si>
  <si>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</si>
  <si>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</si>
  <si>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</si>
  <si>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</si>
  <si>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</si>
  <si>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</si>
  <si>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</si>
  <si>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</si>
  <si>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</si>
  <si>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</si>
  <si>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</si>
  <si>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</si>
  <si>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</si>
  <si>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</si>
  <si>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</si>
  <si>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</si>
  <si>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</si>
  <si>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</si>
  <si>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</si>
  <si>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</si>
  <si>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</si>
  <si>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</si>
  <si>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</si>
  <si>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</si>
  <si>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</si>
  <si>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</si>
  <si>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</si>
  <si>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</si>
  <si>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</si>
  <si>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</si>
  <si>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</si>
  <si>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</si>
  <si>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</si>
  <si>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</si>
  <si>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</si>
  <si>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</si>
  <si>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</si>
  <si>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</si>
  <si>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</si>
  <si>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</si>
  <si>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</si>
  <si>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</si>
  <si>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</si>
  <si>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</si>
  <si>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</si>
  <si>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</si>
  <si>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</si>
  <si>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</si>
  <si>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</si>
  <si>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</si>
  <si>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</si>
  <si>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</si>
  <si>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</si>
  <si>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</si>
  <si>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</si>
  <si>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</si>
  <si>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</si>
  <si>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</si>
  <si>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</si>
  <si>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</si>
  <si>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</si>
  <si>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</si>
  <si>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</si>
  <si>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</si>
  <si>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</si>
  <si>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</si>
  <si>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</si>
  <si>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</si>
  <si>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</si>
  <si>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</si>
  <si>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</si>
  <si>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</si>
  <si>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</si>
  <si>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</si>
  <si>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</si>
  <si>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</si>
  <si>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</si>
  <si>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</si>
  <si>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</si>
  <si>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</si>
  <si>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</si>
  <si>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</si>
  <si>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</si>
  <si>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</si>
  <si>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</si>
  <si>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</si>
  <si>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</si>
  <si>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</si>
  <si>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</si>
  <si>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</si>
  <si>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</si>
  <si>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</si>
  <si>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</si>
  <si>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</si>
  <si>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</si>
  <si>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</si>
  <si>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</si>
  <si>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</si>
  <si>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</si>
  <si>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</si>
  <si>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</si>
  <si>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</si>
  <si>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</si>
  <si>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</si>
  <si>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</si>
  <si>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</si>
  <si>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</si>
  <si>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</si>
  <si>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</si>
  <si>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</si>
  <si>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</si>
  <si>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</si>
  <si>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</si>
  <si>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</si>
  <si>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</si>
  <si>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</si>
  <si>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</si>
  <si>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</si>
  <si>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</si>
  <si>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</si>
  <si>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</si>
  <si>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</si>
  <si>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</si>
  <si>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</si>
  <si>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</si>
  <si>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</si>
  <si>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</si>
  <si>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</si>
  <si>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</si>
  <si>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</si>
  <si>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</si>
  <si>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</si>
  <si>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</si>
  <si>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</si>
  <si>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</si>
  <si>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</si>
  <si>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</si>
  <si>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</si>
  <si>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</si>
  <si>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</si>
  <si>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</si>
  <si>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</si>
  <si>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</si>
  <si>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</si>
  <si>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</si>
  <si>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</si>
  <si>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</si>
  <si>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</si>
  <si>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</si>
  <si>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</si>
  <si>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</si>
  <si>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</si>
  <si>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</si>
  <si>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</si>
  <si>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</si>
  <si>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</si>
  <si>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</si>
  <si>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</si>
  <si>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</si>
  <si>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</si>
  <si>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</si>
  <si>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</si>
  <si>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</si>
  <si>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</si>
  <si>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</si>
  <si>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</si>
  <si>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</si>
  <si>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</si>
  <si>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</si>
  <si>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</si>
  <si>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</si>
  <si>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</si>
  <si>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</si>
  <si>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</si>
  <si>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</si>
  <si>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</si>
  <si>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</si>
  <si>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</si>
  <si>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</si>
  <si>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</si>
  <si>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</si>
  <si>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</si>
  <si>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</si>
  <si>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</si>
  <si>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</si>
  <si>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</si>
  <si>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</si>
  <si>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</si>
  <si>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</si>
  <si>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</si>
  <si>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</si>
  <si>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</si>
  <si>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</si>
  <si>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</si>
  <si>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</si>
  <si>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</si>
  <si>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</si>
  <si>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</si>
  <si>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</si>
  <si>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</si>
  <si>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</si>
  <si>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</si>
  <si>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</si>
  <si>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</si>
  <si>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</si>
  <si>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</si>
  <si>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</si>
  <si>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</si>
  <si>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</si>
  <si>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</si>
  <si>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</si>
  <si>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</si>
  <si>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</si>
  <si>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</si>
  <si>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</si>
  <si>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</si>
  <si>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</si>
  <si>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</si>
  <si>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</si>
  <si>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</si>
  <si>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</si>
  <si>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</si>
  <si>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</si>
  <si>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</si>
  <si>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</si>
  <si>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</si>
  <si>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</si>
  <si>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</si>
  <si>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</si>
  <si>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</si>
  <si>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</si>
  <si>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</si>
  <si>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</si>
  <si>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</si>
  <si>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</si>
  <si>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</si>
  <si>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</si>
  <si>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</si>
  <si>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</si>
  <si>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</si>
  <si>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</si>
  <si>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</si>
  <si>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</si>
  <si>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</si>
  <si>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</si>
  <si>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</si>
  <si>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</si>
  <si>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</si>
  <si>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</si>
  <si>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</si>
  <si>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</si>
  <si>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</si>
  <si>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</si>
  <si>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</si>
  <si>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</si>
  <si>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</si>
  <si>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</si>
  <si>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</si>
  <si>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</si>
  <si>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</si>
  <si>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</si>
  <si>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</si>
  <si>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</si>
  <si>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</si>
  <si>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</si>
  <si>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</si>
  <si>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</si>
  <si>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</si>
  <si>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</si>
  <si>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</si>
  <si>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</si>
  <si>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</si>
  <si>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</si>
  <si>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</si>
  <si>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</si>
  <si>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</si>
  <si>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</si>
  <si>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</si>
  <si>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</si>
  <si>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</si>
  <si>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</si>
  <si>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</si>
  <si>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</si>
  <si>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</si>
  <si>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</si>
  <si>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</si>
  <si>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</si>
  <si>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</si>
  <si>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</si>
  <si>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</si>
  <si>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</si>
  <si>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</si>
  <si>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</si>
  <si>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</si>
  <si>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</si>
  <si>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</si>
  <si>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</si>
  <si>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</si>
  <si>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</si>
  <si>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</si>
  <si>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</si>
  <si>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</si>
  <si>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</si>
  <si>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</si>
  <si>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</si>
  <si>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</si>
  <si>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</si>
  <si>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</si>
  <si>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</si>
  <si>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</si>
  <si>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</si>
  <si>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</si>
  <si>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</si>
  <si>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</si>
  <si>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</si>
  <si>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</si>
  <si>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</si>
  <si>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</si>
  <si>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</si>
  <si>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</si>
  <si>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</si>
  <si>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</si>
  <si>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</si>
  <si>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</si>
  <si>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</si>
  <si>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</si>
  <si>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</si>
  <si>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</si>
  <si>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</si>
  <si>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</si>
  <si>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</si>
  <si>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</si>
  <si>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</si>
  <si>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</si>
  <si>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</si>
  <si>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</si>
  <si>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</si>
  <si>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</si>
  <si>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</si>
  <si>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</si>
  <si>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</si>
  <si>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</si>
  <si>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</si>
  <si>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</si>
  <si>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</si>
  <si>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</si>
  <si>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</si>
  <si>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</si>
  <si>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</si>
  <si>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</si>
  <si>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</si>
  <si>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</si>
  <si>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</si>
  <si>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</si>
  <si>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</si>
  <si>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</si>
  <si>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</si>
  <si>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</si>
  <si>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</si>
  <si>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</si>
  <si>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</si>
  <si>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</si>
  <si>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</si>
  <si>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</si>
  <si>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</si>
  <si>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</si>
  <si>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</si>
  <si>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</si>
  <si>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</si>
  <si>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</si>
  <si>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</si>
  <si>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</si>
  <si>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</si>
  <si>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</si>
  <si>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</si>
  <si>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</si>
  <si>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</si>
  <si>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</si>
  <si>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</si>
  <si>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</si>
  <si>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</si>
  <si>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</si>
  <si>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</si>
  <si>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</si>
  <si>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</si>
  <si>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</si>
  <si>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</si>
  <si>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</si>
  <si>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</si>
  <si>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</si>
  <si>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</si>
  <si>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</si>
  <si>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</si>
  <si>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</si>
  <si>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</si>
  <si>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</si>
  <si>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</si>
  <si>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</si>
  <si>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</si>
  <si>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</si>
  <si>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</si>
  <si>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</si>
  <si>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</si>
  <si>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</si>
  <si>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</si>
  <si>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</si>
  <si>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</si>
  <si>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</si>
  <si>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</si>
  <si>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</si>
  <si>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</si>
  <si>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</si>
  <si>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</si>
  <si>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</si>
  <si>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</si>
  <si>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</si>
  <si>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</si>
  <si>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</si>
  <si>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</si>
  <si>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</si>
  <si>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</si>
  <si>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</si>
  <si>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</si>
  <si>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</si>
  <si>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</si>
  <si>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</si>
  <si>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</si>
  <si>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</si>
  <si>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</si>
  <si>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</si>
  <si>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</si>
  <si>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</si>
  <si>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</si>
  <si>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</si>
  <si>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</si>
  <si>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</si>
  <si>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</si>
  <si>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</si>
  <si>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</si>
  <si>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</si>
  <si>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</si>
  <si>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</si>
  <si>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</si>
  <si>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</si>
  <si>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</si>
  <si>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</si>
  <si>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</si>
  <si>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</si>
  <si>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</si>
  <si>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</si>
  <si>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</si>
  <si>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</si>
  <si>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</si>
  <si>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</si>
  <si>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</si>
  <si>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</si>
  <si>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</si>
  <si>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</si>
  <si>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</si>
  <si>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</si>
  <si>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</si>
  <si>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</si>
  <si>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</si>
  <si>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</si>
  <si>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</si>
  <si>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</si>
  <si>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</si>
  <si>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</si>
  <si>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</si>
  <si>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</si>
  <si>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</si>
  <si>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</si>
  <si>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</si>
  <si>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</si>
  <si>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</si>
  <si>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</si>
  <si>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</si>
  <si>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</si>
  <si>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</si>
  <si>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</si>
  <si>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</si>
  <si>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</si>
  <si>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</si>
  <si>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</si>
  <si>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</si>
  <si>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</si>
  <si>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</si>
  <si>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</si>
  <si>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</si>
  <si>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</si>
  <si>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</si>
  <si>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</si>
  <si>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</si>
  <si>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</si>
  <si>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</si>
  <si>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</si>
  <si>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</si>
  <si>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</si>
  <si>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</si>
  <si>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</si>
  <si>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</si>
  <si>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</si>
  <si>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</si>
  <si>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</si>
  <si>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</si>
  <si>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</si>
  <si>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</si>
  <si>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</si>
  <si>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</si>
  <si>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</si>
  <si>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</si>
  <si>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</si>
  <si>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</si>
  <si>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</si>
  <si>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</si>
  <si>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</si>
  <si>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</si>
  <si>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</si>
  <si>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</si>
  <si>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</si>
  <si>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</si>
  <si>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</si>
  <si>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</si>
  <si>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</si>
  <si>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</si>
  <si>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</si>
  <si>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</si>
  <si>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</si>
  <si>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</si>
  <si>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</si>
  <si>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</si>
  <si>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</si>
  <si>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</si>
  <si>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</si>
  <si>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</si>
  <si>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</si>
  <si>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</si>
  <si>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</si>
  <si>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</si>
  <si>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</si>
  <si>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</si>
  <si>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</si>
  <si>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</si>
  <si>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</si>
  <si>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</si>
  <si>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</si>
  <si>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</si>
  <si>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</si>
  <si>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</si>
  <si>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</si>
  <si>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</si>
  <si>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</si>
  <si>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</si>
  <si>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</si>
  <si>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</si>
  <si>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</si>
  <si>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</si>
  <si>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</si>
  <si>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</si>
  <si>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</si>
  <si>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</si>
  <si>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</si>
  <si>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</si>
  <si>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</si>
  <si>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</si>
  <si>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</si>
  <si>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</si>
  <si>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</si>
  <si>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</si>
  <si>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</si>
  <si>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</si>
  <si>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</si>
  <si>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</si>
  <si>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</si>
  <si>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</si>
  <si>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</si>
  <si>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</si>
  <si>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</si>
  <si>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</si>
  <si>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</si>
  <si>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</si>
  <si>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</si>
  <si>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</si>
  <si>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</si>
  <si>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</si>
  <si>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</si>
  <si>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</si>
  <si>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</si>
  <si>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</si>
  <si>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</si>
  <si>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</si>
  <si>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</si>
  <si>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</si>
  <si>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</si>
  <si>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</si>
  <si>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</si>
  <si>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</si>
  <si>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</si>
  <si>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</si>
  <si>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</si>
  <si>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</si>
  <si>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</si>
  <si>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</si>
  <si>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</si>
  <si>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</si>
  <si>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</si>
  <si>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</si>
  <si>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</si>
  <si>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</si>
  <si>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</si>
  <si>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</si>
  <si>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</si>
  <si>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32006</t>
  </si>
  <si>
    <t>HOUTHULST</t>
  </si>
  <si>
    <t>referentietaak LNE (2017); Jaarverslag De Lijn</t>
  </si>
  <si>
    <t>Tom Debacker</t>
  </si>
  <si>
    <t>WKK-0768</t>
  </si>
  <si>
    <t>Interne verbrandingsmotor</t>
  </si>
  <si>
    <t>WKK interne verbrandinsgmotor (gas)</t>
  </si>
  <si>
    <t>Westbroekstraat 94 / X</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</si>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</sst>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105552.27132823619</c:v>
                </c:pt>
                <c:pt idx="1">
                  <c:v>35120.271269150413</c:v>
                </c:pt>
                <c:pt idx="2">
                  <c:v>648.726</c:v>
                </c:pt>
                <c:pt idx="3">
                  <c:v>26423.811512135759</c:v>
                </c:pt>
                <c:pt idx="4">
                  <c:v>9242.02398409534</c:v>
                </c:pt>
                <c:pt idx="5">
                  <c:v>50508.436099276732</c:v>
                </c:pt>
                <c:pt idx="6">
                  <c:v>620.96912174833381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105552.27132823619</c:v>
                </c:pt>
                <c:pt idx="1">
                  <c:v>35120.271269150413</c:v>
                </c:pt>
                <c:pt idx="2">
                  <c:v>648.726</c:v>
                </c:pt>
                <c:pt idx="3">
                  <c:v>26423.811512135759</c:v>
                </c:pt>
                <c:pt idx="4">
                  <c:v>9242.02398409534</c:v>
                </c:pt>
                <c:pt idx="5">
                  <c:v>50508.436099276732</c:v>
                </c:pt>
                <c:pt idx="6">
                  <c:v>620.96912174833381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19732.072083130512</c:v>
                </c:pt>
                <c:pt idx="1">
                  <c:v>5580.008370546575</c:v>
                </c:pt>
                <c:pt idx="2">
                  <c:v>122.73280622345376</c:v>
                </c:pt>
                <c:pt idx="3">
                  <c:v>6683.2163257682569</c:v>
                </c:pt>
                <c:pt idx="4">
                  <c:v>1968.756836202436</c:v>
                </c:pt>
                <c:pt idx="5">
                  <c:v>12542.889109952037</c:v>
                </c:pt>
                <c:pt idx="6">
                  <c:v>157.07015253411896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19732.072083130512</c:v>
                </c:pt>
                <c:pt idx="1">
                  <c:v>5580.008370546575</c:v>
                </c:pt>
                <c:pt idx="2">
                  <c:v>122.73280622345376</c:v>
                </c:pt>
                <c:pt idx="3">
                  <c:v>6683.2163257682569</c:v>
                </c:pt>
                <c:pt idx="4">
                  <c:v>1968.756836202436</c:v>
                </c:pt>
                <c:pt idx="5">
                  <c:v>12542.889109952037</c:v>
                </c:pt>
                <c:pt idx="6">
                  <c:v>157.07015253411896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32006</v>
      </c>
      <c r="B6" s="390"/>
      <c r="C6" s="391"/>
    </row>
    <row r="7" spans="1:7" s="388" customFormat="1" ht="15.75" customHeight="1">
      <c r="A7" s="392" t="str">
        <f>txtMunicipality</f>
        <v>HOUTHULST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0.18919051529220929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0.18919051529220929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4076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4046.94</v>
      </c>
      <c r="C14" s="330"/>
      <c r="D14" s="330"/>
      <c r="E14" s="330"/>
      <c r="F14" s="330"/>
    </row>
    <row r="15" spans="1:6">
      <c r="A15" s="1298" t="s">
        <v>183</v>
      </c>
      <c r="B15" s="1299">
        <v>59</v>
      </c>
      <c r="C15" s="330"/>
      <c r="D15" s="330"/>
      <c r="E15" s="330"/>
      <c r="F15" s="330"/>
    </row>
    <row r="16" spans="1:6">
      <c r="A16" s="1298" t="s">
        <v>6</v>
      </c>
      <c r="B16" s="1299">
        <v>1763</v>
      </c>
      <c r="C16" s="330"/>
      <c r="D16" s="330"/>
      <c r="E16" s="330"/>
      <c r="F16" s="330"/>
    </row>
    <row r="17" spans="1:6">
      <c r="A17" s="1298" t="s">
        <v>7</v>
      </c>
      <c r="B17" s="1299">
        <v>1182</v>
      </c>
      <c r="C17" s="330"/>
      <c r="D17" s="330"/>
      <c r="E17" s="330"/>
      <c r="F17" s="330"/>
    </row>
    <row r="18" spans="1:6">
      <c r="A18" s="1298" t="s">
        <v>8</v>
      </c>
      <c r="B18" s="1299">
        <v>1719</v>
      </c>
      <c r="C18" s="330"/>
      <c r="D18" s="330"/>
      <c r="E18" s="330"/>
      <c r="F18" s="330"/>
    </row>
    <row r="19" spans="1:6">
      <c r="A19" s="1298" t="s">
        <v>9</v>
      </c>
      <c r="B19" s="1299">
        <v>1571</v>
      </c>
      <c r="C19" s="330"/>
      <c r="D19" s="330"/>
      <c r="E19" s="330"/>
      <c r="F19" s="330"/>
    </row>
    <row r="20" spans="1:6">
      <c r="A20" s="1298" t="s">
        <v>10</v>
      </c>
      <c r="B20" s="1299">
        <v>1270</v>
      </c>
      <c r="C20" s="330"/>
      <c r="D20" s="330"/>
      <c r="E20" s="330"/>
      <c r="F20" s="330"/>
    </row>
    <row r="21" spans="1:6">
      <c r="A21" s="1298" t="s">
        <v>11</v>
      </c>
      <c r="B21" s="1299">
        <v>22024</v>
      </c>
      <c r="C21" s="330"/>
      <c r="D21" s="330"/>
      <c r="E21" s="330"/>
      <c r="F21" s="330"/>
    </row>
    <row r="22" spans="1:6">
      <c r="A22" s="1298" t="s">
        <v>12</v>
      </c>
      <c r="B22" s="1299">
        <v>42082</v>
      </c>
      <c r="C22" s="330"/>
      <c r="D22" s="330"/>
      <c r="E22" s="330"/>
      <c r="F22" s="330"/>
    </row>
    <row r="23" spans="1:6">
      <c r="A23" s="1298" t="s">
        <v>13</v>
      </c>
      <c r="B23" s="1299">
        <v>1198</v>
      </c>
      <c r="C23" s="330"/>
      <c r="D23" s="330"/>
      <c r="E23" s="330"/>
      <c r="F23" s="330"/>
    </row>
    <row r="24" spans="1:6">
      <c r="A24" s="1298" t="s">
        <v>14</v>
      </c>
      <c r="B24" s="1299">
        <v>48</v>
      </c>
      <c r="C24" s="330"/>
      <c r="D24" s="330"/>
      <c r="E24" s="330"/>
      <c r="F24" s="330"/>
    </row>
    <row r="25" spans="1:6">
      <c r="A25" s="1298" t="s">
        <v>15</v>
      </c>
      <c r="B25" s="1299">
        <v>6114</v>
      </c>
      <c r="C25" s="330"/>
      <c r="D25" s="330"/>
      <c r="E25" s="330"/>
      <c r="F25" s="330"/>
    </row>
    <row r="26" spans="1:6">
      <c r="A26" s="1298" t="s">
        <v>16</v>
      </c>
      <c r="B26" s="1299">
        <v>405</v>
      </c>
      <c r="C26" s="330"/>
      <c r="D26" s="330"/>
      <c r="E26" s="330"/>
      <c r="F26" s="330"/>
    </row>
    <row r="27" spans="1:6">
      <c r="A27" s="1298" t="s">
        <v>17</v>
      </c>
      <c r="B27" s="1299">
        <v>10</v>
      </c>
      <c r="C27" s="330"/>
      <c r="D27" s="330"/>
      <c r="E27" s="330"/>
      <c r="F27" s="330"/>
    </row>
    <row r="28" spans="1:6" s="43" customFormat="1">
      <c r="A28" s="1300" t="s">
        <v>18</v>
      </c>
      <c r="B28" s="1301">
        <v>131957</v>
      </c>
      <c r="C28" s="336"/>
      <c r="D28" s="336"/>
      <c r="E28" s="336"/>
      <c r="F28" s="336"/>
    </row>
    <row r="29" spans="1:6">
      <c r="A29" s="1300" t="s">
        <v>705</v>
      </c>
      <c r="B29" s="1301">
        <v>49</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3294.0529999999999</v>
      </c>
    </row>
    <row r="37" spans="1:6">
      <c r="A37" s="1298" t="s">
        <v>24</v>
      </c>
      <c r="B37" s="1298" t="s">
        <v>27</v>
      </c>
      <c r="C37" s="1299">
        <v>0</v>
      </c>
      <c r="D37" s="1299">
        <v>0</v>
      </c>
      <c r="E37" s="1299">
        <v>0</v>
      </c>
      <c r="F37" s="1299">
        <v>0</v>
      </c>
    </row>
    <row r="38" spans="1:6">
      <c r="A38" s="1298" t="s">
        <v>24</v>
      </c>
      <c r="B38" s="1298" t="s">
        <v>28</v>
      </c>
      <c r="C38" s="1299">
        <v>1</v>
      </c>
      <c r="D38" s="1299">
        <v>226210.046</v>
      </c>
      <c r="E38" s="1299">
        <v>3</v>
      </c>
      <c r="F38" s="1299">
        <v>38112.252</v>
      </c>
    </row>
    <row r="39" spans="1:6">
      <c r="A39" s="1298" t="s">
        <v>29</v>
      </c>
      <c r="B39" s="1298" t="s">
        <v>30</v>
      </c>
      <c r="C39" s="1299">
        <v>1712</v>
      </c>
      <c r="D39" s="1299">
        <v>23331991.289999999</v>
      </c>
      <c r="E39" s="1299">
        <v>3757</v>
      </c>
      <c r="F39" s="1299">
        <v>13688499.699999999</v>
      </c>
    </row>
    <row r="40" spans="1:6">
      <c r="A40" s="1298" t="s">
        <v>29</v>
      </c>
      <c r="B40" s="1298" t="s">
        <v>28</v>
      </c>
      <c r="C40" s="1299">
        <v>0</v>
      </c>
      <c r="D40" s="1299">
        <v>0</v>
      </c>
      <c r="E40" s="1299">
        <v>0</v>
      </c>
      <c r="F40" s="1299">
        <v>0</v>
      </c>
    </row>
    <row r="41" spans="1:6">
      <c r="A41" s="1298" t="s">
        <v>31</v>
      </c>
      <c r="B41" s="1298" t="s">
        <v>32</v>
      </c>
      <c r="C41" s="1299">
        <v>40</v>
      </c>
      <c r="D41" s="1299">
        <v>691806.67700000003</v>
      </c>
      <c r="E41" s="1299">
        <v>107</v>
      </c>
      <c r="F41" s="1299">
        <v>3331265.2409999999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59397.364999999998</v>
      </c>
      <c r="E44" s="1299">
        <v>11</v>
      </c>
      <c r="F44" s="1299">
        <v>116924.249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9</v>
      </c>
      <c r="D48" s="1299">
        <v>94452.399000000005</v>
      </c>
      <c r="E48" s="1299">
        <v>25</v>
      </c>
      <c r="F48" s="1299">
        <v>536315.08100000001</v>
      </c>
    </row>
    <row r="49" spans="1:6">
      <c r="A49" s="1298" t="s">
        <v>31</v>
      </c>
      <c r="B49" s="1298" t="s">
        <v>39</v>
      </c>
      <c r="C49" s="1299">
        <v>0</v>
      </c>
      <c r="D49" s="1299">
        <v>0</v>
      </c>
      <c r="E49" s="1299">
        <v>0</v>
      </c>
      <c r="F49" s="1299">
        <v>0</v>
      </c>
    </row>
    <row r="50" spans="1:6">
      <c r="A50" s="1298" t="s">
        <v>31</v>
      </c>
      <c r="B50" s="1298" t="s">
        <v>40</v>
      </c>
      <c r="C50" s="1299">
        <v>3</v>
      </c>
      <c r="D50" s="1299">
        <v>189168.57500000001</v>
      </c>
      <c r="E50" s="1299">
        <v>7</v>
      </c>
      <c r="F50" s="1299">
        <v>214112.91800000001</v>
      </c>
    </row>
    <row r="51" spans="1:6">
      <c r="A51" s="1298" t="s">
        <v>41</v>
      </c>
      <c r="B51" s="1298" t="s">
        <v>42</v>
      </c>
      <c r="C51" s="1299">
        <v>4</v>
      </c>
      <c r="D51" s="1299">
        <v>1044245.787</v>
      </c>
      <c r="E51" s="1299">
        <v>183</v>
      </c>
      <c r="F51" s="1299">
        <v>5130531.6229999997</v>
      </c>
    </row>
    <row r="52" spans="1:6">
      <c r="A52" s="1298" t="s">
        <v>41</v>
      </c>
      <c r="B52" s="1298" t="s">
        <v>28</v>
      </c>
      <c r="C52" s="1299">
        <v>4</v>
      </c>
      <c r="D52" s="1299">
        <v>99092.73</v>
      </c>
      <c r="E52" s="1299">
        <v>7</v>
      </c>
      <c r="F52" s="1299">
        <v>102078.637</v>
      </c>
    </row>
    <row r="53" spans="1:6">
      <c r="A53" s="1298" t="s">
        <v>43</v>
      </c>
      <c r="B53" s="1298" t="s">
        <v>44</v>
      </c>
      <c r="C53" s="1299">
        <v>45</v>
      </c>
      <c r="D53" s="1299">
        <v>645318.179</v>
      </c>
      <c r="E53" s="1299">
        <v>135</v>
      </c>
      <c r="F53" s="1299">
        <v>421280.092</v>
      </c>
    </row>
    <row r="54" spans="1:6">
      <c r="A54" s="1298" t="s">
        <v>45</v>
      </c>
      <c r="B54" s="1298" t="s">
        <v>46</v>
      </c>
      <c r="C54" s="1299">
        <v>0</v>
      </c>
      <c r="D54" s="1299">
        <v>0</v>
      </c>
      <c r="E54" s="1299">
        <v>1</v>
      </c>
      <c r="F54" s="1299">
        <v>648726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44</v>
      </c>
      <c r="D57" s="1299">
        <v>1608777.791</v>
      </c>
      <c r="E57" s="1299">
        <v>96</v>
      </c>
      <c r="F57" s="1299">
        <v>10537497.77</v>
      </c>
    </row>
    <row r="58" spans="1:6">
      <c r="A58" s="1298" t="s">
        <v>48</v>
      </c>
      <c r="B58" s="1298" t="s">
        <v>50</v>
      </c>
      <c r="C58" s="1299">
        <v>23</v>
      </c>
      <c r="D58" s="1299">
        <v>4913295.9800000004</v>
      </c>
      <c r="E58" s="1299">
        <v>36</v>
      </c>
      <c r="F58" s="1299">
        <v>1809107.216</v>
      </c>
    </row>
    <row r="59" spans="1:6">
      <c r="A59" s="1298" t="s">
        <v>48</v>
      </c>
      <c r="B59" s="1298" t="s">
        <v>51</v>
      </c>
      <c r="C59" s="1299">
        <v>19</v>
      </c>
      <c r="D59" s="1299">
        <v>426273.68199999997</v>
      </c>
      <c r="E59" s="1299">
        <v>75</v>
      </c>
      <c r="F59" s="1299">
        <v>2568661.6379999998</v>
      </c>
    </row>
    <row r="60" spans="1:6">
      <c r="A60" s="1298" t="s">
        <v>48</v>
      </c>
      <c r="B60" s="1298" t="s">
        <v>52</v>
      </c>
      <c r="C60" s="1299">
        <v>14</v>
      </c>
      <c r="D60" s="1299">
        <v>502653.72899999999</v>
      </c>
      <c r="E60" s="1299">
        <v>30</v>
      </c>
      <c r="F60" s="1299">
        <v>594364.77500000002</v>
      </c>
    </row>
    <row r="61" spans="1:6">
      <c r="A61" s="1298" t="s">
        <v>48</v>
      </c>
      <c r="B61" s="1298" t="s">
        <v>53</v>
      </c>
      <c r="C61" s="1299">
        <v>15</v>
      </c>
      <c r="D61" s="1299">
        <v>219745.91099999999</v>
      </c>
      <c r="E61" s="1299">
        <v>83</v>
      </c>
      <c r="F61" s="1299">
        <v>664821.49399999995</v>
      </c>
    </row>
    <row r="62" spans="1:6">
      <c r="A62" s="1298" t="s">
        <v>48</v>
      </c>
      <c r="B62" s="1298" t="s">
        <v>54</v>
      </c>
      <c r="C62" s="1299">
        <v>0</v>
      </c>
      <c r="D62" s="1299">
        <v>0</v>
      </c>
      <c r="E62" s="1299">
        <v>0</v>
      </c>
      <c r="F62" s="1299">
        <v>0</v>
      </c>
    </row>
    <row r="63" spans="1:6">
      <c r="A63" s="1298" t="s">
        <v>48</v>
      </c>
      <c r="B63" s="1298" t="s">
        <v>28</v>
      </c>
      <c r="C63" s="1299">
        <v>78</v>
      </c>
      <c r="D63" s="1299">
        <v>1755468.0379999999</v>
      </c>
      <c r="E63" s="1299">
        <v>87</v>
      </c>
      <c r="F63" s="1299">
        <v>883689.30099999998</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1657.836</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3</v>
      </c>
      <c r="D68" s="1302">
        <v>70470.195999999996</v>
      </c>
      <c r="E68" s="1302">
        <v>8</v>
      </c>
      <c r="F68" s="1302">
        <v>89301.225000000006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29612839</v>
      </c>
      <c r="E73" s="450"/>
      <c r="F73" s="330"/>
    </row>
    <row r="74" spans="1:6">
      <c r="A74" s="1298" t="s">
        <v>63</v>
      </c>
      <c r="B74" s="1298" t="s">
        <v>647</v>
      </c>
      <c r="C74" s="1312" t="s">
        <v>649</v>
      </c>
      <c r="D74" s="1313">
        <v>2363536.5</v>
      </c>
      <c r="E74" s="450"/>
      <c r="F74" s="330"/>
    </row>
    <row r="75" spans="1:6">
      <c r="A75" s="1298" t="s">
        <v>64</v>
      </c>
      <c r="B75" s="1298" t="s">
        <v>646</v>
      </c>
      <c r="C75" s="1312" t="s">
        <v>650</v>
      </c>
      <c r="D75" s="1313">
        <v>23205432</v>
      </c>
      <c r="E75" s="450"/>
      <c r="F75" s="330"/>
    </row>
    <row r="76" spans="1:6">
      <c r="A76" s="1298" t="s">
        <v>64</v>
      </c>
      <c r="B76" s="1298" t="s">
        <v>647</v>
      </c>
      <c r="C76" s="1312" t="s">
        <v>651</v>
      </c>
      <c r="D76" s="1313">
        <v>1154550.5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170461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2997.3431260883322</v>
      </c>
      <c r="C91" s="330"/>
      <c r="D91" s="330"/>
      <c r="E91" s="330"/>
      <c r="F91" s="330"/>
    </row>
    <row r="92" spans="1:6">
      <c r="A92" s="1293" t="s">
        <v>68</v>
      </c>
      <c r="B92" s="1294">
        <v>3331.0482764970429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340</v>
      </c>
      <c r="C97" s="330"/>
      <c r="D97" s="330"/>
      <c r="E97" s="330"/>
      <c r="F97" s="330"/>
    </row>
    <row r="98" spans="1:6">
      <c r="A98" s="1298" t="s">
        <v>71</v>
      </c>
      <c r="B98" s="1299">
        <v>1</v>
      </c>
      <c r="C98" s="330"/>
      <c r="D98" s="330"/>
      <c r="E98" s="330"/>
      <c r="F98" s="330"/>
    </row>
    <row r="99" spans="1:6">
      <c r="A99" s="1298" t="s">
        <v>72</v>
      </c>
      <c r="B99" s="1299">
        <v>307</v>
      </c>
      <c r="C99" s="330"/>
      <c r="D99" s="330"/>
      <c r="E99" s="330"/>
      <c r="F99" s="330"/>
    </row>
    <row r="100" spans="1:6">
      <c r="A100" s="1298" t="s">
        <v>73</v>
      </c>
      <c r="B100" s="1299">
        <v>296</v>
      </c>
      <c r="C100" s="330"/>
      <c r="D100" s="330"/>
      <c r="E100" s="330"/>
      <c r="F100" s="330"/>
    </row>
    <row r="101" spans="1:6">
      <c r="A101" s="1298" t="s">
        <v>74</v>
      </c>
      <c r="B101" s="1299">
        <v>121</v>
      </c>
      <c r="C101" s="330"/>
      <c r="D101" s="330"/>
      <c r="E101" s="330"/>
      <c r="F101" s="330"/>
    </row>
    <row r="102" spans="1:6">
      <c r="A102" s="1298" t="s">
        <v>75</v>
      </c>
      <c r="B102" s="1299">
        <v>54</v>
      </c>
      <c r="C102" s="330"/>
      <c r="D102" s="330"/>
      <c r="E102" s="330"/>
      <c r="F102" s="330"/>
    </row>
    <row r="103" spans="1:6">
      <c r="A103" s="1298" t="s">
        <v>76</v>
      </c>
      <c r="B103" s="1299">
        <v>320</v>
      </c>
      <c r="C103" s="330"/>
      <c r="D103" s="330"/>
      <c r="E103" s="330"/>
      <c r="F103" s="330"/>
    </row>
    <row r="104" spans="1:6">
      <c r="A104" s="1298" t="s">
        <v>77</v>
      </c>
      <c r="B104" s="1299">
        <v>1912</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19</v>
      </c>
      <c r="C123" s="1299">
        <v>11</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157</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44270.479792666039</v>
      </c>
      <c r="C3" s="43" t="s">
        <v>169</v>
      </c>
      <c r="D3" s="43"/>
      <c r="E3" s="154"/>
      <c r="F3" s="43"/>
      <c r="G3" s="43"/>
      <c r="H3" s="43"/>
      <c r="I3" s="43"/>
      <c r="J3" s="43"/>
      <c r="K3" s="96"/>
    </row>
    <row r="4" spans="1:11">
      <c r="A4" s="358" t="s">
        <v>170</v>
      </c>
      <c r="B4" s="49">
        <f>IF(ISERROR('SEAP template'!B78+'SEAP template'!C78),0,'SEAP template'!B78+'SEAP template'!C78)</f>
        <v>6372.0414025853752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0.18919051529220929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648.726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648.726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0.18919051529220929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122.73280622345376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13688.499699999998</v>
      </c>
      <c r="C5" s="17">
        <f>IF(ISERROR('Eigen informatie GS &amp; warmtenet'!B59),0,'Eigen informatie GS &amp; warmtenet'!B59)</f>
        <v>0</v>
      </c>
      <c r="D5" s="30">
        <f>(SUM(HH_hh_gas_kWh,HH_rest_gas_kWh)/1000)*0.902</f>
        <v>21045.456143579999</v>
      </c>
      <c r="E5" s="17">
        <f>B46*B57</f>
        <v>34005.902069182848</v>
      </c>
      <c r="F5" s="17">
        <f>B51*B62</f>
        <v>14054.526097759102</v>
      </c>
      <c r="G5" s="18"/>
      <c r="H5" s="17"/>
      <c r="I5" s="17"/>
      <c r="J5" s="17">
        <f>B50*B61+C50*C61</f>
        <v>2407.312152453952</v>
      </c>
      <c r="K5" s="17"/>
      <c r="L5" s="17"/>
      <c r="M5" s="17"/>
      <c r="N5" s="17">
        <f>B48*B59+C48*C59</f>
        <v>16722.992239480394</v>
      </c>
      <c r="O5" s="17">
        <f>B69*B70*B71</f>
        <v>335.28893907640838</v>
      </c>
      <c r="P5" s="17">
        <f>B77*B78*B79/1000-B77*B78*B79/1000/B80</f>
        <v>294.95086061518066</v>
      </c>
    </row>
    <row r="6" spans="1:16">
      <c r="A6" s="16" t="s">
        <v>611</v>
      </c>
      <c r="B6" s="783">
        <f>kWh_PV_kleiner_dan_10kW</f>
        <v>2997.3431260883322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16685.84282608833</v>
      </c>
      <c r="C8" s="21">
        <f>C5</f>
        <v>0</v>
      </c>
      <c r="D8" s="21">
        <f>D5</f>
        <v>21045.456143579999</v>
      </c>
      <c r="E8" s="21">
        <f>E5</f>
        <v>34005.902069182848</v>
      </c>
      <c r="F8" s="21">
        <f>F5</f>
        <v>14054.526097759102</v>
      </c>
      <c r="G8" s="21"/>
      <c r="H8" s="21"/>
      <c r="I8" s="21"/>
      <c r="J8" s="21">
        <f>J5</f>
        <v>2407.312152453952</v>
      </c>
      <c r="K8" s="21"/>
      <c r="L8" s="21">
        <f>L5</f>
        <v>0</v>
      </c>
      <c r="M8" s="21">
        <f>M5</f>
        <v>0</v>
      </c>
      <c r="N8" s="21">
        <f>N5</f>
        <v>16722.992239480394</v>
      </c>
      <c r="O8" s="21">
        <f>O5</f>
        <v>335.28893907640838</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0.18919051529220929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3156.8032023524647</v>
      </c>
      <c r="C12" s="23">
        <f ca="1">C10*C8</f>
        <v>0</v>
      </c>
      <c r="D12" s="23">
        <f>D8*D10</f>
        <v>4251.1821410031598</v>
      </c>
      <c r="E12" s="23">
        <f>E10*E8</f>
        <v>7719.3397697045066</v>
      </c>
      <c r="F12" s="23">
        <f>F10*F8</f>
        <v>3752.5584681016808</v>
      </c>
      <c r="G12" s="23"/>
      <c r="H12" s="23"/>
      <c r="I12" s="23"/>
      <c r="J12" s="23">
        <f>J10*J8</f>
        <v>852.18850196869892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4076</v>
      </c>
      <c r="C28" s="36"/>
      <c r="D28" s="228"/>
    </row>
    <row r="29" spans="1:7" s="15" customFormat="1">
      <c r="A29" s="230" t="s">
        <v>819</v>
      </c>
      <c r="B29" s="37">
        <f>SUM(HH_hh_gas_aantal,HH_rest_gas_aantal)</f>
        <v>1712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1712</v>
      </c>
      <c r="C32" s="167">
        <f>IF(ISERROR(B32/SUM($B$32,$B$34,$B$35,$B$36,$B$38,$B$39)*100),0,B32/SUM($B$32,$B$34,$B$35,$B$36,$B$38,$B$39)*100)</f>
        <v>42.292490118577078</v>
      </c>
      <c r="D32" s="233"/>
      <c r="G32" s="15"/>
    </row>
    <row r="33" spans="1:7">
      <c r="A33" s="171" t="s">
        <v>71</v>
      </c>
      <c r="B33" s="34" t="s">
        <v>110</v>
      </c>
      <c r="C33" s="167"/>
      <c r="D33" s="233"/>
      <c r="G33" s="15"/>
    </row>
    <row r="34" spans="1:7">
      <c r="A34" s="171" t="s">
        <v>72</v>
      </c>
      <c r="B34" s="33">
        <f>IF((($B$28-$B$32-$B$39-$B$77-$B$38)*C20/100)&lt;0,0,($B$28-$B$32-$B$39-$B$77-$B$38)*C20/100)</f>
        <v>625.87292817679554</v>
      </c>
      <c r="C34" s="167">
        <f>IF(ISERROR(B34/SUM($B$32,$B$34,$B$35,$B$36,$B$38,$B$39)*100),0,B34/SUM($B$32,$B$34,$B$35,$B$36,$B$38,$B$39)*100)</f>
        <v>15.461287751403052</v>
      </c>
      <c r="D34" s="233"/>
      <c r="G34" s="15"/>
    </row>
    <row r="35" spans="1:7">
      <c r="A35" s="171" t="s">
        <v>73</v>
      </c>
      <c r="B35" s="33">
        <f>IF((($B$28-$B$32-$B$39-$B$77-$B$38)*C21/100)&lt;0,0,($B$28-$B$32-$B$39-$B$77-$B$38)*C21/100)</f>
        <v>603.44751381215474</v>
      </c>
      <c r="C35" s="167">
        <f>IF(ISERROR(B35/SUM($B$32,$B$34,$B$35,$B$36,$B$38,$B$39)*100),0,B35/SUM($B$32,$B$34,$B$35,$B$36,$B$38,$B$39)*100)</f>
        <v>14.907300242395127</v>
      </c>
      <c r="D35" s="233"/>
      <c r="G35" s="15"/>
    </row>
    <row r="36" spans="1:7">
      <c r="A36" s="171" t="s">
        <v>74</v>
      </c>
      <c r="B36" s="33">
        <f>IF((($B$28-$B$32-$B$39-$B$77-$B$38)*C22/100)&lt;0,0,($B$28-$B$32-$B$39-$B$77-$B$38)*C22/100)</f>
        <v>246.67955801104969</v>
      </c>
      <c r="C36" s="167">
        <f>IF(ISERROR(B36/SUM($B$32,$B$34,$B$35,$B$36,$B$38,$B$39)*100),0,B36/SUM($B$32,$B$34,$B$35,$B$36,$B$38,$B$39)*100)</f>
        <v>6.0938625990871955</v>
      </c>
      <c r="D36" s="233"/>
      <c r="G36" s="15"/>
    </row>
    <row r="37" spans="1:7">
      <c r="A37" s="171" t="s">
        <v>75</v>
      </c>
      <c r="B37" s="34" t="s">
        <v>110</v>
      </c>
      <c r="C37" s="167"/>
      <c r="D37" s="173"/>
      <c r="G37" s="15"/>
    </row>
    <row r="38" spans="1:7">
      <c r="A38" s="171" t="s">
        <v>76</v>
      </c>
      <c r="B38" s="33">
        <f>IF((B24-(B29-B18)*0.1)&lt;0,0,B24-(B29-B18)*0.1)</f>
        <v>182.79999999999998</v>
      </c>
      <c r="C38" s="167">
        <f>IF(ISERROR(B38/SUM($B$32,$B$34,$B$35,$B$36,$B$38,$B$39)*100),0,B38/SUM($B$32,$B$34,$B$35,$B$36,$B$38,$B$39)*100)</f>
        <v>4.5158102766798418</v>
      </c>
      <c r="D38" s="234"/>
      <c r="G38" s="15"/>
    </row>
    <row r="39" spans="1:7">
      <c r="A39" s="171" t="s">
        <v>77</v>
      </c>
      <c r="B39" s="33">
        <f>IF((B25-(B29-B18))&lt;0,0,B25-(B29-B18)*0.9)</f>
        <v>677.2</v>
      </c>
      <c r="C39" s="167">
        <f>IF(ISERROR(B39/SUM($B$32,$B$34,$B$35,$B$36,$B$38,$B$39)*100),0,B39/SUM($B$32,$B$34,$B$35,$B$36,$B$38,$B$39)*100)</f>
        <v>16.729249011857707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1712</v>
      </c>
      <c r="C44" s="34" t="s">
        <v>110</v>
      </c>
      <c r="D44" s="174"/>
    </row>
    <row r="45" spans="1:7">
      <c r="A45" s="171" t="s">
        <v>71</v>
      </c>
      <c r="B45" s="33" t="str">
        <f t="shared" si="0"/>
        <v>-</v>
      </c>
      <c r="C45" s="34" t="s">
        <v>110</v>
      </c>
      <c r="D45" s="174"/>
    </row>
    <row r="46" spans="1:7">
      <c r="A46" s="171" t="s">
        <v>72</v>
      </c>
      <c r="B46" s="33">
        <f t="shared" si="0"/>
        <v>625.87292817679554</v>
      </c>
      <c r="C46" s="34" t="s">
        <v>110</v>
      </c>
      <c r="D46" s="174"/>
    </row>
    <row r="47" spans="1:7">
      <c r="A47" s="171" t="s">
        <v>73</v>
      </c>
      <c r="B47" s="33">
        <f t="shared" si="0"/>
        <v>603.44751381215474</v>
      </c>
      <c r="C47" s="34" t="s">
        <v>110</v>
      </c>
      <c r="D47" s="174"/>
    </row>
    <row r="48" spans="1:7">
      <c r="A48" s="171" t="s">
        <v>74</v>
      </c>
      <c r="B48" s="33">
        <f t="shared" si="0"/>
        <v>246.67955801104969</v>
      </c>
      <c r="C48" s="33">
        <f>B48*10</f>
        <v>2466.7955801104968</v>
      </c>
      <c r="D48" s="234"/>
    </row>
    <row r="49" spans="1:6">
      <c r="A49" s="171" t="s">
        <v>75</v>
      </c>
      <c r="B49" s="33" t="str">
        <f t="shared" si="0"/>
        <v>-</v>
      </c>
      <c r="C49" s="34" t="s">
        <v>110</v>
      </c>
      <c r="D49" s="234"/>
    </row>
    <row r="50" spans="1:6">
      <c r="A50" s="171" t="s">
        <v>76</v>
      </c>
      <c r="B50" s="33">
        <f t="shared" si="0"/>
        <v>182.79999999999998</v>
      </c>
      <c r="C50" s="33">
        <f>B50*2</f>
        <v>365.59999999999997</v>
      </c>
      <c r="D50" s="234"/>
    </row>
    <row r="51" spans="1:6">
      <c r="A51" s="171" t="s">
        <v>77</v>
      </c>
      <c r="B51" s="33">
        <f t="shared" si="0"/>
        <v>677.2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17058.142194</v>
      </c>
      <c r="C5" s="17">
        <f>IF(ISERROR('Eigen informatie GS &amp; warmtenet'!B60),0,'Eigen informatie GS &amp; warmtenet'!B60)</f>
        <v>0</v>
      </c>
      <c r="D5" s="30">
        <f>SUM(D6:D12)</f>
        <v>8502.4460481620008</v>
      </c>
      <c r="E5" s="17">
        <f>SUM(E6:E12)</f>
        <v>111.70815782110482</v>
      </c>
      <c r="F5" s="17">
        <f>SUM(F6:F12)</f>
        <v>2284.0969308185622</v>
      </c>
      <c r="G5" s="18"/>
      <c r="H5" s="17"/>
      <c r="I5" s="17"/>
      <c r="J5" s="17">
        <f>SUM(J6:J12)</f>
        <v>0.18057868154298365</v>
      </c>
      <c r="K5" s="17"/>
      <c r="L5" s="17"/>
      <c r="M5" s="17"/>
      <c r="N5" s="17">
        <f>SUM(N6:N12)</f>
        <v>7053.7218222883685</v>
      </c>
      <c r="O5" s="17">
        <f>B38*B39*B40</f>
        <v>4.8972607658411542</v>
      </c>
      <c r="P5" s="17">
        <f>B46*B47*B48/1000-B46*B47*B48/1000/B49</f>
        <v>105.07827661299004</v>
      </c>
      <c r="R5" s="32"/>
    </row>
    <row r="6" spans="1:18">
      <c r="A6" s="32" t="s">
        <v>53</v>
      </c>
      <c r="B6" s="37">
        <f>B26</f>
        <v>664.82149399999992</v>
      </c>
      <c r="C6" s="33"/>
      <c r="D6" s="37">
        <f>IF(ISERROR(TER_kantoor_gas_kWh/1000),0,TER_kantoor_gas_kWh/1000)*0.902</f>
        <v>198.21081172200002</v>
      </c>
      <c r="E6" s="33">
        <f>$C$26*'E Balans VL '!I12/100/3.6*1000000</f>
        <v>5.3496054036538814</v>
      </c>
      <c r="F6" s="33">
        <f>$C$26*('E Balans VL '!L12+'E Balans VL '!N12)/100/3.6*1000000</f>
        <v>81.281421339709041</v>
      </c>
      <c r="G6" s="34"/>
      <c r="H6" s="33"/>
      <c r="I6" s="33"/>
      <c r="J6" s="33">
        <f>$C$26*('E Balans VL '!D12+'E Balans VL '!E12)/100/3.6*1000000</f>
        <v>0</v>
      </c>
      <c r="K6" s="33"/>
      <c r="L6" s="33"/>
      <c r="M6" s="33"/>
      <c r="N6" s="33">
        <f>$C$26*'E Balans VL '!Y12/100/3.6*1000000</f>
        <v>0.35730881410990045</v>
      </c>
      <c r="O6" s="33"/>
      <c r="P6" s="33"/>
      <c r="R6" s="32"/>
    </row>
    <row r="7" spans="1:18">
      <c r="A7" s="32" t="s">
        <v>52</v>
      </c>
      <c r="B7" s="37">
        <f t="shared" ref="B7:B12" si="0">B27</f>
        <v>594.36477500000001</v>
      </c>
      <c r="C7" s="33"/>
      <c r="D7" s="37">
        <f>IF(ISERROR(TER_horeca_gas_kWh/1000),0,TER_horeca_gas_kWh/1000)*0.902</f>
        <v>453.39366355800001</v>
      </c>
      <c r="E7" s="33">
        <f>$C$27*'E Balans VL '!I9/100/3.6*1000000</f>
        <v>6.3820181787752812</v>
      </c>
      <c r="F7" s="33">
        <f>$C$27*('E Balans VL '!L9+'E Balans VL '!N9)/100/3.6*1000000</f>
        <v>71.487669863716079</v>
      </c>
      <c r="G7" s="34"/>
      <c r="H7" s="33"/>
      <c r="I7" s="33"/>
      <c r="J7" s="33">
        <f>$C$27*('E Balans VL '!D9+'E Balans VL '!E9)/100/3.6*1000000</f>
        <v>0</v>
      </c>
      <c r="K7" s="33"/>
      <c r="L7" s="33"/>
      <c r="M7" s="33"/>
      <c r="N7" s="33">
        <f>$C$27*'E Balans VL '!Y9/100/3.6*1000000</f>
        <v>8.9107326147922716E-2</v>
      </c>
      <c r="O7" s="33"/>
      <c r="P7" s="33"/>
      <c r="R7" s="32"/>
    </row>
    <row r="8" spans="1:18">
      <c r="A8" s="6" t="s">
        <v>51</v>
      </c>
      <c r="B8" s="37">
        <f t="shared" si="0"/>
        <v>2568.6616379999996</v>
      </c>
      <c r="C8" s="33"/>
      <c r="D8" s="37">
        <f>IF(ISERROR(TER_handel_gas_kWh/1000),0,TER_handel_gas_kWh/1000)*0.902</f>
        <v>384.49886116399995</v>
      </c>
      <c r="E8" s="33">
        <f>$C$28*'E Balans VL '!I13/100/3.6*1000000</f>
        <v>68.935014482601147</v>
      </c>
      <c r="F8" s="33">
        <f>$C$28*('E Balans VL '!L13+'E Balans VL '!N13)/100/3.6*1000000</f>
        <v>245.12948845821546</v>
      </c>
      <c r="G8" s="34"/>
      <c r="H8" s="33"/>
      <c r="I8" s="33"/>
      <c r="J8" s="33">
        <f>$C$28*('E Balans VL '!D13+'E Balans VL '!E13)/100/3.6*1000000</f>
        <v>0</v>
      </c>
      <c r="K8" s="33"/>
      <c r="L8" s="33"/>
      <c r="M8" s="33"/>
      <c r="N8" s="33">
        <f>$C$28*'E Balans VL '!Y13/100/3.6*1000000</f>
        <v>1.0182466799761933</v>
      </c>
      <c r="O8" s="33"/>
      <c r="P8" s="33"/>
      <c r="R8" s="32"/>
    </row>
    <row r="9" spans="1:18">
      <c r="A9" s="32" t="s">
        <v>50</v>
      </c>
      <c r="B9" s="37">
        <f t="shared" si="0"/>
        <v>1809.1072160000001</v>
      </c>
      <c r="C9" s="33"/>
      <c r="D9" s="37">
        <f>IF(ISERROR(TER_gezond_gas_kWh/1000),0,TER_gezond_gas_kWh/1000)*0.902</f>
        <v>4431.7929739600004</v>
      </c>
      <c r="E9" s="33">
        <f>$C$29*'E Balans VL '!I10/100/3.6*1000000</f>
        <v>3.3908559936732243</v>
      </c>
      <c r="F9" s="33">
        <f>$C$29*('E Balans VL '!L10+'E Balans VL '!N10)/100/3.6*1000000</f>
        <v>148.72511998663992</v>
      </c>
      <c r="G9" s="34"/>
      <c r="H9" s="33"/>
      <c r="I9" s="33"/>
      <c r="J9" s="33">
        <f>$C$29*('E Balans VL '!D10+'E Balans VL '!E10)/100/3.6*1000000</f>
        <v>0</v>
      </c>
      <c r="K9" s="33"/>
      <c r="L9" s="33"/>
      <c r="M9" s="33"/>
      <c r="N9" s="33">
        <f>$C$29*'E Balans VL '!Y10/100/3.6*1000000</f>
        <v>14.076203928410052</v>
      </c>
      <c r="O9" s="33"/>
      <c r="P9" s="33"/>
      <c r="R9" s="32"/>
    </row>
    <row r="10" spans="1:18">
      <c r="A10" s="32" t="s">
        <v>49</v>
      </c>
      <c r="B10" s="37">
        <f t="shared" si="0"/>
        <v>10537.49777</v>
      </c>
      <c r="C10" s="33"/>
      <c r="D10" s="37">
        <f>IF(ISERROR(TER_ander_gas_kWh/1000),0,TER_ander_gas_kWh/1000)*0.902</f>
        <v>1451.1175674819999</v>
      </c>
      <c r="E10" s="33">
        <f>$C$30*'E Balans VL '!I14/100/3.6*1000000</f>
        <v>16.243659587270098</v>
      </c>
      <c r="F10" s="33">
        <f>$C$30*('E Balans VL '!L14+'E Balans VL '!N14)/100/3.6*1000000</f>
        <v>1635.949437828695</v>
      </c>
      <c r="G10" s="34"/>
      <c r="H10" s="33"/>
      <c r="I10" s="33"/>
      <c r="J10" s="33">
        <f>$C$30*('E Balans VL '!D14+'E Balans VL '!E14)/100/3.6*1000000</f>
        <v>0.17888513775222645</v>
      </c>
      <c r="K10" s="33"/>
      <c r="L10" s="33"/>
      <c r="M10" s="33"/>
      <c r="N10" s="33">
        <f>$C$30*'E Balans VL '!Y14/100/3.6*1000000</f>
        <v>6971.2708003635562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883.689301</v>
      </c>
      <c r="C12" s="33"/>
      <c r="D12" s="37">
        <f>IF(ISERROR(TER_rest_gas_kWh/1000),0,TER_rest_gas_kWh/1000)*0.902</f>
        <v>1583.4321702760001</v>
      </c>
      <c r="E12" s="33">
        <f>$C$32*'E Balans VL '!I8/100/3.6*1000000</f>
        <v>11.407004175131174</v>
      </c>
      <c r="F12" s="33">
        <f>$C$32*('E Balans VL '!L8+'E Balans VL '!N8)/100/3.6*1000000</f>
        <v>101.52379334158671</v>
      </c>
      <c r="G12" s="34"/>
      <c r="H12" s="33"/>
      <c r="I12" s="33"/>
      <c r="J12" s="33">
        <f>$C$32*('E Balans VL '!D8+'E Balans VL '!E8)/100/3.6*1000000</f>
        <v>1.6935437907572061E-3</v>
      </c>
      <c r="K12" s="33"/>
      <c r="L12" s="33"/>
      <c r="M12" s="33"/>
      <c r="N12" s="33">
        <f>$C$32*'E Balans VL '!Y8/100/3.6*1000000</f>
        <v>66.910155176167933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17058.142194</v>
      </c>
      <c r="C16" s="21">
        <f t="shared" ca="1" si="1"/>
        <v>0</v>
      </c>
      <c r="D16" s="21">
        <f t="shared" ca="1" si="1"/>
        <v>8502.4460481620008</v>
      </c>
      <c r="E16" s="21">
        <f t="shared" si="1"/>
        <v>111.70815782110482</v>
      </c>
      <c r="F16" s="21">
        <f t="shared" ca="1" si="1"/>
        <v>2284.0969308185622</v>
      </c>
      <c r="G16" s="21">
        <f t="shared" si="1"/>
        <v>0</v>
      </c>
      <c r="H16" s="21">
        <f t="shared" si="1"/>
        <v>0</v>
      </c>
      <c r="I16" s="21">
        <f t="shared" si="1"/>
        <v>0</v>
      </c>
      <c r="J16" s="21">
        <f t="shared" si="1"/>
        <v>0.18057868154298365</v>
      </c>
      <c r="K16" s="21">
        <f t="shared" si="1"/>
        <v>0</v>
      </c>
      <c r="L16" s="21">
        <f t="shared" ca="1" si="1"/>
        <v>0</v>
      </c>
      <c r="M16" s="21">
        <f t="shared" si="1"/>
        <v>0</v>
      </c>
      <c r="N16" s="21">
        <f t="shared" ca="1" si="1"/>
        <v>7053.7218222883685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0.18919051529220929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3227.2387116106374</v>
      </c>
      <c r="C20" s="23">
        <f t="shared" ref="C20:P20" ca="1" si="2">C16*C18</f>
        <v>0</v>
      </c>
      <c r="D20" s="23">
        <f t="shared" ca="1" si="2"/>
        <v>1717.4941017287242</v>
      </c>
      <c r="E20" s="23">
        <f t="shared" si="2"/>
        <v>25.357751825390796</v>
      </c>
      <c r="F20" s="23">
        <f t="shared" ca="1" si="2"/>
        <v>609.85388052855615</v>
      </c>
      <c r="G20" s="23">
        <f t="shared" si="2"/>
        <v>0</v>
      </c>
      <c r="H20" s="23">
        <f t="shared" si="2"/>
        <v>0</v>
      </c>
      <c r="I20" s="23">
        <f t="shared" si="2"/>
        <v>0</v>
      </c>
      <c r="J20" s="23">
        <f t="shared" si="2"/>
        <v>6.3924853266216206E-2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664.82149399999992</v>
      </c>
      <c r="C26" s="39">
        <f>IF(ISERROR(B26*3.6/1000000/'E Balans VL '!Z12*100),0,B26*3.6/1000000/'E Balans VL '!Z12*100)</f>
        <v>1.4103579753389626E-2</v>
      </c>
      <c r="D26" s="237" t="s">
        <v>708</v>
      </c>
      <c r="F26" s="6"/>
    </row>
    <row r="27" spans="1:18">
      <c r="A27" s="231" t="s">
        <v>52</v>
      </c>
      <c r="B27" s="33">
        <f>IF(ISERROR(TER_horeca_ele_kWh/1000),0,TER_horeca_ele_kWh/1000)</f>
        <v>594.36477500000001</v>
      </c>
      <c r="C27" s="39">
        <f>IF(ISERROR(B27*3.6/1000000/'E Balans VL '!Z9*100),0,B27*3.6/1000000/'E Balans VL '!Z9*100)</f>
        <v>4.476093274175693E-2</v>
      </c>
      <c r="D27" s="237" t="s">
        <v>708</v>
      </c>
      <c r="F27" s="6"/>
    </row>
    <row r="28" spans="1:18">
      <c r="A28" s="171" t="s">
        <v>51</v>
      </c>
      <c r="B28" s="33">
        <f>IF(ISERROR(TER_handel_ele_kWh/1000),0,TER_handel_ele_kWh/1000)</f>
        <v>2568.6616379999996</v>
      </c>
      <c r="C28" s="39">
        <f>IF(ISERROR(B28*3.6/1000000/'E Balans VL '!Z13*100),0,B28*3.6/1000000/'E Balans VL '!Z13*100)</f>
        <v>7.4559145872842805E-2</v>
      </c>
      <c r="D28" s="237" t="s">
        <v>708</v>
      </c>
      <c r="F28" s="6"/>
    </row>
    <row r="29" spans="1:18">
      <c r="A29" s="231" t="s">
        <v>50</v>
      </c>
      <c r="B29" s="33">
        <f>IF(ISERROR(TER_gezond_ele_kWh/1000),0,TER_gezond_ele_kWh/1000)</f>
        <v>1809.1072160000001</v>
      </c>
      <c r="C29" s="39">
        <f>IF(ISERROR(B29*3.6/1000000/'E Balans VL '!Z10*100),0,B29*3.6/1000000/'E Balans VL '!Z10*100)</f>
        <v>0.18245062018182603</v>
      </c>
      <c r="D29" s="237" t="s">
        <v>708</v>
      </c>
      <c r="F29" s="6"/>
    </row>
    <row r="30" spans="1:18">
      <c r="A30" s="231" t="s">
        <v>49</v>
      </c>
      <c r="B30" s="33">
        <f>IF(ISERROR(TER_ander_ele_kWh/1000),0,TER_ander_ele_kWh/1000)</f>
        <v>10537.49777</v>
      </c>
      <c r="C30" s="39">
        <f>IF(ISERROR(B30*3.6/1000000/'E Balans VL '!Z14*100),0,B30*3.6/1000000/'E Balans VL '!Z14*100)</f>
        <v>0.76463922104181159</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883.689301</v>
      </c>
      <c r="C32" s="39">
        <f>IF(ISERROR(B32*3.6/1000000/'E Balans VL '!Z8*100),0,B32*3.6/1000000/'E Balans VL '!Z8*100)</f>
        <v>7.2390027547085574E-3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4198.6174890000002</v>
      </c>
      <c r="C5" s="17">
        <f>IF(ISERROR('Eigen informatie GS &amp; warmtenet'!B61),0,'Eigen informatie GS &amp; warmtenet'!B61)</f>
        <v>0</v>
      </c>
      <c r="D5" s="30">
        <f>SUM(D6:D15)</f>
        <v>933.41216443200017</v>
      </c>
      <c r="E5" s="17">
        <f>SUM(E6:E15)</f>
        <v>949.70728366677429</v>
      </c>
      <c r="F5" s="17">
        <f>SUM(F6:F15)</f>
        <v>2878.9338977624348</v>
      </c>
      <c r="G5" s="18"/>
      <c r="H5" s="17"/>
      <c r="I5" s="17"/>
      <c r="J5" s="17">
        <f>SUM(J6:J15)</f>
        <v>4.5482164786786994</v>
      </c>
      <c r="K5" s="17"/>
      <c r="L5" s="17"/>
      <c r="M5" s="17"/>
      <c r="N5" s="17">
        <f>SUM(N6:N15)</f>
        <v>276.80493275545246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116.924249</v>
      </c>
      <c r="C8" s="33"/>
      <c r="D8" s="37">
        <f>IF( ISERROR(IND_metaal_Gas_kWH/1000),0,IND_metaal_Gas_kWH/1000)*0.902</f>
        <v>53.576423230000003</v>
      </c>
      <c r="E8" s="33">
        <f>C30*'E Balans VL '!I18/100/3.6*1000000</f>
        <v>0.84352639142728281</v>
      </c>
      <c r="F8" s="33">
        <f>C30*'E Balans VL '!L18/100/3.6*1000000+C30*'E Balans VL '!N18/100/3.6*1000000</f>
        <v>11.058878023271946</v>
      </c>
      <c r="G8" s="34"/>
      <c r="H8" s="33"/>
      <c r="I8" s="33"/>
      <c r="J8" s="40">
        <f>C30*'E Balans VL '!D18/100/3.6*1000000+C30*'E Balans VL '!E18/100/3.6*1000000</f>
        <v>0.11760308911417565</v>
      </c>
      <c r="K8" s="33"/>
      <c r="L8" s="33"/>
      <c r="M8" s="33"/>
      <c r="N8" s="33">
        <f>C30*'E Balans VL '!Y18/100/3.6*1000000</f>
        <v>1.4782318583817255</v>
      </c>
      <c r="O8" s="33"/>
      <c r="P8" s="33"/>
      <c r="R8" s="32"/>
    </row>
    <row r="9" spans="1:18">
      <c r="A9" s="6" t="s">
        <v>32</v>
      </c>
      <c r="B9" s="37">
        <f t="shared" si="0"/>
        <v>3331.2652410000001</v>
      </c>
      <c r="C9" s="33"/>
      <c r="D9" s="37">
        <f>IF( ISERROR(IND_andere_gas_kWh/1000),0,IND_andere_gas_kWh/1000)*0.902</f>
        <v>624.00962265400005</v>
      </c>
      <c r="E9" s="33">
        <f>C31*'E Balans VL '!I19/100/3.6*1000000</f>
        <v>923.13814287801858</v>
      </c>
      <c r="F9" s="33">
        <f>C31*'E Balans VL '!L19/100/3.6*1000000+C31*'E Balans VL '!N19/100/3.6*1000000</f>
        <v>2760.9598306604671</v>
      </c>
      <c r="G9" s="34"/>
      <c r="H9" s="33"/>
      <c r="I9" s="33"/>
      <c r="J9" s="40">
        <f>C31*'E Balans VL '!D19/100/3.6*1000000+C31*'E Balans VL '!E19/100/3.6*1000000</f>
        <v>0</v>
      </c>
      <c r="K9" s="33"/>
      <c r="L9" s="33"/>
      <c r="M9" s="33"/>
      <c r="N9" s="33">
        <f>C31*'E Balans VL '!Y19/100/3.6*1000000</f>
        <v>241.80911071163462</v>
      </c>
      <c r="O9" s="33"/>
      <c r="P9" s="33"/>
      <c r="R9" s="32"/>
    </row>
    <row r="10" spans="1:18">
      <c r="A10" s="6" t="s">
        <v>40</v>
      </c>
      <c r="B10" s="37">
        <f t="shared" si="0"/>
        <v>214.11291800000001</v>
      </c>
      <c r="C10" s="33"/>
      <c r="D10" s="37">
        <f>IF( ISERROR(IND_voed_gas_kWh/1000),0,IND_voed_gas_kWh/1000)*0.902</f>
        <v>170.63005465000001</v>
      </c>
      <c r="E10" s="33">
        <f>C32*'E Balans VL '!I20/100/3.6*1000000</f>
        <v>0.37905238955509252</v>
      </c>
      <c r="F10" s="33">
        <f>C32*'E Balans VL '!L20/100/3.6*1000000+C32*'E Balans VL '!N20/100/3.6*1000000</f>
        <v>11.563995237769891</v>
      </c>
      <c r="G10" s="34"/>
      <c r="H10" s="33"/>
      <c r="I10" s="33"/>
      <c r="J10" s="40">
        <f>C32*'E Balans VL '!D20/100/3.6*1000000+C32*'E Balans VL '!E20/100/3.6*1000000</f>
        <v>0</v>
      </c>
      <c r="K10" s="33"/>
      <c r="L10" s="33"/>
      <c r="M10" s="33"/>
      <c r="N10" s="33">
        <f>C32*'E Balans VL '!Y20/100/3.6*1000000</f>
        <v>12.441595736530816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536.31508099999996</v>
      </c>
      <c r="C15" s="33"/>
      <c r="D15" s="37">
        <f>IF( ISERROR(IND_rest_gas_kWh/1000),0,IND_rest_gas_kWh/1000)*0.902</f>
        <v>85.196063898000006</v>
      </c>
      <c r="E15" s="33">
        <f>C37*'E Balans VL '!I15/100/3.6*1000000</f>
        <v>25.346562007773269</v>
      </c>
      <c r="F15" s="33">
        <f>C37*'E Balans VL '!L15/100/3.6*1000000+C37*'E Balans VL '!N15/100/3.6*1000000</f>
        <v>95.351193840925717</v>
      </c>
      <c r="G15" s="34"/>
      <c r="H15" s="33"/>
      <c r="I15" s="33"/>
      <c r="J15" s="40">
        <f>C37*'E Balans VL '!D15/100/3.6*1000000+C37*'E Balans VL '!E15/100/3.6*1000000</f>
        <v>4.4306133895645239</v>
      </c>
      <c r="K15" s="33"/>
      <c r="L15" s="33"/>
      <c r="M15" s="33"/>
      <c r="N15" s="33">
        <f>C37*'E Balans VL '!Y15/100/3.6*1000000</f>
        <v>21.075994448905305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4198.6174890000002</v>
      </c>
      <c r="C18" s="21">
        <f>C5+C16</f>
        <v>0</v>
      </c>
      <c r="D18" s="21">
        <f>MAX((D5+D16),0)</f>
        <v>933.41216443200017</v>
      </c>
      <c r="E18" s="21">
        <f>MAX((E5+E16),0)</f>
        <v>949.70728366677429</v>
      </c>
      <c r="F18" s="21">
        <f>MAX((F5+F16),0)</f>
        <v>2878.9338977624348</v>
      </c>
      <c r="G18" s="21"/>
      <c r="H18" s="21"/>
      <c r="I18" s="21"/>
      <c r="J18" s="21">
        <f>MAX((J5+J16),0)</f>
        <v>4.5482164786786994</v>
      </c>
      <c r="K18" s="21"/>
      <c r="L18" s="21">
        <f>MAX((L5+L16),0)</f>
        <v>0</v>
      </c>
      <c r="M18" s="21"/>
      <c r="N18" s="21">
        <f>MAX((N5+N16),0)</f>
        <v>276.80493275545246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0.18919051529220929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794.33860625879186</v>
      </c>
      <c r="C22" s="23">
        <f ca="1">C18*C20</f>
        <v>0</v>
      </c>
      <c r="D22" s="23">
        <f>D18*D20</f>
        <v>188.54925721526405</v>
      </c>
      <c r="E22" s="23">
        <f>E18*E20</f>
        <v>215.58355339235777</v>
      </c>
      <c r="F22" s="23">
        <f>F18*F20</f>
        <v>768.67535070257009</v>
      </c>
      <c r="G22" s="23"/>
      <c r="H22" s="23"/>
      <c r="I22" s="23"/>
      <c r="J22" s="23">
        <f>J18*J20</f>
        <v>1.6100686334522596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116.924249</v>
      </c>
      <c r="C30" s="39">
        <f>IF(ISERROR(B30*3.6/1000000/'E Balans VL '!Z18*100),0,B30*3.6/1000000/'E Balans VL '!Z18*100)</f>
        <v>6.7498544522907652E-3</v>
      </c>
      <c r="D30" s="237" t="s">
        <v>708</v>
      </c>
    </row>
    <row r="31" spans="1:18">
      <c r="A31" s="6" t="s">
        <v>32</v>
      </c>
      <c r="B31" s="37">
        <f>IF( ISERROR(IND_ander_ele_kWh/1000),0,IND_ander_ele_kWh/1000)</f>
        <v>3331.2652410000001</v>
      </c>
      <c r="C31" s="39">
        <f>IF(ISERROR(B31*3.6/1000000/'E Balans VL '!Z19*100),0,B31*3.6/1000000/'E Balans VL '!Z19*100)</f>
        <v>0.16755184374412566</v>
      </c>
      <c r="D31" s="237" t="s">
        <v>708</v>
      </c>
    </row>
    <row r="32" spans="1:18">
      <c r="A32" s="171" t="s">
        <v>40</v>
      </c>
      <c r="B32" s="37">
        <f>IF( ISERROR(IND_voed_ele_kWh/1000),0,IND_voed_ele_kWh/1000)</f>
        <v>214.11291800000001</v>
      </c>
      <c r="C32" s="39">
        <f>IF(ISERROR(B32*3.6/1000000/'E Balans VL '!Z20*100),0,B32*3.6/1000000/'E Balans VL '!Z20*100)</f>
        <v>7.1312316250253657E-3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536.31508099999996</v>
      </c>
      <c r="C37" s="39">
        <f>IF(ISERROR(B37*3.6/1000000/'E Balans VL '!Z15*100),0,B37*3.6/1000000/'E Balans VL '!Z15*100)</f>
        <v>4.1847242557498379E-3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5232.6102599999995</v>
      </c>
      <c r="C5" s="17">
        <f>'Eigen informatie GS &amp; warmtenet'!B62</f>
        <v>0</v>
      </c>
      <c r="D5" s="30">
        <f>IF(ISERROR(SUM(LB_lb_gas_kWh,LB_rest_gas_kWh)/1000),0,SUM(LB_lb_gas_kWh,LB_rest_gas_kWh)/1000)*0.902</f>
        <v>1031.2913423339999</v>
      </c>
      <c r="E5" s="17">
        <f>B17*'E Balans VL '!I25/3.6*1000000/100</f>
        <v>163.30804071260775</v>
      </c>
      <c r="F5" s="17">
        <f>B17*('E Balans VL '!L25/3.6*1000000+'E Balans VL '!N25/3.6*1000000)/100</f>
        <v>18492.624311767882</v>
      </c>
      <c r="G5" s="18"/>
      <c r="H5" s="17"/>
      <c r="I5" s="17"/>
      <c r="J5" s="17">
        <f>('E Balans VL '!D25+'E Balans VL '!E25)/3.6*1000000*landbouw!B17/100</f>
        <v>1441.6204144641285</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5232.6102599999995</v>
      </c>
      <c r="C8" s="21">
        <f>C5+C6</f>
        <v>62.357142857142847</v>
      </c>
      <c r="D8" s="21">
        <f>MAX((D5+D6),0)</f>
        <v>1031.2913423339999</v>
      </c>
      <c r="E8" s="21">
        <f>MAX((E5+E6),0)</f>
        <v>163.30804071260775</v>
      </c>
      <c r="F8" s="21">
        <f>MAX((F5+F6),0)</f>
        <v>18492.624311767882</v>
      </c>
      <c r="G8" s="21"/>
      <c r="H8" s="21"/>
      <c r="I8" s="21"/>
      <c r="J8" s="21">
        <f>MAX((J5+J6),0)</f>
        <v>1441.6204144641285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0.18919051529220929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989.96023141270109</v>
      </c>
      <c r="C12" s="23">
        <f ca="1">C8*C10</f>
        <v>0</v>
      </c>
      <c r="D12" s="23">
        <f>D8*D10</f>
        <v>208.32085115146799</v>
      </c>
      <c r="E12" s="23">
        <f>E8*E10</f>
        <v>37.070925241761962</v>
      </c>
      <c r="F12" s="23">
        <f>F8*F10</f>
        <v>4937.5306912420247</v>
      </c>
      <c r="G12" s="23"/>
      <c r="H12" s="23"/>
      <c r="I12" s="23"/>
      <c r="J12" s="23">
        <f>J8*J10</f>
        <v>510.33362672030148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0.777865026052458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687.0545840623887</v>
      </c>
      <c r="C26" s="247">
        <f>B26*'GWP N2O_CH4'!B5</f>
        <v>14428.146265310163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411.09570911370605</v>
      </c>
      <c r="C27" s="247">
        <f>B27*'GWP N2O_CH4'!B5</f>
        <v>8633.0098913878264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9.1785988937308804</v>
      </c>
      <c r="C28" s="247">
        <f>B28*'GWP N2O_CH4'!B4</f>
        <v>2845.3656570565731</v>
      </c>
      <c r="D28" s="50"/>
    </row>
    <row r="29" spans="1:4">
      <c r="A29" s="41" t="s">
        <v>276</v>
      </c>
      <c r="B29" s="247">
        <f>B34*'ha_N2O bodem landbouw'!B4</f>
        <v>27.324366765202033</v>
      </c>
      <c r="C29" s="247">
        <f>B29*'GWP N2O_CH4'!B4</f>
        <v>8470.5536972126301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5.9917416674469216E-3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9.0939353679761969E-5</v>
      </c>
      <c r="C5" s="437" t="s">
        <v>210</v>
      </c>
      <c r="D5" s="422">
        <f>SUM(D6:D11)</f>
        <v>3.8231130688856283E-4</v>
      </c>
      <c r="E5" s="422">
        <f>SUM(E6:E11)</f>
        <v>3.1765020372058136E-4</v>
      </c>
      <c r="F5" s="435" t="s">
        <v>210</v>
      </c>
      <c r="G5" s="422">
        <f>SUM(G6:G11)</f>
        <v>0.13541146756846306</v>
      </c>
      <c r="H5" s="422">
        <f>SUM(H6:H11)</f>
        <v>3.5473898038669148E-2</v>
      </c>
      <c r="I5" s="437" t="s">
        <v>210</v>
      </c>
      <c r="J5" s="437" t="s">
        <v>210</v>
      </c>
      <c r="K5" s="437" t="s">
        <v>210</v>
      </c>
      <c r="L5" s="437" t="s">
        <v>210</v>
      </c>
      <c r="M5" s="422">
        <f>SUM(M6:M11)</f>
        <v>1.0154103485975126E-2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5.0985622745637556E-5</v>
      </c>
      <c r="C6" s="423"/>
      <c r="D6" s="890">
        <f>vkm_GW_PW*SUMIFS(TableVerdeelsleutelVkm[CNG],TableVerdeelsleutelVkm[Voertuigtype],"Lichte voertuigen")*SUMIFS(TableECFTransport[EnergieConsumptieFactor (PJ per km)],TableECFTransport[Index],CONCATENATE($A6,"_CNG_CNG"))</f>
        <v>1.6424520770906187E-4</v>
      </c>
      <c r="E6" s="890">
        <f>vkm_GW_PW*SUMIFS(TableVerdeelsleutelVkm[LPG],TableVerdeelsleutelVkm[Voertuigtype],"Lichte voertuigen")*SUMIFS(TableECFTransport[EnergieConsumptieFactor (PJ per km)],TableECFTransport[Index],CONCATENATE($A6,"_LPG_LPG"))</f>
        <v>1.4045865950897867E-4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4.5375091205386825E-2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1.5386415141763499E-2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3.6342479515066852E-3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2.2437917258745794E-2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3.2084207008513168E-7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1.2933755434636812E-3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3.9953730934124406E-5</v>
      </c>
      <c r="C8" s="423"/>
      <c r="D8" s="425">
        <f>vkm_NGW_PW*SUMIFS(TableVerdeelsleutelVkm[CNG],TableVerdeelsleutelVkm[Voertuigtype],"Lichte voertuigen")*SUMIFS(TableECFTransport[EnergieConsumptieFactor (PJ per km)],TableECFTransport[Index],CONCATENATE($A8,"_CNG_CNG"))</f>
        <v>2.1806609917950098E-4</v>
      </c>
      <c r="E8" s="425">
        <f>vkm_NGW_PW*SUMIFS(TableVerdeelsleutelVkm[LPG],TableVerdeelsleutelVkm[Voertuigtype],"Lichte voertuigen")*SUMIFS(TableECFTransport[EnergieConsumptieFactor (PJ per km)],TableECFTransport[Index],CONCATENATE($A8,"_LPG_LPG"))</f>
        <v>1.7719154421160272E-4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5.3488831296922411E-2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2.0086906249301512E-2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4.4131635132140376E-3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1.4109627807408053E-2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2.5580553405537834E-7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8.1331647779072107E-4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25.260931577711659</v>
      </c>
      <c r="C14" s="21"/>
      <c r="D14" s="21">
        <f t="shared" ref="D14:M14" si="0">((D5)*10^9/3600)+D12</f>
        <v>106.197585246823</v>
      </c>
      <c r="E14" s="21">
        <f t="shared" si="0"/>
        <v>88.236167700161488</v>
      </c>
      <c r="F14" s="21"/>
      <c r="G14" s="21">
        <f t="shared" si="0"/>
        <v>37614.296546795296</v>
      </c>
      <c r="H14" s="21">
        <f t="shared" si="0"/>
        <v>9853.8605662969858</v>
      </c>
      <c r="I14" s="21"/>
      <c r="J14" s="21"/>
      <c r="K14" s="21"/>
      <c r="L14" s="21"/>
      <c r="M14" s="21">
        <f t="shared" si="0"/>
        <v>2820.5843016597573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0.18919051529220929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4.7791286619485103</v>
      </c>
      <c r="C18" s="23"/>
      <c r="D18" s="23">
        <f t="shared" ref="D18:M18" si="1">D14*D16</f>
        <v>21.451912219858247</v>
      </c>
      <c r="E18" s="23">
        <f t="shared" si="1"/>
        <v>20.029610067936659</v>
      </c>
      <c r="F18" s="23"/>
      <c r="G18" s="23">
        <f t="shared" si="1"/>
        <v>10043.017177994345</v>
      </c>
      <c r="H18" s="23">
        <f t="shared" si="1"/>
        <v>2453.6112810079494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2.117799809448795E-3</v>
      </c>
      <c r="H50" s="319">
        <f t="shared" si="2"/>
        <v>0</v>
      </c>
      <c r="I50" s="319">
        <f t="shared" si="2"/>
        <v>0</v>
      </c>
      <c r="J50" s="319">
        <f t="shared" si="2"/>
        <v>0</v>
      </c>
      <c r="K50" s="319">
        <f t="shared" si="2"/>
        <v>0</v>
      </c>
      <c r="L50" s="319">
        <f t="shared" si="2"/>
        <v>0</v>
      </c>
      <c r="M50" s="319">
        <f t="shared" si="2"/>
        <v>1.1768902884520679E-4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2.117799809448795E-3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1.1768902884520679E-4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588.27772484688751</v>
      </c>
      <c r="H54" s="21">
        <f t="shared" si="3"/>
        <v>0</v>
      </c>
      <c r="I54" s="21">
        <f t="shared" si="3"/>
        <v>0</v>
      </c>
      <c r="J54" s="21">
        <f t="shared" si="3"/>
        <v>0</v>
      </c>
      <c r="K54" s="21">
        <f t="shared" si="3"/>
        <v>0</v>
      </c>
      <c r="L54" s="21">
        <f t="shared" si="3"/>
        <v>0</v>
      </c>
      <c r="M54" s="21">
        <f t="shared" si="3"/>
        <v>32.691396901446332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0.18919051529220929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157.07015253411896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17706.868193999999</v>
      </c>
      <c r="D10" s="686">
        <f ca="1">tertiair!C16</f>
        <v>0</v>
      </c>
      <c r="E10" s="686">
        <f ca="1">tertiair!D16</f>
        <v>8502.4460481620008</v>
      </c>
      <c r="F10" s="686">
        <f>tertiair!E16</f>
        <v>111.70815782110482</v>
      </c>
      <c r="G10" s="686">
        <f ca="1">tertiair!F16</f>
        <v>2284.0969308185622</v>
      </c>
      <c r="H10" s="686">
        <f>tertiair!G16</f>
        <v>0</v>
      </c>
      <c r="I10" s="686">
        <f>tertiair!H16</f>
        <v>0</v>
      </c>
      <c r="J10" s="686">
        <f>tertiair!I16</f>
        <v>0</v>
      </c>
      <c r="K10" s="686">
        <f>tertiair!J16</f>
        <v>0.18057868154298365</v>
      </c>
      <c r="L10" s="686">
        <f>tertiair!K16</f>
        <v>0</v>
      </c>
      <c r="M10" s="686">
        <f ca="1">tertiair!L16</f>
        <v>0</v>
      </c>
      <c r="N10" s="686">
        <f>tertiair!M16</f>
        <v>0</v>
      </c>
      <c r="O10" s="686">
        <f ca="1">tertiair!N16</f>
        <v>7053.7218222883685</v>
      </c>
      <c r="P10" s="686">
        <f>tertiair!O16</f>
        <v>4.8972607658411542</v>
      </c>
      <c r="Q10" s="687">
        <f>tertiair!P16</f>
        <v>105.07827661299004</v>
      </c>
      <c r="R10" s="689">
        <f ca="1">SUM(C10:Q10)</f>
        <v>35768.997269150415</v>
      </c>
      <c r="S10" s="67"/>
    </row>
    <row r="11" spans="1:19" s="448" customFormat="1">
      <c r="A11" s="808" t="s">
        <v>224</v>
      </c>
      <c r="B11" s="813"/>
      <c r="C11" s="686">
        <f>huishoudens!B8</f>
        <v>16685.84282608833</v>
      </c>
      <c r="D11" s="686">
        <f>huishoudens!C8</f>
        <v>0</v>
      </c>
      <c r="E11" s="686">
        <f>huishoudens!D8</f>
        <v>21045.456143579999</v>
      </c>
      <c r="F11" s="686">
        <f>huishoudens!E8</f>
        <v>34005.902069182848</v>
      </c>
      <c r="G11" s="686">
        <f>huishoudens!F8</f>
        <v>14054.526097759102</v>
      </c>
      <c r="H11" s="686">
        <f>huishoudens!G8</f>
        <v>0</v>
      </c>
      <c r="I11" s="686">
        <f>huishoudens!H8</f>
        <v>0</v>
      </c>
      <c r="J11" s="686">
        <f>huishoudens!I8</f>
        <v>0</v>
      </c>
      <c r="K11" s="686">
        <f>huishoudens!J8</f>
        <v>2407.312152453952</v>
      </c>
      <c r="L11" s="686">
        <f>huishoudens!K8</f>
        <v>0</v>
      </c>
      <c r="M11" s="686">
        <f>huishoudens!L8</f>
        <v>0</v>
      </c>
      <c r="N11" s="686">
        <f>huishoudens!M8</f>
        <v>0</v>
      </c>
      <c r="O11" s="686">
        <f>huishoudens!N8</f>
        <v>16722.992239480394</v>
      </c>
      <c r="P11" s="686">
        <f>huishoudens!O8</f>
        <v>335.28893907640838</v>
      </c>
      <c r="Q11" s="687">
        <f>huishoudens!P8</f>
        <v>294.95086061518066</v>
      </c>
      <c r="R11" s="689">
        <f>SUM(C11:Q11)</f>
        <v>105552.27132823619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4198.6174890000002</v>
      </c>
      <c r="D13" s="686">
        <f>industrie!C18</f>
        <v>0</v>
      </c>
      <c r="E13" s="686">
        <f>industrie!D18</f>
        <v>933.41216443200017</v>
      </c>
      <c r="F13" s="686">
        <f>industrie!E18</f>
        <v>949.70728366677429</v>
      </c>
      <c r="G13" s="686">
        <f>industrie!F18</f>
        <v>2878.9338977624348</v>
      </c>
      <c r="H13" s="686">
        <f>industrie!G18</f>
        <v>0</v>
      </c>
      <c r="I13" s="686">
        <f>industrie!H18</f>
        <v>0</v>
      </c>
      <c r="J13" s="686">
        <f>industrie!I18</f>
        <v>0</v>
      </c>
      <c r="K13" s="686">
        <f>industrie!J18</f>
        <v>4.5482164786786994</v>
      </c>
      <c r="L13" s="686">
        <f>industrie!K18</f>
        <v>0</v>
      </c>
      <c r="M13" s="686">
        <f>industrie!L18</f>
        <v>0</v>
      </c>
      <c r="N13" s="686">
        <f>industrie!M18</f>
        <v>0</v>
      </c>
      <c r="O13" s="686">
        <f>industrie!N18</f>
        <v>276.80493275545246</v>
      </c>
      <c r="P13" s="686">
        <f>industrie!O18</f>
        <v>0</v>
      </c>
      <c r="Q13" s="687">
        <f>industrie!P18</f>
        <v>0</v>
      </c>
      <c r="R13" s="689">
        <f>SUM(C13:Q13)</f>
        <v>9242.02398409534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38591.328509088329</v>
      </c>
      <c r="D16" s="722">
        <f t="shared" ref="D16:R16" ca="1" si="0">SUM(D9:D15)</f>
        <v>0</v>
      </c>
      <c r="E16" s="722">
        <f t="shared" ca="1" si="0"/>
        <v>30481.314356174</v>
      </c>
      <c r="F16" s="722">
        <f t="shared" si="0"/>
        <v>35067.317510670728</v>
      </c>
      <c r="G16" s="722">
        <f t="shared" ca="1" si="0"/>
        <v>19217.556926340101</v>
      </c>
      <c r="H16" s="722">
        <f t="shared" si="0"/>
        <v>0</v>
      </c>
      <c r="I16" s="722">
        <f t="shared" si="0"/>
        <v>0</v>
      </c>
      <c r="J16" s="722">
        <f t="shared" si="0"/>
        <v>0</v>
      </c>
      <c r="K16" s="722">
        <f t="shared" si="0"/>
        <v>2412.0409476141735</v>
      </c>
      <c r="L16" s="722">
        <f t="shared" si="0"/>
        <v>0</v>
      </c>
      <c r="M16" s="722">
        <f t="shared" ca="1" si="0"/>
        <v>0</v>
      </c>
      <c r="N16" s="722">
        <f t="shared" si="0"/>
        <v>0</v>
      </c>
      <c r="O16" s="722">
        <f t="shared" ca="1" si="0"/>
        <v>24053.518994524213</v>
      </c>
      <c r="P16" s="722">
        <f t="shared" si="0"/>
        <v>340.18619984224955</v>
      </c>
      <c r="Q16" s="722">
        <f t="shared" si="0"/>
        <v>400.02913722817073</v>
      </c>
      <c r="R16" s="722">
        <f t="shared" ca="1" si="0"/>
        <v>150563.29258148195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588.27772484688751</v>
      </c>
      <c r="I19" s="686">
        <f>transport!H54</f>
        <v>0</v>
      </c>
      <c r="J19" s="686">
        <f>transport!I54</f>
        <v>0</v>
      </c>
      <c r="K19" s="686">
        <f>transport!J54</f>
        <v>0</v>
      </c>
      <c r="L19" s="686">
        <f>transport!K54</f>
        <v>0</v>
      </c>
      <c r="M19" s="686">
        <f>transport!L54</f>
        <v>0</v>
      </c>
      <c r="N19" s="686">
        <f>transport!M54</f>
        <v>32.691396901446332</v>
      </c>
      <c r="O19" s="686">
        <f>transport!N54</f>
        <v>0</v>
      </c>
      <c r="P19" s="686">
        <f>transport!O54</f>
        <v>0</v>
      </c>
      <c r="Q19" s="687">
        <f>transport!P54</f>
        <v>0</v>
      </c>
      <c r="R19" s="689">
        <f>SUM(C19:Q19)</f>
        <v>620.96912174833381</v>
      </c>
      <c r="S19" s="67"/>
    </row>
    <row r="20" spans="1:19" s="448" customFormat="1">
      <c r="A20" s="808" t="s">
        <v>306</v>
      </c>
      <c r="B20" s="813"/>
      <c r="C20" s="686">
        <f>transport!B14</f>
        <v>25.260931577711659</v>
      </c>
      <c r="D20" s="686">
        <f>transport!C14</f>
        <v>0</v>
      </c>
      <c r="E20" s="686">
        <f>transport!D14</f>
        <v>106.197585246823</v>
      </c>
      <c r="F20" s="686">
        <f>transport!E14</f>
        <v>88.236167700161488</v>
      </c>
      <c r="G20" s="686">
        <f>transport!F14</f>
        <v>0</v>
      </c>
      <c r="H20" s="686">
        <f>transport!G14</f>
        <v>37614.296546795296</v>
      </c>
      <c r="I20" s="686">
        <f>transport!H14</f>
        <v>9853.8605662969858</v>
      </c>
      <c r="J20" s="686">
        <f>transport!I14</f>
        <v>0</v>
      </c>
      <c r="K20" s="686">
        <f>transport!J14</f>
        <v>0</v>
      </c>
      <c r="L20" s="686">
        <f>transport!K14</f>
        <v>0</v>
      </c>
      <c r="M20" s="686">
        <f>transport!L14</f>
        <v>0</v>
      </c>
      <c r="N20" s="686">
        <f>transport!M14</f>
        <v>2820.5843016597573</v>
      </c>
      <c r="O20" s="686">
        <f>transport!N14</f>
        <v>0</v>
      </c>
      <c r="P20" s="686">
        <f>transport!O14</f>
        <v>0</v>
      </c>
      <c r="Q20" s="687">
        <f>transport!P14</f>
        <v>0</v>
      </c>
      <c r="R20" s="689">
        <f>SUM(C20:Q20)</f>
        <v>50508.436099276732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25.260931577711659</v>
      </c>
      <c r="D22" s="811">
        <f t="shared" ref="D22:R22" si="1">SUM(D18:D21)</f>
        <v>0</v>
      </c>
      <c r="E22" s="811">
        <f t="shared" si="1"/>
        <v>106.197585246823</v>
      </c>
      <c r="F22" s="811">
        <f t="shared" si="1"/>
        <v>88.236167700161488</v>
      </c>
      <c r="G22" s="811">
        <f t="shared" si="1"/>
        <v>0</v>
      </c>
      <c r="H22" s="811">
        <f t="shared" si="1"/>
        <v>38202.574271642181</v>
      </c>
      <c r="I22" s="811">
        <f t="shared" si="1"/>
        <v>9853.8605662969858</v>
      </c>
      <c r="J22" s="811">
        <f t="shared" si="1"/>
        <v>0</v>
      </c>
      <c r="K22" s="811">
        <f t="shared" si="1"/>
        <v>0</v>
      </c>
      <c r="L22" s="811">
        <f t="shared" si="1"/>
        <v>0</v>
      </c>
      <c r="M22" s="811">
        <f t="shared" si="1"/>
        <v>0</v>
      </c>
      <c r="N22" s="811">
        <f t="shared" si="1"/>
        <v>2853.2756985612036</v>
      </c>
      <c r="O22" s="811">
        <f t="shared" si="1"/>
        <v>0</v>
      </c>
      <c r="P22" s="811">
        <f t="shared" si="1"/>
        <v>0</v>
      </c>
      <c r="Q22" s="811">
        <f t="shared" si="1"/>
        <v>0</v>
      </c>
      <c r="R22" s="811">
        <f t="shared" si="1"/>
        <v>51129.405221025067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5232.6102599999995</v>
      </c>
      <c r="D24" s="686">
        <f>+landbouw!C8</f>
        <v>62.357142857142847</v>
      </c>
      <c r="E24" s="686">
        <f>+landbouw!D8</f>
        <v>1031.2913423339999</v>
      </c>
      <c r="F24" s="686">
        <f>+landbouw!E8</f>
        <v>163.30804071260775</v>
      </c>
      <c r="G24" s="686">
        <f>+landbouw!F8</f>
        <v>18492.624311767882</v>
      </c>
      <c r="H24" s="686">
        <f>+landbouw!G8</f>
        <v>0</v>
      </c>
      <c r="I24" s="686">
        <f>+landbouw!H8</f>
        <v>0</v>
      </c>
      <c r="J24" s="686">
        <f>+landbouw!I8</f>
        <v>0</v>
      </c>
      <c r="K24" s="686">
        <f>+landbouw!J8</f>
        <v>1441.6204144641285</v>
      </c>
      <c r="L24" s="686">
        <f>+landbouw!K8</f>
        <v>0</v>
      </c>
      <c r="M24" s="686">
        <f>+landbouw!L8</f>
        <v>0</v>
      </c>
      <c r="N24" s="686">
        <f>+landbouw!M8</f>
        <v>0</v>
      </c>
      <c r="O24" s="686">
        <f>+landbouw!N8</f>
        <v>0</v>
      </c>
      <c r="P24" s="686">
        <f>+landbouw!O8</f>
        <v>0</v>
      </c>
      <c r="Q24" s="687">
        <f>+landbouw!P8</f>
        <v>0</v>
      </c>
      <c r="R24" s="689">
        <f>SUM(C24:Q24)</f>
        <v>26423.811512135759</v>
      </c>
      <c r="S24" s="67"/>
    </row>
    <row r="25" spans="1:19" s="448" customFormat="1" ht="15" thickBot="1">
      <c r="A25" s="830" t="s">
        <v>724</v>
      </c>
      <c r="B25" s="949"/>
      <c r="C25" s="950">
        <f>IF(Onbekend_ele_kWh="---",0,Onbekend_ele_kWh)/1000+IF(REST_rest_ele_kWh="---",0,REST_rest_ele_kWh)/1000</f>
        <v>421.28009200000002</v>
      </c>
      <c r="D25" s="950"/>
      <c r="E25" s="950">
        <f>IF(onbekend_gas_kWh="---",0,onbekend_gas_kWh)/1000+IF(REST_rest_gas_kWh="---",0,REST_rest_gas_kWh)/1000</f>
        <v>645.31817899999999</v>
      </c>
      <c r="F25" s="950"/>
      <c r="G25" s="950"/>
      <c r="H25" s="950"/>
      <c r="I25" s="950"/>
      <c r="J25" s="950"/>
      <c r="K25" s="950"/>
      <c r="L25" s="950"/>
      <c r="M25" s="950"/>
      <c r="N25" s="950"/>
      <c r="O25" s="950"/>
      <c r="P25" s="950"/>
      <c r="Q25" s="951"/>
      <c r="R25" s="689">
        <f>SUM(C25:Q25)</f>
        <v>1066.5982710000001</v>
      </c>
      <c r="S25" s="67"/>
    </row>
    <row r="26" spans="1:19" s="448" customFormat="1" ht="15.75" thickBot="1">
      <c r="A26" s="694" t="s">
        <v>725</v>
      </c>
      <c r="B26" s="816"/>
      <c r="C26" s="811">
        <f>SUM(C24:C25)</f>
        <v>5653.8903519999994</v>
      </c>
      <c r="D26" s="811">
        <f t="shared" ref="D26:R26" si="2">SUM(D24:D25)</f>
        <v>62.357142857142847</v>
      </c>
      <c r="E26" s="811">
        <f t="shared" si="2"/>
        <v>1676.609521334</v>
      </c>
      <c r="F26" s="811">
        <f t="shared" si="2"/>
        <v>163.30804071260775</v>
      </c>
      <c r="G26" s="811">
        <f t="shared" si="2"/>
        <v>18492.624311767882</v>
      </c>
      <c r="H26" s="811">
        <f t="shared" si="2"/>
        <v>0</v>
      </c>
      <c r="I26" s="811">
        <f t="shared" si="2"/>
        <v>0</v>
      </c>
      <c r="J26" s="811">
        <f t="shared" si="2"/>
        <v>0</v>
      </c>
      <c r="K26" s="811">
        <f t="shared" si="2"/>
        <v>1441.6204144641285</v>
      </c>
      <c r="L26" s="811">
        <f t="shared" si="2"/>
        <v>0</v>
      </c>
      <c r="M26" s="811">
        <f t="shared" si="2"/>
        <v>0</v>
      </c>
      <c r="N26" s="811">
        <f t="shared" si="2"/>
        <v>0</v>
      </c>
      <c r="O26" s="811">
        <f t="shared" si="2"/>
        <v>0</v>
      </c>
      <c r="P26" s="811">
        <f t="shared" si="2"/>
        <v>0</v>
      </c>
      <c r="Q26" s="811">
        <f t="shared" si="2"/>
        <v>0</v>
      </c>
      <c r="R26" s="811">
        <f t="shared" si="2"/>
        <v>27490.409783135758</v>
      </c>
      <c r="S26" s="67"/>
    </row>
    <row r="27" spans="1:19" s="448" customFormat="1" ht="17.25" thickTop="1" thickBot="1">
      <c r="A27" s="695" t="s">
        <v>115</v>
      </c>
      <c r="B27" s="803"/>
      <c r="C27" s="696">
        <f ca="1">C22+C16+C26</f>
        <v>44270.479792666039</v>
      </c>
      <c r="D27" s="696">
        <f t="shared" ref="D27:R27" ca="1" si="3">D22+D16+D26</f>
        <v>62.357142857142847</v>
      </c>
      <c r="E27" s="696">
        <f t="shared" ca="1" si="3"/>
        <v>32264.121462754825</v>
      </c>
      <c r="F27" s="696">
        <f t="shared" si="3"/>
        <v>35318.861719083499</v>
      </c>
      <c r="G27" s="696">
        <f t="shared" ca="1" si="3"/>
        <v>37710.18123810798</v>
      </c>
      <c r="H27" s="696">
        <f t="shared" si="3"/>
        <v>38202.574271642181</v>
      </c>
      <c r="I27" s="696">
        <f t="shared" si="3"/>
        <v>9853.8605662969858</v>
      </c>
      <c r="J27" s="696">
        <f t="shared" si="3"/>
        <v>0</v>
      </c>
      <c r="K27" s="696">
        <f t="shared" si="3"/>
        <v>3853.6613620783019</v>
      </c>
      <c r="L27" s="696">
        <f t="shared" si="3"/>
        <v>0</v>
      </c>
      <c r="M27" s="696">
        <f t="shared" ca="1" si="3"/>
        <v>0</v>
      </c>
      <c r="N27" s="696">
        <f t="shared" si="3"/>
        <v>2853.2756985612036</v>
      </c>
      <c r="O27" s="696">
        <f t="shared" ca="1" si="3"/>
        <v>24053.518994524213</v>
      </c>
      <c r="P27" s="696">
        <f t="shared" si="3"/>
        <v>340.18619984224955</v>
      </c>
      <c r="Q27" s="696">
        <f t="shared" si="3"/>
        <v>400.02913722817073</v>
      </c>
      <c r="R27" s="696">
        <f t="shared" ca="1" si="3"/>
        <v>229183.10758564278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3349.9715178340912</v>
      </c>
      <c r="D40" s="686">
        <f ca="1">tertiair!C20</f>
        <v>0</v>
      </c>
      <c r="E40" s="686">
        <f ca="1">tertiair!D20</f>
        <v>1717.4941017287242</v>
      </c>
      <c r="F40" s="686">
        <f>tertiair!E20</f>
        <v>25.357751825390796</v>
      </c>
      <c r="G40" s="686">
        <f ca="1">tertiair!F20</f>
        <v>609.85388052855615</v>
      </c>
      <c r="H40" s="686">
        <f>tertiair!G20</f>
        <v>0</v>
      </c>
      <c r="I40" s="686">
        <f>tertiair!H20</f>
        <v>0</v>
      </c>
      <c r="J40" s="686">
        <f>tertiair!I20</f>
        <v>0</v>
      </c>
      <c r="K40" s="686">
        <f>tertiair!J20</f>
        <v>6.3924853266216206E-2</v>
      </c>
      <c r="L40" s="686">
        <f>tertiair!K20</f>
        <v>0</v>
      </c>
      <c r="M40" s="686">
        <f ca="1">tertiair!L20</f>
        <v>0</v>
      </c>
      <c r="N40" s="686">
        <f>tertiair!M20</f>
        <v>0</v>
      </c>
      <c r="O40" s="686">
        <f ca="1">tertiair!N20</f>
        <v>0</v>
      </c>
      <c r="P40" s="686">
        <f>tertiair!O20</f>
        <v>0</v>
      </c>
      <c r="Q40" s="769">
        <f>tertiair!P20</f>
        <v>0</v>
      </c>
      <c r="R40" s="849">
        <f t="shared" ca="1" si="4"/>
        <v>5702.7411767700287</v>
      </c>
    </row>
    <row r="41" spans="1:18">
      <c r="A41" s="821" t="s">
        <v>224</v>
      </c>
      <c r="B41" s="828"/>
      <c r="C41" s="686">
        <f ca="1">huishoudens!B12</f>
        <v>3156.8032023524647</v>
      </c>
      <c r="D41" s="686">
        <f ca="1">huishoudens!C12</f>
        <v>0</v>
      </c>
      <c r="E41" s="686">
        <f>huishoudens!D12</f>
        <v>4251.1821410031598</v>
      </c>
      <c r="F41" s="686">
        <f>huishoudens!E12</f>
        <v>7719.3397697045066</v>
      </c>
      <c r="G41" s="686">
        <f>huishoudens!F12</f>
        <v>3752.5584681016808</v>
      </c>
      <c r="H41" s="686">
        <f>huishoudens!G12</f>
        <v>0</v>
      </c>
      <c r="I41" s="686">
        <f>huishoudens!H12</f>
        <v>0</v>
      </c>
      <c r="J41" s="686">
        <f>huishoudens!I12</f>
        <v>0</v>
      </c>
      <c r="K41" s="686">
        <f>huishoudens!J12</f>
        <v>852.18850196869892</v>
      </c>
      <c r="L41" s="686">
        <f>huishoudens!K12</f>
        <v>0</v>
      </c>
      <c r="M41" s="686">
        <f>huishoudens!L12</f>
        <v>0</v>
      </c>
      <c r="N41" s="686">
        <f>huishoudens!M12</f>
        <v>0</v>
      </c>
      <c r="O41" s="686">
        <f>huishoudens!N12</f>
        <v>0</v>
      </c>
      <c r="P41" s="686">
        <f>huishoudens!O12</f>
        <v>0</v>
      </c>
      <c r="Q41" s="769">
        <f>huishoudens!P12</f>
        <v>0</v>
      </c>
      <c r="R41" s="849">
        <f t="shared" ca="1" si="4"/>
        <v>19732.072083130512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794.33860625879186</v>
      </c>
      <c r="D43" s="686">
        <f ca="1">industrie!C22</f>
        <v>0</v>
      </c>
      <c r="E43" s="686">
        <f>industrie!D22</f>
        <v>188.54925721526405</v>
      </c>
      <c r="F43" s="686">
        <f>industrie!E22</f>
        <v>215.58355339235777</v>
      </c>
      <c r="G43" s="686">
        <f>industrie!F22</f>
        <v>768.67535070257009</v>
      </c>
      <c r="H43" s="686">
        <f>industrie!G22</f>
        <v>0</v>
      </c>
      <c r="I43" s="686">
        <f>industrie!H22</f>
        <v>0</v>
      </c>
      <c r="J43" s="686">
        <f>industrie!I22</f>
        <v>0</v>
      </c>
      <c r="K43" s="686">
        <f>industrie!J22</f>
        <v>1.6100686334522596</v>
      </c>
      <c r="L43" s="686">
        <f>industrie!K22</f>
        <v>0</v>
      </c>
      <c r="M43" s="686">
        <f>industrie!L22</f>
        <v>0</v>
      </c>
      <c r="N43" s="686">
        <f>industrie!M22</f>
        <v>0</v>
      </c>
      <c r="O43" s="686">
        <f>industrie!N22</f>
        <v>0</v>
      </c>
      <c r="P43" s="686">
        <f>industrie!O22</f>
        <v>0</v>
      </c>
      <c r="Q43" s="769">
        <f>industrie!P22</f>
        <v>0</v>
      </c>
      <c r="R43" s="848">
        <f t="shared" ca="1" si="4"/>
        <v>1968.756836202436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7301.1133264453474</v>
      </c>
      <c r="D46" s="722">
        <f t="shared" ref="D46:Q46" ca="1" si="5">SUM(D39:D45)</f>
        <v>0</v>
      </c>
      <c r="E46" s="722">
        <f t="shared" ca="1" si="5"/>
        <v>6157.2254999471488</v>
      </c>
      <c r="F46" s="722">
        <f t="shared" si="5"/>
        <v>7960.2810749222554</v>
      </c>
      <c r="G46" s="722">
        <f t="shared" ca="1" si="5"/>
        <v>5131.0876993328075</v>
      </c>
      <c r="H46" s="722">
        <f t="shared" si="5"/>
        <v>0</v>
      </c>
      <c r="I46" s="722">
        <f t="shared" si="5"/>
        <v>0</v>
      </c>
      <c r="J46" s="722">
        <f t="shared" si="5"/>
        <v>0</v>
      </c>
      <c r="K46" s="722">
        <f t="shared" si="5"/>
        <v>853.86249545541739</v>
      </c>
      <c r="L46" s="722">
        <f t="shared" si="5"/>
        <v>0</v>
      </c>
      <c r="M46" s="722">
        <f t="shared" ca="1" si="5"/>
        <v>0</v>
      </c>
      <c r="N46" s="722">
        <f t="shared" si="5"/>
        <v>0</v>
      </c>
      <c r="O46" s="722">
        <f t="shared" ca="1" si="5"/>
        <v>0</v>
      </c>
      <c r="P46" s="722">
        <f t="shared" si="5"/>
        <v>0</v>
      </c>
      <c r="Q46" s="722">
        <f t="shared" si="5"/>
        <v>0</v>
      </c>
      <c r="R46" s="722">
        <f ca="1">SUM(R39:R45)</f>
        <v>27403.570096102976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157.07015253411896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157.07015253411896</v>
      </c>
    </row>
    <row r="50" spans="1:18">
      <c r="A50" s="824" t="s">
        <v>306</v>
      </c>
      <c r="B50" s="834"/>
      <c r="C50" s="692">
        <f ca="1">transport!B18</f>
        <v>4.7791286619485103</v>
      </c>
      <c r="D50" s="692">
        <f>transport!C18</f>
        <v>0</v>
      </c>
      <c r="E50" s="692">
        <f>transport!D18</f>
        <v>21.451912219858247</v>
      </c>
      <c r="F50" s="692">
        <f>transport!E18</f>
        <v>20.029610067936659</v>
      </c>
      <c r="G50" s="692">
        <f>transport!F18</f>
        <v>0</v>
      </c>
      <c r="H50" s="692">
        <f>transport!G18</f>
        <v>10043.017177994345</v>
      </c>
      <c r="I50" s="692">
        <f>transport!H18</f>
        <v>2453.6112810079494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12542.889109952037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4.7791286619485103</v>
      </c>
      <c r="D52" s="722">
        <f t="shared" ref="D52:Q52" ca="1" si="6">SUM(D48:D51)</f>
        <v>0</v>
      </c>
      <c r="E52" s="722">
        <f t="shared" si="6"/>
        <v>21.451912219858247</v>
      </c>
      <c r="F52" s="722">
        <f t="shared" si="6"/>
        <v>20.029610067936659</v>
      </c>
      <c r="G52" s="722">
        <f t="shared" si="6"/>
        <v>0</v>
      </c>
      <c r="H52" s="722">
        <f t="shared" si="6"/>
        <v>10200.087330528464</v>
      </c>
      <c r="I52" s="722">
        <f t="shared" si="6"/>
        <v>2453.6112810079494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12699.959262486156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989.96023141270109</v>
      </c>
      <c r="D54" s="692">
        <f ca="1">+landbouw!C12</f>
        <v>0</v>
      </c>
      <c r="E54" s="692">
        <f>+landbouw!D12</f>
        <v>208.32085115146799</v>
      </c>
      <c r="F54" s="692">
        <f>+landbouw!E12</f>
        <v>37.070925241761962</v>
      </c>
      <c r="G54" s="692">
        <f>+landbouw!F12</f>
        <v>4937.5306912420247</v>
      </c>
      <c r="H54" s="692">
        <f>+landbouw!G12</f>
        <v>0</v>
      </c>
      <c r="I54" s="692">
        <f>+landbouw!H12</f>
        <v>0</v>
      </c>
      <c r="J54" s="692">
        <f>+landbouw!I12</f>
        <v>0</v>
      </c>
      <c r="K54" s="692">
        <f>+landbouw!J12</f>
        <v>510.33362672030148</v>
      </c>
      <c r="L54" s="692">
        <f>+landbouw!K12</f>
        <v>0</v>
      </c>
      <c r="M54" s="692">
        <f>+landbouw!L12</f>
        <v>0</v>
      </c>
      <c r="N54" s="692">
        <f>+landbouw!M12</f>
        <v>0</v>
      </c>
      <c r="O54" s="692">
        <f>+landbouw!N12</f>
        <v>0</v>
      </c>
      <c r="P54" s="692">
        <f>+landbouw!O12</f>
        <v>0</v>
      </c>
      <c r="Q54" s="693">
        <f>+landbouw!P12</f>
        <v>0</v>
      </c>
      <c r="R54" s="721">
        <f ca="1">SUM(C54:Q54)</f>
        <v>6683.2163257682569</v>
      </c>
    </row>
    <row r="55" spans="1:18" ht="15" thickBot="1">
      <c r="A55" s="824" t="s">
        <v>724</v>
      </c>
      <c r="B55" s="834"/>
      <c r="C55" s="692">
        <f ca="1">C25*'EF ele_warmte'!B12</f>
        <v>79.70219768782934</v>
      </c>
      <c r="D55" s="692"/>
      <c r="E55" s="692">
        <f>E25*EF_CO2_aardgas</f>
        <v>130.35427215800001</v>
      </c>
      <c r="F55" s="692"/>
      <c r="G55" s="692"/>
      <c r="H55" s="692"/>
      <c r="I55" s="692"/>
      <c r="J55" s="692"/>
      <c r="K55" s="692"/>
      <c r="L55" s="692"/>
      <c r="M55" s="692"/>
      <c r="N55" s="692"/>
      <c r="O55" s="692"/>
      <c r="P55" s="692"/>
      <c r="Q55" s="693"/>
      <c r="R55" s="721">
        <f ca="1">SUM(C55:Q55)</f>
        <v>210.05646984582935</v>
      </c>
    </row>
    <row r="56" spans="1:18" ht="15.75" thickBot="1">
      <c r="A56" s="822" t="s">
        <v>725</v>
      </c>
      <c r="B56" s="835"/>
      <c r="C56" s="722">
        <f ca="1">SUM(C54:C55)</f>
        <v>1069.6624291005305</v>
      </c>
      <c r="D56" s="722">
        <f t="shared" ref="D56:Q56" ca="1" si="7">SUM(D54:D55)</f>
        <v>0</v>
      </c>
      <c r="E56" s="722">
        <f t="shared" si="7"/>
        <v>338.67512330946801</v>
      </c>
      <c r="F56" s="722">
        <f t="shared" si="7"/>
        <v>37.070925241761962</v>
      </c>
      <c r="G56" s="722">
        <f t="shared" si="7"/>
        <v>4937.5306912420247</v>
      </c>
      <c r="H56" s="722">
        <f t="shared" si="7"/>
        <v>0</v>
      </c>
      <c r="I56" s="722">
        <f t="shared" si="7"/>
        <v>0</v>
      </c>
      <c r="J56" s="722">
        <f t="shared" si="7"/>
        <v>0</v>
      </c>
      <c r="K56" s="722">
        <f t="shared" si="7"/>
        <v>510.33362672030148</v>
      </c>
      <c r="L56" s="722">
        <f t="shared" si="7"/>
        <v>0</v>
      </c>
      <c r="M56" s="722">
        <f t="shared" si="7"/>
        <v>0</v>
      </c>
      <c r="N56" s="722">
        <f t="shared" si="7"/>
        <v>0</v>
      </c>
      <c r="O56" s="722">
        <f t="shared" si="7"/>
        <v>0</v>
      </c>
      <c r="P56" s="722">
        <f t="shared" si="7"/>
        <v>0</v>
      </c>
      <c r="Q56" s="723">
        <f t="shared" si="7"/>
        <v>0</v>
      </c>
      <c r="R56" s="724">
        <f ca="1">SUM(R54:R55)</f>
        <v>6893.2727956140861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8375.554884207826</v>
      </c>
      <c r="D61" s="730">
        <f t="shared" ref="D61:Q61" ca="1" si="8">D46+D52+D56</f>
        <v>0</v>
      </c>
      <c r="E61" s="730">
        <f t="shared" ca="1" si="8"/>
        <v>6517.3525354764752</v>
      </c>
      <c r="F61" s="730">
        <f t="shared" si="8"/>
        <v>8017.3816102319543</v>
      </c>
      <c r="G61" s="730">
        <f t="shared" ca="1" si="8"/>
        <v>10068.618390574833</v>
      </c>
      <c r="H61" s="730">
        <f t="shared" si="8"/>
        <v>10200.087330528464</v>
      </c>
      <c r="I61" s="730">
        <f t="shared" si="8"/>
        <v>2453.6112810079494</v>
      </c>
      <c r="J61" s="730">
        <f t="shared" si="8"/>
        <v>0</v>
      </c>
      <c r="K61" s="730">
        <f t="shared" si="8"/>
        <v>1364.1961221757188</v>
      </c>
      <c r="L61" s="730">
        <f t="shared" si="8"/>
        <v>0</v>
      </c>
      <c r="M61" s="730">
        <f t="shared" ca="1" si="8"/>
        <v>0</v>
      </c>
      <c r="N61" s="730">
        <f t="shared" si="8"/>
        <v>0</v>
      </c>
      <c r="O61" s="730">
        <f t="shared" ca="1" si="8"/>
        <v>0</v>
      </c>
      <c r="P61" s="730">
        <f t="shared" si="8"/>
        <v>0</v>
      </c>
      <c r="Q61" s="730">
        <f t="shared" si="8"/>
        <v>0</v>
      </c>
      <c r="R61" s="730">
        <f ca="1">R46+R52+R56</f>
        <v>46996.802154203222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0.18919051529220929</v>
      </c>
      <c r="D63" s="776">
        <f t="shared" ca="1" si="9"/>
        <v>0</v>
      </c>
      <c r="E63" s="975">
        <f t="shared" ca="1" si="9"/>
        <v>0.20200000000000001</v>
      </c>
      <c r="F63" s="776">
        <f t="shared" si="9"/>
        <v>0.22700000000000001</v>
      </c>
      <c r="G63" s="776">
        <f t="shared" ca="1" si="9"/>
        <v>0.26700000000000007</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6328.3914025853755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6372.0414025853752</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6328.3914025853755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6372.0414025853752</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32006</v>
      </c>
      <c r="C28" s="791">
        <v>8650</v>
      </c>
      <c r="D28" s="640" t="s">
        <v>888</v>
      </c>
      <c r="E28" s="639"/>
      <c r="F28" s="639" t="s">
        <v>889</v>
      </c>
      <c r="G28" s="639" t="s">
        <v>890</v>
      </c>
      <c r="H28" s="639" t="s">
        <v>891</v>
      </c>
      <c r="I28" s="639" t="s">
        <v>892</v>
      </c>
      <c r="J28" s="790">
        <v>42513</v>
      </c>
      <c r="K28" s="790">
        <v>42513</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16685.84282608833</v>
      </c>
      <c r="C4" s="452">
        <f>huishoudens!C8</f>
        <v>0</v>
      </c>
      <c r="D4" s="452">
        <f>huishoudens!D8</f>
        <v>21045.456143579999</v>
      </c>
      <c r="E4" s="452">
        <f>huishoudens!E8</f>
        <v>34005.902069182848</v>
      </c>
      <c r="F4" s="452">
        <f>huishoudens!F8</f>
        <v>14054.526097759102</v>
      </c>
      <c r="G4" s="452">
        <f>huishoudens!G8</f>
        <v>0</v>
      </c>
      <c r="H4" s="452">
        <f>huishoudens!H8</f>
        <v>0</v>
      </c>
      <c r="I4" s="452">
        <f>huishoudens!I8</f>
        <v>0</v>
      </c>
      <c r="J4" s="452">
        <f>huishoudens!J8</f>
        <v>2407.312152453952</v>
      </c>
      <c r="K4" s="452">
        <f>huishoudens!K8</f>
        <v>0</v>
      </c>
      <c r="L4" s="452">
        <f>huishoudens!L8</f>
        <v>0</v>
      </c>
      <c r="M4" s="452">
        <f>huishoudens!M8</f>
        <v>0</v>
      </c>
      <c r="N4" s="452">
        <f>huishoudens!N8</f>
        <v>16722.992239480394</v>
      </c>
      <c r="O4" s="452">
        <f>huishoudens!O8</f>
        <v>335.28893907640838</v>
      </c>
      <c r="P4" s="453">
        <f>huishoudens!P8</f>
        <v>294.95086061518066</v>
      </c>
      <c r="Q4" s="454">
        <f>SUM(B4:P4)</f>
        <v>105552.27132823619</v>
      </c>
    </row>
    <row r="5" spans="1:17">
      <c r="A5" s="451" t="s">
        <v>155</v>
      </c>
      <c r="B5" s="452">
        <f ca="1">tertiair!B16</f>
        <v>17058.142194</v>
      </c>
      <c r="C5" s="452">
        <f ca="1">tertiair!C16</f>
        <v>0</v>
      </c>
      <c r="D5" s="452">
        <f ca="1">tertiair!D16</f>
        <v>8502.4460481620008</v>
      </c>
      <c r="E5" s="452">
        <f>tertiair!E16</f>
        <v>111.70815782110482</v>
      </c>
      <c r="F5" s="452">
        <f ca="1">tertiair!F16</f>
        <v>2284.0969308185622</v>
      </c>
      <c r="G5" s="452">
        <f>tertiair!G16</f>
        <v>0</v>
      </c>
      <c r="H5" s="452">
        <f>tertiair!H16</f>
        <v>0</v>
      </c>
      <c r="I5" s="452">
        <f>tertiair!I16</f>
        <v>0</v>
      </c>
      <c r="J5" s="452">
        <f>tertiair!J16</f>
        <v>0.18057868154298365</v>
      </c>
      <c r="K5" s="452">
        <f>tertiair!K16</f>
        <v>0</v>
      </c>
      <c r="L5" s="452">
        <f ca="1">tertiair!L16</f>
        <v>0</v>
      </c>
      <c r="M5" s="452">
        <f>tertiair!M16</f>
        <v>0</v>
      </c>
      <c r="N5" s="452">
        <f ca="1">tertiair!N16</f>
        <v>7053.7218222883685</v>
      </c>
      <c r="O5" s="452">
        <f>tertiair!O16</f>
        <v>4.8972607658411542</v>
      </c>
      <c r="P5" s="453">
        <f>tertiair!P16</f>
        <v>105.07827661299004</v>
      </c>
      <c r="Q5" s="451">
        <f t="shared" ref="Q5:Q14" ca="1" si="0">SUM(B5:P5)</f>
        <v>35120.271269150413</v>
      </c>
    </row>
    <row r="6" spans="1:17">
      <c r="A6" s="451" t="s">
        <v>193</v>
      </c>
      <c r="B6" s="452">
        <f>'openbare verlichting'!B8</f>
        <v>648.726</v>
      </c>
      <c r="C6" s="452"/>
      <c r="D6" s="452"/>
      <c r="E6" s="452"/>
      <c r="F6" s="452"/>
      <c r="G6" s="452"/>
      <c r="H6" s="452"/>
      <c r="I6" s="452"/>
      <c r="J6" s="452"/>
      <c r="K6" s="452"/>
      <c r="L6" s="452"/>
      <c r="M6" s="452"/>
      <c r="N6" s="452"/>
      <c r="O6" s="452"/>
      <c r="P6" s="453"/>
      <c r="Q6" s="451">
        <f t="shared" si="0"/>
        <v>648.726</v>
      </c>
    </row>
    <row r="7" spans="1:17">
      <c r="A7" s="451" t="s">
        <v>111</v>
      </c>
      <c r="B7" s="452">
        <f>landbouw!B8</f>
        <v>5232.6102599999995</v>
      </c>
      <c r="C7" s="452">
        <f>landbouw!C8</f>
        <v>62.357142857142847</v>
      </c>
      <c r="D7" s="452">
        <f>landbouw!D8</f>
        <v>1031.2913423339999</v>
      </c>
      <c r="E7" s="452">
        <f>landbouw!E8</f>
        <v>163.30804071260775</v>
      </c>
      <c r="F7" s="452">
        <f>landbouw!F8</f>
        <v>18492.624311767882</v>
      </c>
      <c r="G7" s="452">
        <f>landbouw!G8</f>
        <v>0</v>
      </c>
      <c r="H7" s="452">
        <f>landbouw!H8</f>
        <v>0</v>
      </c>
      <c r="I7" s="452">
        <f>landbouw!I8</f>
        <v>0</v>
      </c>
      <c r="J7" s="452">
        <f>landbouw!J8</f>
        <v>1441.6204144641285</v>
      </c>
      <c r="K7" s="452">
        <f>landbouw!K8</f>
        <v>0</v>
      </c>
      <c r="L7" s="452">
        <f>landbouw!L8</f>
        <v>0</v>
      </c>
      <c r="M7" s="452">
        <f>landbouw!M8</f>
        <v>0</v>
      </c>
      <c r="N7" s="452">
        <f>landbouw!N8</f>
        <v>0</v>
      </c>
      <c r="O7" s="452">
        <f>landbouw!O8</f>
        <v>0</v>
      </c>
      <c r="P7" s="453">
        <f>landbouw!P8</f>
        <v>0</v>
      </c>
      <c r="Q7" s="451">
        <f t="shared" si="0"/>
        <v>26423.811512135759</v>
      </c>
    </row>
    <row r="8" spans="1:17">
      <c r="A8" s="451" t="s">
        <v>625</v>
      </c>
      <c r="B8" s="452">
        <f>industrie!B18</f>
        <v>4198.6174890000002</v>
      </c>
      <c r="C8" s="452">
        <f>industrie!C18</f>
        <v>0</v>
      </c>
      <c r="D8" s="452">
        <f>industrie!D18</f>
        <v>933.41216443200017</v>
      </c>
      <c r="E8" s="452">
        <f>industrie!E18</f>
        <v>949.70728366677429</v>
      </c>
      <c r="F8" s="452">
        <f>industrie!F18</f>
        <v>2878.9338977624348</v>
      </c>
      <c r="G8" s="452">
        <f>industrie!G18</f>
        <v>0</v>
      </c>
      <c r="H8" s="452">
        <f>industrie!H18</f>
        <v>0</v>
      </c>
      <c r="I8" s="452">
        <f>industrie!I18</f>
        <v>0</v>
      </c>
      <c r="J8" s="452">
        <f>industrie!J18</f>
        <v>4.5482164786786994</v>
      </c>
      <c r="K8" s="452">
        <f>industrie!K18</f>
        <v>0</v>
      </c>
      <c r="L8" s="452">
        <f>industrie!L18</f>
        <v>0</v>
      </c>
      <c r="M8" s="452">
        <f>industrie!M18</f>
        <v>0</v>
      </c>
      <c r="N8" s="452">
        <f>industrie!N18</f>
        <v>276.80493275545246</v>
      </c>
      <c r="O8" s="452">
        <f>industrie!O18</f>
        <v>0</v>
      </c>
      <c r="P8" s="453">
        <f>industrie!P18</f>
        <v>0</v>
      </c>
      <c r="Q8" s="451">
        <f t="shared" si="0"/>
        <v>9242.02398409534</v>
      </c>
    </row>
    <row r="9" spans="1:17" s="457" customFormat="1">
      <c r="A9" s="455" t="s">
        <v>551</v>
      </c>
      <c r="B9" s="456">
        <f>transport!B14</f>
        <v>25.260931577711659</v>
      </c>
      <c r="C9" s="456">
        <f>transport!C14</f>
        <v>0</v>
      </c>
      <c r="D9" s="456">
        <f>transport!D14</f>
        <v>106.197585246823</v>
      </c>
      <c r="E9" s="456">
        <f>transport!E14</f>
        <v>88.236167700161488</v>
      </c>
      <c r="F9" s="456">
        <f>transport!F14</f>
        <v>0</v>
      </c>
      <c r="G9" s="456">
        <f>transport!G14</f>
        <v>37614.296546795296</v>
      </c>
      <c r="H9" s="456">
        <f>transport!H14</f>
        <v>9853.8605662969858</v>
      </c>
      <c r="I9" s="456">
        <f>transport!I14</f>
        <v>0</v>
      </c>
      <c r="J9" s="456">
        <f>transport!J14</f>
        <v>0</v>
      </c>
      <c r="K9" s="456">
        <f>transport!K14</f>
        <v>0</v>
      </c>
      <c r="L9" s="456">
        <f>transport!L14</f>
        <v>0</v>
      </c>
      <c r="M9" s="456">
        <f>transport!M14</f>
        <v>2820.5843016597573</v>
      </c>
      <c r="N9" s="456">
        <f>transport!N14</f>
        <v>0</v>
      </c>
      <c r="O9" s="456">
        <f>transport!O14</f>
        <v>0</v>
      </c>
      <c r="P9" s="456">
        <f>transport!P14</f>
        <v>0</v>
      </c>
      <c r="Q9" s="455">
        <f>SUM(B9:P9)</f>
        <v>50508.436099276732</v>
      </c>
    </row>
    <row r="10" spans="1:17">
      <c r="A10" s="451" t="s">
        <v>541</v>
      </c>
      <c r="B10" s="452">
        <f>transport!B54</f>
        <v>0</v>
      </c>
      <c r="C10" s="452">
        <f>transport!C54</f>
        <v>0</v>
      </c>
      <c r="D10" s="452">
        <f>transport!D54</f>
        <v>0</v>
      </c>
      <c r="E10" s="452">
        <f>transport!E54</f>
        <v>0</v>
      </c>
      <c r="F10" s="452">
        <f>transport!F54</f>
        <v>0</v>
      </c>
      <c r="G10" s="452">
        <f>transport!G54</f>
        <v>588.27772484688751</v>
      </c>
      <c r="H10" s="452">
        <f>transport!H54</f>
        <v>0</v>
      </c>
      <c r="I10" s="452">
        <f>transport!I54</f>
        <v>0</v>
      </c>
      <c r="J10" s="452">
        <f>transport!J54</f>
        <v>0</v>
      </c>
      <c r="K10" s="452">
        <f>transport!K54</f>
        <v>0</v>
      </c>
      <c r="L10" s="452">
        <f>transport!L54</f>
        <v>0</v>
      </c>
      <c r="M10" s="452">
        <f>transport!M54</f>
        <v>32.691396901446332</v>
      </c>
      <c r="N10" s="452">
        <f>transport!N54</f>
        <v>0</v>
      </c>
      <c r="O10" s="452">
        <f>transport!O54</f>
        <v>0</v>
      </c>
      <c r="P10" s="453">
        <f>transport!P54</f>
        <v>0</v>
      </c>
      <c r="Q10" s="451">
        <f t="shared" si="0"/>
        <v>620.96912174833381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421.28009200000002</v>
      </c>
      <c r="C14" s="459"/>
      <c r="D14" s="459">
        <f>'SEAP template'!E25</f>
        <v>645.31817899999999</v>
      </c>
      <c r="E14" s="459"/>
      <c r="F14" s="459"/>
      <c r="G14" s="459"/>
      <c r="H14" s="459"/>
      <c r="I14" s="459"/>
      <c r="J14" s="459"/>
      <c r="K14" s="459"/>
      <c r="L14" s="459"/>
      <c r="M14" s="459"/>
      <c r="N14" s="459"/>
      <c r="O14" s="459"/>
      <c r="P14" s="460"/>
      <c r="Q14" s="451">
        <f t="shared" si="0"/>
        <v>1066.5982710000001</v>
      </c>
    </row>
    <row r="15" spans="1:17" s="463" customFormat="1">
      <c r="A15" s="461" t="s">
        <v>545</v>
      </c>
      <c r="B15" s="462">
        <f ca="1">SUM(B4:B14)</f>
        <v>44270.479792666039</v>
      </c>
      <c r="C15" s="462">
        <f t="shared" ref="C15:Q15" ca="1" si="1">SUM(C4:C14)</f>
        <v>62.357142857142847</v>
      </c>
      <c r="D15" s="462">
        <f t="shared" ca="1" si="1"/>
        <v>32264.121462754825</v>
      </c>
      <c r="E15" s="462">
        <f t="shared" si="1"/>
        <v>35318.861719083499</v>
      </c>
      <c r="F15" s="462">
        <f t="shared" ca="1" si="1"/>
        <v>37710.181238107987</v>
      </c>
      <c r="G15" s="462">
        <f t="shared" si="1"/>
        <v>38202.574271642181</v>
      </c>
      <c r="H15" s="462">
        <f t="shared" si="1"/>
        <v>9853.8605662969858</v>
      </c>
      <c r="I15" s="462">
        <f t="shared" si="1"/>
        <v>0</v>
      </c>
      <c r="J15" s="462">
        <f t="shared" si="1"/>
        <v>3853.6613620783023</v>
      </c>
      <c r="K15" s="462">
        <f t="shared" si="1"/>
        <v>0</v>
      </c>
      <c r="L15" s="462">
        <f t="shared" ca="1" si="1"/>
        <v>0</v>
      </c>
      <c r="M15" s="462">
        <f t="shared" si="1"/>
        <v>2853.2756985612036</v>
      </c>
      <c r="N15" s="462">
        <f t="shared" ca="1" si="1"/>
        <v>24053.518994524213</v>
      </c>
      <c r="O15" s="462">
        <f t="shared" si="1"/>
        <v>340.18619984224955</v>
      </c>
      <c r="P15" s="462">
        <f t="shared" si="1"/>
        <v>400.02913722817073</v>
      </c>
      <c r="Q15" s="462">
        <f t="shared" ca="1" si="1"/>
        <v>229183.10758564275</v>
      </c>
    </row>
    <row r="17" spans="1:17">
      <c r="A17" s="464" t="s">
        <v>546</v>
      </c>
      <c r="B17" s="781">
        <f ca="1">huishoudens!B10</f>
        <v>0.18919051529220929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3156.8032023524647</v>
      </c>
      <c r="C22" s="452">
        <f t="shared" ref="C22:C32" ca="1" si="3">C4*$C$17</f>
        <v>0</v>
      </c>
      <c r="D22" s="452">
        <f t="shared" ref="D22:D32" si="4">D4*$D$17</f>
        <v>4251.1821410031598</v>
      </c>
      <c r="E22" s="452">
        <f t="shared" ref="E22:E32" si="5">E4*$E$17</f>
        <v>7719.3397697045066</v>
      </c>
      <c r="F22" s="452">
        <f t="shared" ref="F22:F32" si="6">F4*$F$17</f>
        <v>3752.5584681016808</v>
      </c>
      <c r="G22" s="452">
        <f t="shared" ref="G22:G32" si="7">G4*$G$17</f>
        <v>0</v>
      </c>
      <c r="H22" s="452">
        <f t="shared" ref="H22:H32" si="8">H4*$H$17</f>
        <v>0</v>
      </c>
      <c r="I22" s="452">
        <f t="shared" ref="I22:I32" si="9">I4*$I$17</f>
        <v>0</v>
      </c>
      <c r="J22" s="452">
        <f t="shared" ref="J22:J32" si="10">J4*$J$17</f>
        <v>852.18850196869892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19732.072083130512</v>
      </c>
    </row>
    <row r="23" spans="1:17">
      <c r="A23" s="451" t="s">
        <v>155</v>
      </c>
      <c r="B23" s="452">
        <f t="shared" ca="1" si="2"/>
        <v>3227.2387116106374</v>
      </c>
      <c r="C23" s="452">
        <f t="shared" ca="1" si="3"/>
        <v>0</v>
      </c>
      <c r="D23" s="452">
        <f t="shared" ca="1" si="4"/>
        <v>1717.4941017287242</v>
      </c>
      <c r="E23" s="452">
        <f t="shared" si="5"/>
        <v>25.357751825390796</v>
      </c>
      <c r="F23" s="452">
        <f t="shared" ca="1" si="6"/>
        <v>609.85388052855615</v>
      </c>
      <c r="G23" s="452">
        <f t="shared" si="7"/>
        <v>0</v>
      </c>
      <c r="H23" s="452">
        <f t="shared" si="8"/>
        <v>0</v>
      </c>
      <c r="I23" s="452">
        <f t="shared" si="9"/>
        <v>0</v>
      </c>
      <c r="J23" s="452">
        <f t="shared" si="10"/>
        <v>6.3924853266216206E-2</v>
      </c>
      <c r="K23" s="452">
        <f t="shared" si="11"/>
        <v>0</v>
      </c>
      <c r="L23" s="452">
        <f t="shared" ca="1" si="12"/>
        <v>0</v>
      </c>
      <c r="M23" s="452">
        <f t="shared" si="13"/>
        <v>0</v>
      </c>
      <c r="N23" s="452">
        <f t="shared" ca="1" si="14"/>
        <v>0</v>
      </c>
      <c r="O23" s="452">
        <f t="shared" si="15"/>
        <v>0</v>
      </c>
      <c r="P23" s="453">
        <f t="shared" si="16"/>
        <v>0</v>
      </c>
      <c r="Q23" s="451">
        <f t="shared" ref="Q23:Q31" ca="1" si="17">SUM(B23:P23)</f>
        <v>5580.008370546575</v>
      </c>
    </row>
    <row r="24" spans="1:17">
      <c r="A24" s="451" t="s">
        <v>193</v>
      </c>
      <c r="B24" s="452">
        <f t="shared" ca="1" si="2"/>
        <v>122.73280622345376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122.73280622345376</v>
      </c>
    </row>
    <row r="25" spans="1:17">
      <c r="A25" s="451" t="s">
        <v>111</v>
      </c>
      <c r="B25" s="452">
        <f t="shared" ca="1" si="2"/>
        <v>989.96023141270109</v>
      </c>
      <c r="C25" s="452">
        <f t="shared" ca="1" si="3"/>
        <v>0</v>
      </c>
      <c r="D25" s="452">
        <f t="shared" si="4"/>
        <v>208.32085115146799</v>
      </c>
      <c r="E25" s="452">
        <f t="shared" si="5"/>
        <v>37.070925241761962</v>
      </c>
      <c r="F25" s="452">
        <f t="shared" si="6"/>
        <v>4937.5306912420247</v>
      </c>
      <c r="G25" s="452">
        <f t="shared" si="7"/>
        <v>0</v>
      </c>
      <c r="H25" s="452">
        <f t="shared" si="8"/>
        <v>0</v>
      </c>
      <c r="I25" s="452">
        <f t="shared" si="9"/>
        <v>0</v>
      </c>
      <c r="J25" s="452">
        <f t="shared" si="10"/>
        <v>510.33362672030148</v>
      </c>
      <c r="K25" s="452">
        <f t="shared" si="11"/>
        <v>0</v>
      </c>
      <c r="L25" s="452">
        <f t="shared" si="12"/>
        <v>0</v>
      </c>
      <c r="M25" s="452">
        <f t="shared" si="13"/>
        <v>0</v>
      </c>
      <c r="N25" s="452">
        <f t="shared" si="14"/>
        <v>0</v>
      </c>
      <c r="O25" s="452">
        <f t="shared" si="15"/>
        <v>0</v>
      </c>
      <c r="P25" s="453">
        <f t="shared" si="16"/>
        <v>0</v>
      </c>
      <c r="Q25" s="451">
        <f t="shared" ca="1" si="17"/>
        <v>6683.2163257682569</v>
      </c>
    </row>
    <row r="26" spans="1:17">
      <c r="A26" s="451" t="s">
        <v>625</v>
      </c>
      <c r="B26" s="452">
        <f t="shared" ca="1" si="2"/>
        <v>794.33860625879186</v>
      </c>
      <c r="C26" s="452">
        <f t="shared" ca="1" si="3"/>
        <v>0</v>
      </c>
      <c r="D26" s="452">
        <f t="shared" si="4"/>
        <v>188.54925721526405</v>
      </c>
      <c r="E26" s="452">
        <f t="shared" si="5"/>
        <v>215.58355339235777</v>
      </c>
      <c r="F26" s="452">
        <f t="shared" si="6"/>
        <v>768.67535070257009</v>
      </c>
      <c r="G26" s="452">
        <f t="shared" si="7"/>
        <v>0</v>
      </c>
      <c r="H26" s="452">
        <f t="shared" si="8"/>
        <v>0</v>
      </c>
      <c r="I26" s="452">
        <f t="shared" si="9"/>
        <v>0</v>
      </c>
      <c r="J26" s="452">
        <f t="shared" si="10"/>
        <v>1.6100686334522596</v>
      </c>
      <c r="K26" s="452">
        <f t="shared" si="11"/>
        <v>0</v>
      </c>
      <c r="L26" s="452">
        <f t="shared" si="12"/>
        <v>0</v>
      </c>
      <c r="M26" s="452">
        <f t="shared" si="13"/>
        <v>0</v>
      </c>
      <c r="N26" s="452">
        <f t="shared" si="14"/>
        <v>0</v>
      </c>
      <c r="O26" s="452">
        <f t="shared" si="15"/>
        <v>0</v>
      </c>
      <c r="P26" s="453">
        <f t="shared" si="16"/>
        <v>0</v>
      </c>
      <c r="Q26" s="451">
        <f t="shared" ca="1" si="17"/>
        <v>1968.756836202436</v>
      </c>
    </row>
    <row r="27" spans="1:17" s="457" customFormat="1">
      <c r="A27" s="455" t="s">
        <v>551</v>
      </c>
      <c r="B27" s="775">
        <f t="shared" ca="1" si="2"/>
        <v>4.7791286619485103</v>
      </c>
      <c r="C27" s="456">
        <f t="shared" ca="1" si="3"/>
        <v>0</v>
      </c>
      <c r="D27" s="456">
        <f t="shared" si="4"/>
        <v>21.451912219858247</v>
      </c>
      <c r="E27" s="456">
        <f t="shared" si="5"/>
        <v>20.029610067936659</v>
      </c>
      <c r="F27" s="456">
        <f t="shared" si="6"/>
        <v>0</v>
      </c>
      <c r="G27" s="456">
        <f t="shared" si="7"/>
        <v>10043.017177994345</v>
      </c>
      <c r="H27" s="456">
        <f t="shared" si="8"/>
        <v>2453.6112810079494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12542.889109952037</v>
      </c>
    </row>
    <row r="28" spans="1:17" ht="16.5" customHeight="1">
      <c r="A28" s="451" t="s">
        <v>541</v>
      </c>
      <c r="B28" s="452">
        <f t="shared" ca="1" si="2"/>
        <v>0</v>
      </c>
      <c r="C28" s="452">
        <f t="shared" ca="1" si="3"/>
        <v>0</v>
      </c>
      <c r="D28" s="452">
        <f t="shared" si="4"/>
        <v>0</v>
      </c>
      <c r="E28" s="452">
        <f t="shared" si="5"/>
        <v>0</v>
      </c>
      <c r="F28" s="452">
        <f t="shared" si="6"/>
        <v>0</v>
      </c>
      <c r="G28" s="452">
        <f t="shared" si="7"/>
        <v>157.07015253411896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157.07015253411896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79.70219768782934</v>
      </c>
      <c r="C32" s="452">
        <f t="shared" ca="1" si="3"/>
        <v>0</v>
      </c>
      <c r="D32" s="452">
        <f t="shared" si="4"/>
        <v>130.35427215800001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210.05646984582935</v>
      </c>
    </row>
    <row r="33" spans="1:17" s="463" customFormat="1">
      <c r="A33" s="461" t="s">
        <v>545</v>
      </c>
      <c r="B33" s="462">
        <f ca="1">SUM(B22:B32)</f>
        <v>8375.5548842078279</v>
      </c>
      <c r="C33" s="462">
        <f t="shared" ref="C33:Q33" ca="1" si="19">SUM(C22:C32)</f>
        <v>0</v>
      </c>
      <c r="D33" s="462">
        <f t="shared" ca="1" si="19"/>
        <v>6517.3525354764743</v>
      </c>
      <c r="E33" s="462">
        <f t="shared" si="19"/>
        <v>8017.3816102319543</v>
      </c>
      <c r="F33" s="462">
        <f t="shared" ca="1" si="19"/>
        <v>10068.618390574831</v>
      </c>
      <c r="G33" s="462">
        <f t="shared" si="19"/>
        <v>10200.087330528464</v>
      </c>
      <c r="H33" s="462">
        <f t="shared" si="19"/>
        <v>2453.6112810079494</v>
      </c>
      <c r="I33" s="462">
        <f t="shared" si="19"/>
        <v>0</v>
      </c>
      <c r="J33" s="462">
        <f t="shared" si="19"/>
        <v>1364.196122175719</v>
      </c>
      <c r="K33" s="462">
        <f t="shared" si="19"/>
        <v>0</v>
      </c>
      <c r="L33" s="462">
        <f t="shared" ca="1" si="19"/>
        <v>0</v>
      </c>
      <c r="M33" s="462">
        <f t="shared" si="19"/>
        <v>0</v>
      </c>
      <c r="N33" s="462">
        <f t="shared" ca="1" si="19"/>
        <v>0</v>
      </c>
      <c r="O33" s="462">
        <f t="shared" si="19"/>
        <v>0</v>
      </c>
      <c r="P33" s="462">
        <f t="shared" si="19"/>
        <v>0</v>
      </c>
      <c r="Q33" s="462">
        <f t="shared" ca="1" si="19"/>
        <v>46996.802154203229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6328.3914025853755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6372.0414025853752</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0.18919051529220929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0.18919051529220929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2020-06-20T15:32:43Z</dcterms:modified>
</cp:coreProperties>
</file>