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D6" i="17" s="1"/>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56" i="22"/>
  <c r="C58" i="22" s="1"/>
  <c r="D49" i="14" s="1"/>
  <c r="D52" i="14" s="1"/>
  <c r="C22" i="59"/>
  <c r="C29" i="20"/>
  <c r="C16" i="22"/>
  <c r="C10" i="17"/>
  <c r="C12" i="17" s="1"/>
  <c r="D54" i="14" s="1"/>
  <c r="D56" i="14" s="1"/>
  <c r="C17" i="49"/>
  <c r="C18" i="15"/>
  <c r="C20" i="15" s="1"/>
  <c r="D40" i="14" s="1"/>
  <c r="C10" i="13"/>
  <c r="C12" i="13" s="1"/>
  <c r="C20" i="16"/>
  <c r="C22" i="16" s="1"/>
  <c r="D43"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<sst xmlns="http://schemas.openxmlformats.org/spreadsheetml/2006/main" count="2427" uniqueCount="905">
  <si>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</si>
  <si>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</si>
  <si>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</si>
  <si>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</si>
  <si>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</si>
  <si>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</si>
  <si>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</si>
  <si>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</si>
  <si>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</si>
  <si>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</si>
  <si>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</si>
  <si>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</si>
  <si>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</si>
  <si>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</si>
  <si>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</si>
  <si>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</si>
  <si>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</si>
  <si>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</si>
  <si>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</si>
  <si>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</si>
  <si>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</si>
  <si>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</si>
  <si>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</si>
  <si>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</si>
  <si>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</si>
  <si>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</si>
  <si>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</si>
  <si>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</si>
  <si>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</si>
  <si>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</si>
  <si>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</si>
  <si>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</si>
  <si>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</si>
  <si>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</si>
  <si>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</si>
  <si>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</si>
  <si>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</si>
  <si>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</si>
  <si>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</si>
  <si>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</si>
  <si>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</si>
  <si>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</si>
  <si>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</si>
  <si>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</si>
  <si>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</si>
  <si>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</si>
  <si>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</si>
  <si>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</si>
  <si>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</si>
  <si>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</si>
  <si>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</si>
  <si>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</si>
  <si>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</si>
  <si>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</si>
  <si>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</si>
  <si>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</si>
  <si>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</si>
  <si>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</si>
  <si>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</si>
  <si>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</si>
  <si>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</si>
  <si>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</si>
  <si>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</si>
  <si>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</si>
  <si>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</si>
  <si>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</si>
  <si>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</si>
  <si>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</si>
  <si>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</si>
  <si>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</si>
  <si>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</si>
  <si>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</si>
  <si>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</si>
  <si>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</si>
  <si>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</si>
  <si>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</si>
  <si>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</si>
  <si>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</si>
  <si>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</si>
  <si>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</si>
  <si>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</si>
  <si>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</si>
  <si>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</si>
  <si>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</si>
  <si>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</si>
  <si>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</si>
  <si>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</si>
  <si>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</si>
  <si>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</si>
  <si>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</si>
  <si>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</si>
  <si>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</si>
  <si>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</si>
  <si>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</si>
  <si>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</si>
  <si>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</si>
  <si>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</si>
  <si>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</si>
  <si>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</si>
  <si>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</si>
  <si>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</si>
  <si>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</si>
  <si>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</si>
  <si>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</si>
  <si>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</si>
  <si>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</si>
  <si>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</si>
  <si>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</si>
  <si>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</si>
  <si>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</si>
  <si>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</si>
  <si>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</si>
  <si>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</si>
  <si>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</si>
  <si>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</si>
  <si>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</si>
  <si>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</si>
  <si>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</si>
  <si>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</si>
  <si>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</si>
  <si>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</si>
  <si>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</si>
  <si>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</si>
  <si>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</si>
  <si>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</si>
  <si>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</si>
  <si>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</si>
  <si>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</si>
  <si>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</si>
  <si>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</si>
  <si>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</si>
  <si>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</si>
  <si>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</si>
  <si>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</si>
  <si>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</si>
  <si>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</si>
  <si>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</si>
  <si>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</si>
  <si>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</si>
  <si>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</si>
  <si>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</si>
  <si>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</si>
  <si>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</si>
  <si>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</si>
  <si>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</si>
  <si>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</si>
  <si>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</si>
  <si>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</si>
  <si>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</si>
  <si>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</si>
  <si>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</si>
  <si>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</si>
  <si>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</si>
  <si>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</si>
  <si>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</si>
  <si>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</si>
  <si>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</si>
  <si>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</si>
  <si>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</si>
  <si>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</si>
  <si>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</si>
  <si>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</si>
  <si>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</si>
  <si>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</si>
  <si>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</si>
  <si>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</si>
  <si>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</si>
  <si>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</si>
  <si>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</si>
  <si>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</si>
  <si>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</si>
  <si>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</si>
  <si>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</si>
  <si>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</si>
  <si>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</si>
  <si>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</si>
  <si>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</si>
  <si>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</si>
  <si>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</si>
  <si>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</si>
  <si>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</si>
  <si>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</si>
  <si>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</si>
  <si>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</si>
  <si>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</si>
  <si>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</si>
  <si>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</si>
  <si>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</si>
  <si>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</si>
  <si>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</si>
  <si>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</si>
  <si>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</si>
  <si>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</si>
  <si>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</si>
  <si>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</si>
  <si>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</si>
  <si>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</si>
  <si>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</si>
  <si>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</si>
  <si>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</si>
  <si>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</si>
  <si>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</si>
  <si>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</si>
  <si>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</si>
  <si>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</si>
  <si>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</si>
  <si>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</si>
  <si>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</si>
  <si>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</si>
  <si>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</si>
  <si>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</si>
  <si>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</si>
  <si>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</si>
  <si>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</si>
  <si>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</si>
  <si>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</si>
  <si>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</si>
  <si>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</si>
  <si>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</si>
  <si>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</si>
  <si>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</si>
  <si>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</si>
  <si>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</si>
  <si>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</si>
  <si>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</si>
  <si>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</si>
  <si>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</si>
  <si>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</si>
  <si>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</si>
  <si>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</si>
  <si>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</si>
  <si>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</si>
  <si>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</si>
  <si>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</si>
  <si>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</si>
  <si>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</si>
  <si>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</si>
  <si>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</si>
  <si>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</si>
  <si>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</si>
  <si>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</si>
  <si>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</si>
  <si>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</si>
  <si>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</si>
  <si>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</si>
  <si>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</si>
  <si>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</si>
  <si>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</si>
  <si>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</si>
  <si>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</si>
  <si>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</si>
  <si>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</si>
  <si>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</si>
  <si>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</si>
  <si>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</si>
  <si>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</si>
  <si>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</si>
  <si>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</si>
  <si>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</si>
  <si>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</si>
  <si>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</si>
  <si>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</si>
  <si>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</si>
  <si>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</si>
  <si>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</si>
  <si>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</si>
  <si>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</si>
  <si>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</si>
  <si>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</si>
  <si>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</si>
  <si>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</si>
  <si>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</si>
  <si>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</si>
  <si>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</si>
  <si>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</si>
  <si>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</si>
  <si>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</si>
  <si>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</si>
  <si>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</si>
  <si>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</si>
  <si>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</si>
  <si>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</si>
  <si>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</si>
  <si>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</si>
  <si>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</si>
  <si>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</si>
  <si>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</si>
  <si>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</si>
  <si>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</si>
  <si>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</si>
  <si>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</si>
  <si>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</si>
  <si>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</si>
  <si>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</si>
  <si>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</si>
  <si>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</si>
  <si>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</si>
  <si>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</si>
  <si>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</si>
  <si>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</si>
  <si>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</si>
  <si>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</si>
  <si>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</si>
  <si>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</si>
  <si>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</si>
  <si>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</si>
  <si>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</si>
  <si>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</si>
  <si>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</si>
  <si>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</si>
  <si>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</si>
  <si>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</si>
  <si>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</si>
  <si>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</si>
  <si>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</si>
  <si>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</si>
  <si>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</si>
  <si>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</si>
  <si>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</si>
  <si>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</si>
  <si>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</si>
  <si>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</si>
  <si>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</si>
  <si>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</si>
  <si>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</si>
  <si>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</si>
  <si>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</si>
  <si>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</si>
  <si>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</si>
  <si>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</si>
  <si>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</si>
  <si>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</si>
  <si>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</si>
  <si>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</si>
  <si>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</si>
  <si>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</si>
  <si>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</si>
  <si>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</si>
  <si>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</si>
  <si>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</si>
  <si>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</si>
  <si>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</si>
  <si>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</si>
  <si>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</si>
  <si>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</si>
  <si>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</si>
  <si>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</si>
  <si>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</si>
  <si>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</si>
  <si>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</si>
  <si>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</si>
  <si>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</si>
  <si>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</si>
  <si>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</si>
  <si>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</si>
  <si>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</si>
  <si>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</si>
  <si>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</si>
  <si>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</si>
  <si>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</si>
  <si>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</si>
  <si>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</si>
  <si>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</si>
  <si>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</si>
  <si>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</si>
  <si>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</si>
  <si>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</si>
  <si>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</si>
  <si>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</si>
  <si>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</si>
  <si>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</si>
  <si>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</si>
  <si>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</si>
  <si>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</si>
  <si>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</si>
  <si>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</si>
  <si>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</si>
  <si>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</si>
  <si>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</si>
  <si>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</si>
  <si>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</si>
  <si>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</si>
  <si>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</si>
  <si>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</si>
  <si>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</si>
  <si>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</si>
  <si>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</si>
  <si>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</si>
  <si>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</si>
  <si>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</si>
  <si>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</si>
  <si>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</si>
  <si>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</si>
  <si>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</si>
  <si>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</si>
  <si>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</si>
  <si>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</si>
  <si>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</si>
  <si>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</si>
  <si>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</si>
  <si>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</si>
  <si>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</si>
  <si>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</si>
  <si>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</si>
  <si>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</si>
  <si>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</si>
  <si>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</si>
  <si>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</si>
  <si>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</si>
  <si>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</si>
  <si>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</si>
  <si>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</si>
  <si>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</si>
  <si>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</si>
  <si>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</si>
  <si>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</si>
  <si>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</si>
  <si>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</si>
  <si>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</si>
  <si>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</si>
  <si>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</si>
  <si>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</si>
  <si>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</si>
  <si>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</si>
  <si>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</si>
  <si>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</si>
  <si>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</si>
  <si>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</si>
  <si>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</si>
  <si>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</si>
  <si>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</si>
  <si>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</si>
  <si>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</si>
  <si>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</si>
  <si>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</si>
  <si>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</si>
  <si>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</si>
  <si>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</si>
  <si>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</si>
  <si>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</si>
  <si>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</si>
  <si>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</si>
  <si>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</si>
  <si>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</si>
  <si>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</si>
  <si>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</si>
  <si>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</si>
  <si>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</si>
  <si>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</si>
  <si>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</si>
  <si>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</si>
  <si>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</si>
  <si>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</si>
  <si>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</si>
  <si>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</si>
  <si>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</si>
  <si>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</si>
  <si>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</si>
  <si>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</si>
  <si>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</si>
  <si>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</si>
  <si>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</si>
  <si>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</si>
  <si>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</si>
  <si>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</si>
  <si>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</si>
  <si>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</si>
  <si>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</si>
  <si>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</si>
  <si>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</si>
  <si>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</si>
  <si>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</si>
  <si>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</si>
  <si>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</si>
  <si>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</si>
  <si>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</si>
  <si>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</si>
  <si>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</si>
  <si>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</si>
  <si>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</si>
  <si>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</si>
  <si>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</si>
  <si>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</si>
  <si>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</si>
  <si>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</si>
  <si>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</si>
  <si>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</si>
  <si>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</si>
  <si>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</si>
  <si>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</si>
  <si>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</si>
  <si>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</si>
  <si>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</si>
  <si>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</si>
  <si>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</si>
  <si>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</si>
  <si>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</si>
  <si>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</si>
  <si>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</si>
  <si>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</si>
  <si>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</si>
  <si>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</si>
  <si>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</si>
  <si>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</si>
  <si>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</si>
  <si>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</si>
  <si>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</si>
  <si>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</si>
  <si>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</si>
  <si>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</si>
  <si>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</si>
  <si>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</si>
  <si>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</si>
  <si>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</si>
  <si>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</si>
  <si>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</si>
  <si>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</si>
  <si>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</si>
  <si>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</si>
  <si>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</si>
  <si>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</si>
  <si>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</si>
  <si>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</si>
  <si>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</si>
  <si>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</si>
  <si>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</si>
  <si>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</si>
  <si>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</si>
  <si>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</si>
  <si>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</si>
  <si>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</si>
  <si>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</si>
  <si>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</si>
  <si>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</si>
  <si>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</si>
  <si>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</si>
  <si>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</si>
  <si>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</si>
  <si>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</si>
  <si>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</si>
  <si>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</si>
  <si>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</si>
  <si>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</si>
  <si>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</si>
  <si>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</si>
  <si>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</si>
  <si>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</si>
  <si>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</si>
  <si>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</si>
  <si>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</si>
  <si>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</si>
  <si>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</si>
  <si>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</si>
  <si>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</si>
  <si>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</si>
  <si>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</si>
  <si>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</si>
  <si>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</si>
  <si>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</si>
  <si>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</si>
  <si>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</si>
  <si>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</si>
  <si>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</si>
  <si>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</si>
  <si>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</si>
  <si>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</si>
  <si>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</si>
  <si>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</si>
  <si>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</si>
  <si>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</si>
  <si>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</si>
  <si>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</si>
  <si>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</si>
  <si>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</si>
  <si>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</si>
  <si>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</si>
  <si>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</si>
  <si>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</si>
  <si>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</si>
  <si>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</si>
  <si>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</si>
  <si>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</si>
  <si>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</si>
  <si>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</si>
  <si>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</si>
  <si>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</si>
  <si>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</si>
  <si>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</si>
  <si>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</si>
  <si>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</si>
  <si>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</si>
  <si>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</si>
  <si>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</si>
  <si>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</si>
  <si>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</si>
  <si>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</si>
  <si>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</si>
  <si>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</si>
  <si>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</si>
  <si>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</si>
  <si>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</si>
  <si>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</si>
  <si>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</si>
  <si>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</si>
  <si>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</si>
  <si>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</si>
  <si>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</si>
  <si>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</si>
  <si>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</si>
  <si>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</si>
  <si>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</si>
  <si>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</si>
  <si>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</si>
  <si>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</si>
  <si>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</si>
  <si>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</si>
  <si>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</si>
  <si>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</si>
  <si>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</si>
  <si>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</si>
  <si>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</si>
  <si>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</si>
  <si>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</si>
  <si>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</si>
  <si>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</si>
  <si>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</si>
  <si>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</si>
  <si>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</si>
  <si>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</si>
  <si>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</si>
  <si>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</si>
  <si>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</si>
  <si>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</si>
  <si>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</si>
  <si>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</si>
  <si>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</si>
  <si>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</si>
  <si>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</si>
  <si>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</si>
  <si>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</si>
  <si>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</si>
  <si>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</si>
  <si>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</si>
  <si>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</si>
  <si>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</si>
  <si>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</si>
  <si>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</si>
  <si>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</si>
  <si>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</si>
  <si>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</si>
  <si>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</si>
  <si>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</si>
  <si>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</si>
  <si>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</si>
  <si>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</si>
  <si>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</si>
  <si>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</si>
  <si>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</si>
  <si>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</si>
  <si>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</si>
  <si>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</si>
  <si>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</si>
  <si>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</si>
  <si>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</si>
  <si>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</si>
  <si>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</si>
  <si>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</si>
  <si>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</si>
  <si>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</si>
  <si>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</si>
  <si>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</si>
  <si>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</si>
  <si>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</si>
  <si>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</si>
  <si>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</si>
  <si>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</si>
  <si>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</si>
  <si>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</si>
  <si>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</si>
  <si>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</si>
  <si>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</si>
  <si>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</si>
  <si>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</si>
  <si>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</si>
  <si>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</si>
  <si>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</si>
  <si>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</si>
  <si>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</si>
  <si>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</si>
  <si>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</si>
  <si>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</si>
  <si>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</si>
  <si>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</si>
  <si>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</si>
  <si>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</si>
  <si>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</si>
  <si>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</si>
  <si>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</si>
  <si>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</si>
  <si>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</si>
  <si>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</si>
  <si>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</si>
  <si>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</si>
  <si>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</si>
  <si>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</si>
  <si>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</si>
  <si>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</si>
  <si>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</si>
  <si>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</si>
  <si>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</si>
  <si>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</si>
  <si>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</si>
  <si>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</si>
  <si>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</si>
  <si>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</si>
  <si>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</si>
  <si>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</si>
  <si>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</si>
  <si>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</si>
  <si>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</si>
  <si>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</si>
  <si>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</si>
  <si>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</si>
  <si>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</si>
  <si>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</si>
  <si>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</si>
  <si>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</si>
  <si>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</si>
  <si>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</si>
  <si>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</si>
  <si>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</si>
  <si>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</si>
  <si>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</si>
  <si>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</si>
  <si>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</si>
  <si>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</si>
  <si>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</si>
  <si>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</si>
  <si>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</si>
  <si>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</si>
  <si>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</si>
  <si>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</si>
  <si>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</si>
  <si>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</si>
  <si>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</si>
  <si>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</si>
  <si>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</si>
  <si>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</si>
  <si>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</si>
  <si>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</si>
  <si>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</si>
  <si>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</si>
  <si>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</si>
  <si>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</si>
  <si>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</si>
  <si>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</si>
  <si>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</si>
  <si>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</si>
  <si>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</si>
  <si>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</si>
  <si>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</si>
  <si>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</si>
  <si>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</si>
  <si>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</si>
  <si>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</si>
  <si>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</si>
  <si>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</si>
  <si>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</si>
  <si>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</si>
  <si>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</si>
  <si>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</si>
  <si>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</si>
  <si>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</si>
  <si>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</si>
  <si>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</si>
  <si>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</si>
  <si>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</si>
  <si>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</si>
  <si>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</si>
  <si>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</si>
  <si>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</si>
  <si>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</si>
  <si>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</si>
  <si>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</si>
  <si>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</si>
  <si>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</si>
  <si>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</si>
  <si>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</si>
  <si>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</si>
  <si>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</si>
  <si>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</si>
  <si>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</si>
  <si>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</si>
  <si>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</si>
  <si>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</si>
  <si>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</si>
  <si>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</si>
  <si>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</si>
  <si>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</si>
  <si>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</si>
  <si>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</si>
  <si>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</si>
  <si>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</si>
  <si>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</si>
  <si>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</si>
  <si>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</si>
  <si>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</si>
  <si>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</si>
  <si>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</si>
  <si>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</si>
  <si>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</si>
  <si>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</si>
  <si>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</si>
  <si>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</si>
  <si>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</si>
  <si>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</si>
  <si>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</si>
  <si>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</si>
  <si>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</si>
  <si>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</si>
  <si>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</si>
  <si>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</si>
  <si>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</si>
  <si>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</si>
  <si>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</si>
  <si>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</si>
  <si>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</si>
  <si>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</si>
  <si>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</si>
  <si>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</si>
  <si>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</si>
  <si>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</si>
  <si>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</si>
  <si>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</si>
  <si>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</si>
  <si>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</si>
  <si>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</si>
  <si>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</si>
  <si>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</si>
  <si>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</si>
  <si>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</si>
  <si>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</si>
  <si>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</si>
  <si>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</si>
  <si>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</si>
  <si>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</si>
  <si>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</si>
  <si>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</si>
  <si>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</si>
  <si>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</si>
  <si>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</si>
  <si>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</si>
  <si>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</si>
  <si>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</si>
  <si>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</si>
  <si>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</si>
  <si>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</si>
  <si>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</si>
  <si>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</si>
  <si>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</si>
  <si>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</si>
  <si>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</si>
  <si>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</si>
  <si>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</si>
  <si>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</si>
  <si>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</si>
  <si>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</si>
  <si>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</si>
  <si>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</si>
  <si>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</si>
  <si>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</si>
  <si>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</si>
  <si>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</si>
  <si>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</si>
  <si>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</si>
  <si>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</si>
  <si>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</si>
  <si>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</si>
  <si>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</si>
  <si>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</si>
  <si>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</si>
  <si>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</si>
  <si>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</si>
  <si>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</si>
  <si>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</si>
  <si>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32003</t>
  </si>
  <si>
    <t>DIKSMUIDE</t>
  </si>
  <si>
    <t>referentietaak LNE (2017); Jaarverslag De Lijn</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</si>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</sst>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148558.72601008278</c:v>
                </c:pt>
                <c:pt idx="1">
                  <c:v>61174.720076594574</c:v>
                </c:pt>
                <c:pt idx="2">
                  <c:v>1004.341</c:v>
                </c:pt>
                <c:pt idx="3">
                  <c:v>50565.144966849344</c:v>
                </c:pt>
                <c:pt idx="4">
                  <c:v>49921.311224238554</c:v>
                </c:pt>
                <c:pt idx="5">
                  <c:v>140251.55067741623</c:v>
                </c:pt>
                <c:pt idx="6">
                  <c:v>1915.5688515908159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148558.72601008278</c:v>
                </c:pt>
                <c:pt idx="1">
                  <c:v>61174.720076594574</c:v>
                </c:pt>
                <c:pt idx="2">
                  <c:v>1004.341</c:v>
                </c:pt>
                <c:pt idx="3">
                  <c:v>50565.144966849344</c:v>
                </c:pt>
                <c:pt idx="4">
                  <c:v>49921.311224238554</c:v>
                </c:pt>
                <c:pt idx="5">
                  <c:v>140251.55067741623</c:v>
                </c:pt>
                <c:pt idx="6">
                  <c:v>1915.5688515908159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24826.320003204262</c:v>
                </c:pt>
                <c:pt idx="1">
                  <c:v>10941.953994244737</c:v>
                </c:pt>
                <c:pt idx="2">
                  <c:v>189.6300821748317</c:v>
                </c:pt>
                <c:pt idx="3">
                  <c:v>12802.855447287675</c:v>
                </c:pt>
                <c:pt idx="4">
                  <c:v>10382.434344780429</c:v>
                </c:pt>
                <c:pt idx="5">
                  <c:v>34889.981005800757</c:v>
                </c:pt>
                <c:pt idx="6">
                  <c:v>484.53084247064476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24826.320003204262</c:v>
                </c:pt>
                <c:pt idx="1">
                  <c:v>10941.953994244737</c:v>
                </c:pt>
                <c:pt idx="2">
                  <c:v>189.6300821748317</c:v>
                </c:pt>
                <c:pt idx="3">
                  <c:v>12802.855447287675</c:v>
                </c:pt>
                <c:pt idx="4">
                  <c:v>10382.434344780429</c:v>
                </c:pt>
                <c:pt idx="5">
                  <c:v>34889.981005800757</c:v>
                </c:pt>
                <c:pt idx="6">
                  <c:v>484.53084247064476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32003</v>
      </c>
      <c r="B6" s="390"/>
      <c r="C6" s="391"/>
    </row>
    <row r="7" spans="1:7" s="388" customFormat="1" ht="15.75" customHeight="1">
      <c r="A7" s="392" t="str">
        <f>txtMunicipality</f>
        <v>DIKSMUIDE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0.18881045598539908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0.18881045598539908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7163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12260.26</v>
      </c>
      <c r="C14" s="330"/>
      <c r="D14" s="330"/>
      <c r="E14" s="330"/>
      <c r="F14" s="330"/>
    </row>
    <row r="15" spans="1:6">
      <c r="A15" s="1298" t="s">
        <v>183</v>
      </c>
      <c r="B15" s="1299">
        <v>191</v>
      </c>
      <c r="C15" s="330"/>
      <c r="D15" s="330"/>
      <c r="E15" s="330"/>
      <c r="F15" s="330"/>
    </row>
    <row r="16" spans="1:6">
      <c r="A16" s="1298" t="s">
        <v>6</v>
      </c>
      <c r="B16" s="1299">
        <v>7455</v>
      </c>
      <c r="C16" s="330"/>
      <c r="D16" s="330"/>
      <c r="E16" s="330"/>
      <c r="F16" s="330"/>
    </row>
    <row r="17" spans="1:6">
      <c r="A17" s="1298" t="s">
        <v>7</v>
      </c>
      <c r="B17" s="1299">
        <v>3290</v>
      </c>
      <c r="C17" s="330"/>
      <c r="D17" s="330"/>
      <c r="E17" s="330"/>
      <c r="F17" s="330"/>
    </row>
    <row r="18" spans="1:6">
      <c r="A18" s="1298" t="s">
        <v>8</v>
      </c>
      <c r="B18" s="1299">
        <v>6043</v>
      </c>
      <c r="C18" s="330"/>
      <c r="D18" s="330"/>
      <c r="E18" s="330"/>
      <c r="F18" s="330"/>
    </row>
    <row r="19" spans="1:6">
      <c r="A19" s="1298" t="s">
        <v>9</v>
      </c>
      <c r="B19" s="1299">
        <v>6024</v>
      </c>
      <c r="C19" s="330"/>
      <c r="D19" s="330"/>
      <c r="E19" s="330"/>
      <c r="F19" s="330"/>
    </row>
    <row r="20" spans="1:6">
      <c r="A20" s="1298" t="s">
        <v>10</v>
      </c>
      <c r="B20" s="1299">
        <v>3862</v>
      </c>
      <c r="C20" s="330"/>
      <c r="D20" s="330"/>
      <c r="E20" s="330"/>
      <c r="F20" s="330"/>
    </row>
    <row r="21" spans="1:6">
      <c r="A21" s="1298" t="s">
        <v>11</v>
      </c>
      <c r="B21" s="1299">
        <v>58474</v>
      </c>
      <c r="C21" s="330"/>
      <c r="D21" s="330"/>
      <c r="E21" s="330"/>
      <c r="F21" s="330"/>
    </row>
    <row r="22" spans="1:6">
      <c r="A22" s="1298" t="s">
        <v>12</v>
      </c>
      <c r="B22" s="1299">
        <v>110024</v>
      </c>
      <c r="C22" s="330"/>
      <c r="D22" s="330"/>
      <c r="E22" s="330"/>
      <c r="F22" s="330"/>
    </row>
    <row r="23" spans="1:6">
      <c r="A23" s="1298" t="s">
        <v>13</v>
      </c>
      <c r="B23" s="1299">
        <v>1729</v>
      </c>
      <c r="C23" s="330"/>
      <c r="D23" s="330"/>
      <c r="E23" s="330"/>
      <c r="F23" s="330"/>
    </row>
    <row r="24" spans="1:6">
      <c r="A24" s="1298" t="s">
        <v>14</v>
      </c>
      <c r="B24" s="1299">
        <v>99</v>
      </c>
      <c r="C24" s="330"/>
      <c r="D24" s="330"/>
      <c r="E24" s="330"/>
      <c r="F24" s="330"/>
    </row>
    <row r="25" spans="1:6">
      <c r="A25" s="1298" t="s">
        <v>15</v>
      </c>
      <c r="B25" s="1299">
        <v>12508</v>
      </c>
      <c r="C25" s="330"/>
      <c r="D25" s="330"/>
      <c r="E25" s="330"/>
      <c r="F25" s="330"/>
    </row>
    <row r="26" spans="1:6">
      <c r="A26" s="1298" t="s">
        <v>16</v>
      </c>
      <c r="B26" s="1299">
        <v>1460</v>
      </c>
      <c r="C26" s="330"/>
      <c r="D26" s="330"/>
      <c r="E26" s="330"/>
      <c r="F26" s="330"/>
    </row>
    <row r="27" spans="1:6">
      <c r="A27" s="1298" t="s">
        <v>17</v>
      </c>
      <c r="B27" s="1299">
        <v>11</v>
      </c>
      <c r="C27" s="330"/>
      <c r="D27" s="330"/>
      <c r="E27" s="330"/>
      <c r="F27" s="330"/>
    </row>
    <row r="28" spans="1:6" s="43" customFormat="1">
      <c r="A28" s="1300" t="s">
        <v>18</v>
      </c>
      <c r="B28" s="1301">
        <v>413355</v>
      </c>
      <c r="C28" s="336"/>
      <c r="D28" s="336"/>
      <c r="E28" s="336"/>
      <c r="F28" s="336"/>
    </row>
    <row r="29" spans="1:6">
      <c r="A29" s="1300" t="s">
        <v>705</v>
      </c>
      <c r="B29" s="1301">
        <v>161</v>
      </c>
      <c r="C29" s="336"/>
      <c r="D29" s="336"/>
      <c r="E29" s="336"/>
      <c r="F29" s="336"/>
    </row>
    <row r="30" spans="1:6">
      <c r="A30" s="1293" t="s">
        <v>706</v>
      </c>
      <c r="B30" s="1302">
        <v>27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11</v>
      </c>
      <c r="F36" s="1299">
        <v>63578</v>
      </c>
    </row>
    <row r="37" spans="1:6">
      <c r="A37" s="1298" t="s">
        <v>24</v>
      </c>
      <c r="B37" s="1298" t="s">
        <v>27</v>
      </c>
      <c r="C37" s="1299">
        <v>0</v>
      </c>
      <c r="D37" s="1299">
        <v>0</v>
      </c>
      <c r="E37" s="1299">
        <v>0</v>
      </c>
      <c r="F37" s="1299">
        <v>0</v>
      </c>
    </row>
    <row r="38" spans="1:6">
      <c r="A38" s="1298" t="s">
        <v>24</v>
      </c>
      <c r="B38" s="1298" t="s">
        <v>28</v>
      </c>
      <c r="C38" s="1299">
        <v>1</v>
      </c>
      <c r="D38" s="1299">
        <v>1022804.057</v>
      </c>
      <c r="E38" s="1299">
        <v>0</v>
      </c>
      <c r="F38" s="1299">
        <v>0</v>
      </c>
    </row>
    <row r="39" spans="1:6">
      <c r="A39" s="1298" t="s">
        <v>29</v>
      </c>
      <c r="B39" s="1298" t="s">
        <v>30</v>
      </c>
      <c r="C39" s="1299">
        <v>4433</v>
      </c>
      <c r="D39" s="1299">
        <v>61471853.75</v>
      </c>
      <c r="E39" s="1299">
        <v>6622</v>
      </c>
      <c r="F39" s="1299">
        <v>22892468.115000002</v>
      </c>
    </row>
    <row r="40" spans="1:6">
      <c r="A40" s="1298" t="s">
        <v>29</v>
      </c>
      <c r="B40" s="1298" t="s">
        <v>28</v>
      </c>
      <c r="C40" s="1299">
        <v>1</v>
      </c>
      <c r="D40" s="1299">
        <v>18431</v>
      </c>
      <c r="E40" s="1299">
        <v>1</v>
      </c>
      <c r="F40" s="1299">
        <v>6226</v>
      </c>
    </row>
    <row r="41" spans="1:6">
      <c r="A41" s="1298" t="s">
        <v>31</v>
      </c>
      <c r="B41" s="1298" t="s">
        <v>32</v>
      </c>
      <c r="C41" s="1299">
        <v>109</v>
      </c>
      <c r="D41" s="1299">
        <v>5046538.1710000001</v>
      </c>
      <c r="E41" s="1299">
        <v>247</v>
      </c>
      <c r="F41" s="1299">
        <v>13852774.207</v>
      </c>
    </row>
    <row r="42" spans="1:6">
      <c r="A42" s="1298" t="s">
        <v>31</v>
      </c>
      <c r="B42" s="1298" t="s">
        <v>33</v>
      </c>
      <c r="C42" s="1299">
        <v>0</v>
      </c>
      <c r="D42" s="1299">
        <v>0</v>
      </c>
      <c r="E42" s="1299">
        <v>3</v>
      </c>
      <c r="F42" s="1299">
        <v>19627</v>
      </c>
    </row>
    <row r="43" spans="1:6">
      <c r="A43" s="1298" t="s">
        <v>31</v>
      </c>
      <c r="B43" s="1298" t="s">
        <v>34</v>
      </c>
      <c r="C43" s="1299">
        <v>0</v>
      </c>
      <c r="D43" s="1299">
        <v>0</v>
      </c>
      <c r="E43" s="1299">
        <v>0</v>
      </c>
      <c r="F43" s="1299">
        <v>0</v>
      </c>
    </row>
    <row r="44" spans="1:6">
      <c r="A44" s="1298" t="s">
        <v>31</v>
      </c>
      <c r="B44" s="1298" t="s">
        <v>35</v>
      </c>
      <c r="C44" s="1299">
        <v>21</v>
      </c>
      <c r="D44" s="1299">
        <v>1904990</v>
      </c>
      <c r="E44" s="1299">
        <v>50</v>
      </c>
      <c r="F44" s="1299">
        <v>4314277.6780000003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4</v>
      </c>
      <c r="D47" s="1299">
        <v>224822</v>
      </c>
      <c r="E47" s="1299">
        <v>5</v>
      </c>
      <c r="F47" s="1299">
        <v>306926</v>
      </c>
    </row>
    <row r="48" spans="1:6">
      <c r="A48" s="1298" t="s">
        <v>31</v>
      </c>
      <c r="B48" s="1298" t="s">
        <v>28</v>
      </c>
      <c r="C48" s="1299">
        <v>2</v>
      </c>
      <c r="D48" s="1299">
        <v>94144</v>
      </c>
      <c r="E48" s="1299">
        <v>3</v>
      </c>
      <c r="F48" s="1299">
        <v>346262</v>
      </c>
    </row>
    <row r="49" spans="1:6">
      <c r="A49" s="1298" t="s">
        <v>31</v>
      </c>
      <c r="B49" s="1298" t="s">
        <v>39</v>
      </c>
      <c r="C49" s="1299">
        <v>0</v>
      </c>
      <c r="D49" s="1299">
        <v>0</v>
      </c>
      <c r="E49" s="1299">
        <v>0</v>
      </c>
      <c r="F49" s="1299">
        <v>0</v>
      </c>
    </row>
    <row r="50" spans="1:6">
      <c r="A50" s="1298" t="s">
        <v>31</v>
      </c>
      <c r="B50" s="1298" t="s">
        <v>40</v>
      </c>
      <c r="C50" s="1299">
        <v>20</v>
      </c>
      <c r="D50" s="1299">
        <v>1647528.55</v>
      </c>
      <c r="E50" s="1299">
        <v>33</v>
      </c>
      <c r="F50" s="1299">
        <v>5459971.5499999998</v>
      </c>
    </row>
    <row r="51" spans="1:6">
      <c r="A51" s="1298" t="s">
        <v>41</v>
      </c>
      <c r="B51" s="1298" t="s">
        <v>42</v>
      </c>
      <c r="C51" s="1299">
        <v>41</v>
      </c>
      <c r="D51" s="1299">
        <v>1038050.5</v>
      </c>
      <c r="E51" s="1299">
        <v>384</v>
      </c>
      <c r="F51" s="1299">
        <v>10165133.436000001</v>
      </c>
    </row>
    <row r="52" spans="1:6">
      <c r="A52" s="1298" t="s">
        <v>41</v>
      </c>
      <c r="B52" s="1298" t="s">
        <v>28</v>
      </c>
      <c r="C52" s="1299">
        <v>0</v>
      </c>
      <c r="D52" s="1299">
        <v>0</v>
      </c>
      <c r="E52" s="1299">
        <v>1</v>
      </c>
      <c r="F52" s="1299">
        <v>31625.937999999998</v>
      </c>
    </row>
    <row r="53" spans="1:6">
      <c r="A53" s="1298" t="s">
        <v>43</v>
      </c>
      <c r="B53" s="1298" t="s">
        <v>44</v>
      </c>
      <c r="C53" s="1299">
        <v>68</v>
      </c>
      <c r="D53" s="1299">
        <v>2558981.1</v>
      </c>
      <c r="E53" s="1299">
        <v>158</v>
      </c>
      <c r="F53" s="1299">
        <v>616775.9</v>
      </c>
    </row>
    <row r="54" spans="1:6">
      <c r="A54" s="1298" t="s">
        <v>45</v>
      </c>
      <c r="B54" s="1298" t="s">
        <v>46</v>
      </c>
      <c r="C54" s="1299">
        <v>0</v>
      </c>
      <c r="D54" s="1299">
        <v>0</v>
      </c>
      <c r="E54" s="1299">
        <v>1</v>
      </c>
      <c r="F54" s="1299">
        <v>1004341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66</v>
      </c>
      <c r="D57" s="1299">
        <v>3680921.0430000001</v>
      </c>
      <c r="E57" s="1299">
        <v>137</v>
      </c>
      <c r="F57" s="1299">
        <v>9332990.7290000003</v>
      </c>
    </row>
    <row r="58" spans="1:6">
      <c r="A58" s="1298" t="s">
        <v>48</v>
      </c>
      <c r="B58" s="1298" t="s">
        <v>50</v>
      </c>
      <c r="C58" s="1299">
        <v>59</v>
      </c>
      <c r="D58" s="1299">
        <v>2476969.5</v>
      </c>
      <c r="E58" s="1299">
        <v>83</v>
      </c>
      <c r="F58" s="1299">
        <v>1628206.071</v>
      </c>
    </row>
    <row r="59" spans="1:6">
      <c r="A59" s="1298" t="s">
        <v>48</v>
      </c>
      <c r="B59" s="1298" t="s">
        <v>51</v>
      </c>
      <c r="C59" s="1299">
        <v>180</v>
      </c>
      <c r="D59" s="1299">
        <v>5304496.55</v>
      </c>
      <c r="E59" s="1299">
        <v>348</v>
      </c>
      <c r="F59" s="1299">
        <v>9233526.1209999993</v>
      </c>
    </row>
    <row r="60" spans="1:6">
      <c r="A60" s="1298" t="s">
        <v>48</v>
      </c>
      <c r="B60" s="1298" t="s">
        <v>52</v>
      </c>
      <c r="C60" s="1299">
        <v>76</v>
      </c>
      <c r="D60" s="1299">
        <v>3858779.9</v>
      </c>
      <c r="E60" s="1299">
        <v>108</v>
      </c>
      <c r="F60" s="1299">
        <v>2543805.142</v>
      </c>
    </row>
    <row r="61" spans="1:6">
      <c r="A61" s="1298" t="s">
        <v>48</v>
      </c>
      <c r="B61" s="1298" t="s">
        <v>53</v>
      </c>
      <c r="C61" s="1299">
        <v>180</v>
      </c>
      <c r="D61" s="1299">
        <v>8148016.75</v>
      </c>
      <c r="E61" s="1299">
        <v>387</v>
      </c>
      <c r="F61" s="1299">
        <v>4426576.4780000001</v>
      </c>
    </row>
    <row r="62" spans="1:6">
      <c r="A62" s="1298" t="s">
        <v>48</v>
      </c>
      <c r="B62" s="1298" t="s">
        <v>54</v>
      </c>
      <c r="C62" s="1299">
        <v>17</v>
      </c>
      <c r="D62" s="1299">
        <v>1921091.75</v>
      </c>
      <c r="E62" s="1299">
        <v>28</v>
      </c>
      <c r="F62" s="1299">
        <v>1005993.357</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23031</v>
      </c>
      <c r="E65" s="1299">
        <v>0</v>
      </c>
      <c r="F65" s="1299">
        <v>0</v>
      </c>
    </row>
    <row r="66" spans="1:6">
      <c r="A66" s="1298" t="s">
        <v>55</v>
      </c>
      <c r="B66" s="1298" t="s">
        <v>57</v>
      </c>
      <c r="C66" s="1299">
        <v>0</v>
      </c>
      <c r="D66" s="1299">
        <v>0</v>
      </c>
      <c r="E66" s="1299">
        <v>23</v>
      </c>
      <c r="F66" s="1299">
        <v>56561.892</v>
      </c>
    </row>
    <row r="67" spans="1:6">
      <c r="A67" s="1300" t="s">
        <v>55</v>
      </c>
      <c r="B67" s="1300" t="s">
        <v>58</v>
      </c>
      <c r="C67" s="1299">
        <v>0</v>
      </c>
      <c r="D67" s="1299">
        <v>0</v>
      </c>
      <c r="E67" s="1299">
        <v>0</v>
      </c>
      <c r="F67" s="1299">
        <v>0</v>
      </c>
    </row>
    <row r="68" spans="1:6">
      <c r="A68" s="1293" t="s">
        <v>55</v>
      </c>
      <c r="B68" s="1293" t="s">
        <v>59</v>
      </c>
      <c r="C68" s="1302">
        <v>8</v>
      </c>
      <c r="D68" s="1302">
        <v>219080</v>
      </c>
      <c r="E68" s="1302">
        <v>21</v>
      </c>
      <c r="F68" s="1302">
        <v>498217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131467925</v>
      </c>
      <c r="E73" s="450"/>
      <c r="F73" s="330"/>
    </row>
    <row r="74" spans="1:6">
      <c r="A74" s="1298" t="s">
        <v>63</v>
      </c>
      <c r="B74" s="1298" t="s">
        <v>647</v>
      </c>
      <c r="C74" s="1312" t="s">
        <v>649</v>
      </c>
      <c r="D74" s="1313">
        <v>13152074.5</v>
      </c>
      <c r="E74" s="450"/>
      <c r="F74" s="330"/>
    </row>
    <row r="75" spans="1:6">
      <c r="A75" s="1298" t="s">
        <v>64</v>
      </c>
      <c r="B75" s="1298" t="s">
        <v>646</v>
      </c>
      <c r="C75" s="1312" t="s">
        <v>650</v>
      </c>
      <c r="D75" s="1313">
        <v>22722770</v>
      </c>
      <c r="E75" s="450"/>
      <c r="F75" s="330"/>
    </row>
    <row r="76" spans="1:6">
      <c r="A76" s="1298" t="s">
        <v>64</v>
      </c>
      <c r="B76" s="1298" t="s">
        <v>647</v>
      </c>
      <c r="C76" s="1312" t="s">
        <v>651</v>
      </c>
      <c r="D76" s="1313">
        <v>664460.5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525839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2830.2101131397444</v>
      </c>
      <c r="C90" s="330"/>
      <c r="D90" s="330"/>
      <c r="E90" s="330"/>
      <c r="F90" s="330"/>
    </row>
    <row r="91" spans="1:6">
      <c r="A91" s="1298" t="s">
        <v>67</v>
      </c>
      <c r="B91" s="1299">
        <v>4256.3841551316191</v>
      </c>
      <c r="C91" s="330"/>
      <c r="D91" s="330"/>
      <c r="E91" s="330"/>
      <c r="F91" s="330"/>
    </row>
    <row r="92" spans="1:6">
      <c r="A92" s="1293" t="s">
        <v>68</v>
      </c>
      <c r="B92" s="1294">
        <v>4354.6693865631278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2561</v>
      </c>
      <c r="C97" s="330"/>
      <c r="D97" s="330"/>
      <c r="E97" s="330"/>
      <c r="F97" s="330"/>
    </row>
    <row r="98" spans="1:6">
      <c r="A98" s="1298" t="s">
        <v>71</v>
      </c>
      <c r="B98" s="1299">
        <v>4</v>
      </c>
      <c r="C98" s="330"/>
      <c r="D98" s="330"/>
      <c r="E98" s="330"/>
      <c r="F98" s="330"/>
    </row>
    <row r="99" spans="1:6">
      <c r="A99" s="1298" t="s">
        <v>72</v>
      </c>
      <c r="B99" s="1299">
        <v>213</v>
      </c>
      <c r="C99" s="330"/>
      <c r="D99" s="330"/>
      <c r="E99" s="330"/>
      <c r="F99" s="330"/>
    </row>
    <row r="100" spans="1:6">
      <c r="A100" s="1298" t="s">
        <v>73</v>
      </c>
      <c r="B100" s="1299">
        <v>556</v>
      </c>
      <c r="C100" s="330"/>
      <c r="D100" s="330"/>
      <c r="E100" s="330"/>
      <c r="F100" s="330"/>
    </row>
    <row r="101" spans="1:6">
      <c r="A101" s="1298" t="s">
        <v>74</v>
      </c>
      <c r="B101" s="1299">
        <v>182</v>
      </c>
      <c r="C101" s="330"/>
      <c r="D101" s="330"/>
      <c r="E101" s="330"/>
      <c r="F101" s="330"/>
    </row>
    <row r="102" spans="1:6">
      <c r="A102" s="1298" t="s">
        <v>75</v>
      </c>
      <c r="B102" s="1299">
        <v>108</v>
      </c>
      <c r="C102" s="330"/>
      <c r="D102" s="330"/>
      <c r="E102" s="330"/>
      <c r="F102" s="330"/>
    </row>
    <row r="103" spans="1:6">
      <c r="A103" s="1298" t="s">
        <v>76</v>
      </c>
      <c r="B103" s="1299">
        <v>282</v>
      </c>
      <c r="C103" s="330"/>
      <c r="D103" s="330"/>
      <c r="E103" s="330"/>
      <c r="F103" s="330"/>
    </row>
    <row r="104" spans="1:6">
      <c r="A104" s="1298" t="s">
        <v>77</v>
      </c>
      <c r="B104" s="1299">
        <v>2006</v>
      </c>
      <c r="C104" s="330"/>
      <c r="D104" s="330"/>
      <c r="E104" s="330"/>
      <c r="F104" s="330"/>
    </row>
    <row r="105" spans="1:6">
      <c r="A105" s="1293" t="s">
        <v>78</v>
      </c>
      <c r="B105" s="1302">
        <v>12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21</v>
      </c>
      <c r="C123" s="1299">
        <v>28</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204</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20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91517.634309519155</v>
      </c>
      <c r="C3" s="43" t="s">
        <v>169</v>
      </c>
      <c r="D3" s="43"/>
      <c r="E3" s="154"/>
      <c r="F3" s="43"/>
      <c r="G3" s="43"/>
      <c r="H3" s="43"/>
      <c r="I3" s="43"/>
      <c r="J3" s="43"/>
      <c r="K3" s="96"/>
    </row>
    <row r="4" spans="1:11">
      <c r="A4" s="358" t="s">
        <v>170</v>
      </c>
      <c r="B4" s="49">
        <f>IF(ISERROR('SEAP template'!B78+'SEAP template'!C78),0,'SEAP template'!B78+'SEAP template'!C78)</f>
        <v>13329.91365483449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0.18881045598539908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268.07142857142856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1004.341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1004.341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0.18881045598539908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189.6300821748317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22898.694115000002</v>
      </c>
      <c r="C5" s="17">
        <f>IF(ISERROR('Eigen informatie GS &amp; warmtenet'!B59),0,'Eigen informatie GS &amp; warmtenet'!B59)</f>
        <v>0</v>
      </c>
      <c r="D5" s="30">
        <f>(SUM(HH_hh_gas_kWh,HH_rest_gas_kWh)/1000)*0.902</f>
        <v>55464.236844500003</v>
      </c>
      <c r="E5" s="17">
        <f>B46*B57</f>
        <v>27660.922206391271</v>
      </c>
      <c r="F5" s="17">
        <f>B51*B62</f>
        <v>6647.4670837451849</v>
      </c>
      <c r="G5" s="18"/>
      <c r="H5" s="17"/>
      <c r="I5" s="17"/>
      <c r="J5" s="17">
        <f>B50*B61+C50*C61</f>
        <v>1247.1141183664618</v>
      </c>
      <c r="K5" s="17"/>
      <c r="L5" s="17"/>
      <c r="M5" s="17"/>
      <c r="N5" s="17">
        <f>B48*B59+C48*C59</f>
        <v>29489.752890215976</v>
      </c>
      <c r="O5" s="17">
        <f>B69*B70*B71</f>
        <v>462.26226511717846</v>
      </c>
      <c r="P5" s="17">
        <f>B77*B78*B79/1000-B77*B78*B79/1000/B80</f>
        <v>431.89233161508594</v>
      </c>
    </row>
    <row r="6" spans="1:16">
      <c r="A6" s="16" t="s">
        <v>611</v>
      </c>
      <c r="B6" s="783">
        <f>kWh_PV_kleiner_dan_10kW</f>
        <v>4256.3841551316191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27155.07827013162</v>
      </c>
      <c r="C8" s="21">
        <f>C5</f>
        <v>0</v>
      </c>
      <c r="D8" s="21">
        <f>D5</f>
        <v>55464.236844500003</v>
      </c>
      <c r="E8" s="21">
        <f>E5</f>
        <v>27660.922206391271</v>
      </c>
      <c r="F8" s="21">
        <f>F5</f>
        <v>6647.4670837451849</v>
      </c>
      <c r="G8" s="21"/>
      <c r="H8" s="21"/>
      <c r="I8" s="21"/>
      <c r="J8" s="21">
        <f>J5</f>
        <v>1247.1141183664618</v>
      </c>
      <c r="K8" s="21"/>
      <c r="L8" s="21">
        <f>L5</f>
        <v>0</v>
      </c>
      <c r="M8" s="21">
        <f>M5</f>
        <v>0</v>
      </c>
      <c r="N8" s="21">
        <f>N5</f>
        <v>29489.752890215976</v>
      </c>
      <c r="O8" s="21">
        <f>O5</f>
        <v>462.26226511717846</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0.18881045598539908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5127.1627105027537</v>
      </c>
      <c r="C12" s="23">
        <f ca="1">C10*C8</f>
        <v>0</v>
      </c>
      <c r="D12" s="23">
        <f>D8*D10</f>
        <v>11203.775842589001</v>
      </c>
      <c r="E12" s="23">
        <f>E10*E8</f>
        <v>6279.0293408508187</v>
      </c>
      <c r="F12" s="23">
        <f>F10*F8</f>
        <v>1774.8737113599645</v>
      </c>
      <c r="G12" s="23"/>
      <c r="H12" s="23"/>
      <c r="I12" s="23"/>
      <c r="J12" s="23">
        <f>J10*J8</f>
        <v>441.47839790172742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2561</v>
      </c>
      <c r="C18" s="166" t="s">
        <v>110</v>
      </c>
      <c r="D18" s="228"/>
      <c r="E18" s="15"/>
    </row>
    <row r="19" spans="1:7">
      <c r="A19" s="171" t="s">
        <v>71</v>
      </c>
      <c r="B19" s="37">
        <f>aantalw2001_ander</f>
        <v>4</v>
      </c>
      <c r="C19" s="166" t="s">
        <v>110</v>
      </c>
      <c r="D19" s="229"/>
      <c r="E19" s="15"/>
    </row>
    <row r="20" spans="1:7">
      <c r="A20" s="171" t="s">
        <v>72</v>
      </c>
      <c r="B20" s="37">
        <f>aantalw2001_propaan</f>
        <v>213</v>
      </c>
      <c r="C20" s="167">
        <f>IF(ISERROR(B20/SUM($B$20,$B$21,$B$22)*100),0,B20/SUM($B$20,$B$21,$B$22)*100)</f>
        <v>22.397476340694006</v>
      </c>
      <c r="D20" s="229"/>
      <c r="E20" s="15"/>
    </row>
    <row r="21" spans="1:7">
      <c r="A21" s="171" t="s">
        <v>73</v>
      </c>
      <c r="B21" s="37">
        <f>aantalw2001_elektriciteit</f>
        <v>556</v>
      </c>
      <c r="C21" s="167">
        <f>IF(ISERROR(B21/SUM($B$20,$B$21,$B$22)*100),0,B21/SUM($B$20,$B$21,$B$22)*100)</f>
        <v>58.464773922187177</v>
      </c>
      <c r="D21" s="229"/>
      <c r="E21" s="15"/>
    </row>
    <row r="22" spans="1:7">
      <c r="A22" s="171" t="s">
        <v>74</v>
      </c>
      <c r="B22" s="37">
        <f>aantalw2001_hout</f>
        <v>182</v>
      </c>
      <c r="C22" s="167">
        <f>IF(ISERROR(B22/SUM($B$20,$B$21,$B$22)*100),0,B22/SUM($B$20,$B$21,$B$22)*100)</f>
        <v>19.137749737118824</v>
      </c>
      <c r="D22" s="229"/>
      <c r="E22" s="15"/>
    </row>
    <row r="23" spans="1:7">
      <c r="A23" s="171" t="s">
        <v>75</v>
      </c>
      <c r="B23" s="37">
        <f>aantalw2001_niet_gespec</f>
        <v>108</v>
      </c>
      <c r="C23" s="166" t="s">
        <v>110</v>
      </c>
      <c r="D23" s="228"/>
      <c r="E23" s="15"/>
    </row>
    <row r="24" spans="1:7">
      <c r="A24" s="171" t="s">
        <v>76</v>
      </c>
      <c r="B24" s="37">
        <f>aantalw2001_steenkool</f>
        <v>282</v>
      </c>
      <c r="C24" s="166" t="s">
        <v>110</v>
      </c>
      <c r="D24" s="229"/>
      <c r="E24" s="15"/>
    </row>
    <row r="25" spans="1:7">
      <c r="A25" s="171" t="s">
        <v>77</v>
      </c>
      <c r="B25" s="37">
        <f>aantalw2001_stookolie</f>
        <v>2006</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818</v>
      </c>
      <c r="B28" s="37">
        <f>aantalHuishoudens</f>
        <v>7163</v>
      </c>
      <c r="C28" s="36"/>
      <c r="D28" s="228"/>
    </row>
    <row r="29" spans="1:7" s="15" customFormat="1">
      <c r="A29" s="230" t="s">
        <v>819</v>
      </c>
      <c r="B29" s="37">
        <f>SUM(HH_hh_gas_aantal,HH_rest_gas_aantal)</f>
        <v>4434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4434</v>
      </c>
      <c r="C32" s="167">
        <f>IF(ISERROR(B32/SUM($B$32,$B$34,$B$35,$B$36,$B$38,$B$39)*100),0,B32/SUM($B$32,$B$34,$B$35,$B$36,$B$38,$B$39)*100)</f>
        <v>62.257792754844147</v>
      </c>
      <c r="D32" s="233"/>
      <c r="G32" s="15"/>
    </row>
    <row r="33" spans="1:7">
      <c r="A33" s="171" t="s">
        <v>71</v>
      </c>
      <c r="B33" s="34" t="s">
        <v>110</v>
      </c>
      <c r="C33" s="167"/>
      <c r="D33" s="233"/>
      <c r="G33" s="15"/>
    </row>
    <row r="34" spans="1:7">
      <c r="A34" s="171" t="s">
        <v>72</v>
      </c>
      <c r="B34" s="33">
        <f>IF((($B$28-$B$32-$B$39-$B$77-$B$38)*C20/100)&lt;0,0,($B$28-$B$32-$B$39-$B$77-$B$38)*C20/100)</f>
        <v>509.0946372239747</v>
      </c>
      <c r="C34" s="167">
        <f>IF(ISERROR(B34/SUM($B$32,$B$34,$B$35,$B$36,$B$38,$B$39)*100),0,B34/SUM($B$32,$B$34,$B$35,$B$36,$B$38,$B$39)*100)</f>
        <v>7.1481976582978755</v>
      </c>
      <c r="D34" s="233"/>
      <c r="G34" s="15"/>
    </row>
    <row r="35" spans="1:7">
      <c r="A35" s="171" t="s">
        <v>73</v>
      </c>
      <c r="B35" s="33">
        <f>IF((($B$28-$B$32-$B$39-$B$77-$B$38)*C21/100)&lt;0,0,($B$28-$B$32-$B$39-$B$77-$B$38)*C21/100)</f>
        <v>1328.9043112513145</v>
      </c>
      <c r="C35" s="167">
        <f>IF(ISERROR(B35/SUM($B$32,$B$34,$B$35,$B$36,$B$38,$B$39)*100),0,B35/SUM($B$32,$B$34,$B$35,$B$36,$B$38,$B$39)*100)</f>
        <v>18.659145061096808</v>
      </c>
      <c r="D35" s="233"/>
      <c r="G35" s="15"/>
    </row>
    <row r="36" spans="1:7">
      <c r="A36" s="171" t="s">
        <v>74</v>
      </c>
      <c r="B36" s="33">
        <f>IF((($B$28-$B$32-$B$39-$B$77-$B$38)*C22/100)&lt;0,0,($B$28-$B$32-$B$39-$B$77-$B$38)*C22/100)</f>
        <v>435.00105152471087</v>
      </c>
      <c r="C36" s="167">
        <f>IF(ISERROR(B36/SUM($B$32,$B$34,$B$35,$B$36,$B$38,$B$39)*100),0,B36/SUM($B$32,$B$34,$B$35,$B$36,$B$38,$B$39)*100)</f>
        <v>6.1078496423014723</v>
      </c>
      <c r="D36" s="233"/>
      <c r="G36" s="15"/>
    </row>
    <row r="37" spans="1:7">
      <c r="A37" s="171" t="s">
        <v>75</v>
      </c>
      <c r="B37" s="34" t="s">
        <v>110</v>
      </c>
      <c r="C37" s="167"/>
      <c r="D37" s="173"/>
      <c r="G37" s="15"/>
    </row>
    <row r="38" spans="1:7">
      <c r="A38" s="171" t="s">
        <v>76</v>
      </c>
      <c r="B38" s="33">
        <f>IF((B24-(B29-B18)*0.1)&lt;0,0,B24-(B29-B18)*0.1)</f>
        <v>94.699999999999989</v>
      </c>
      <c r="C38" s="167">
        <f>IF(ISERROR(B38/SUM($B$32,$B$34,$B$35,$B$36,$B$38,$B$39)*100),0,B38/SUM($B$32,$B$34,$B$35,$B$36,$B$38,$B$39)*100)</f>
        <v>1.3296826734063465</v>
      </c>
      <c r="D38" s="234"/>
      <c r="G38" s="15"/>
    </row>
    <row r="39" spans="1:7">
      <c r="A39" s="171" t="s">
        <v>77</v>
      </c>
      <c r="B39" s="33">
        <f>IF((B25-(B29-B18))&lt;0,0,B25-(B29-B18)*0.9)</f>
        <v>320.29999999999995</v>
      </c>
      <c r="C39" s="167">
        <f>IF(ISERROR(B39/SUM($B$32,$B$34,$B$35,$B$36,$B$38,$B$39)*100),0,B39/SUM($B$32,$B$34,$B$35,$B$36,$B$38,$B$39)*100)</f>
        <v>4.4973322100533553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4434</v>
      </c>
      <c r="C44" s="34" t="s">
        <v>110</v>
      </c>
      <c r="D44" s="174"/>
    </row>
    <row r="45" spans="1:7">
      <c r="A45" s="171" t="s">
        <v>71</v>
      </c>
      <c r="B45" s="33" t="str">
        <f t="shared" si="0"/>
        <v>-</v>
      </c>
      <c r="C45" s="34" t="s">
        <v>110</v>
      </c>
      <c r="D45" s="174"/>
    </row>
    <row r="46" spans="1:7">
      <c r="A46" s="171" t="s">
        <v>72</v>
      </c>
      <c r="B46" s="33">
        <f t="shared" si="0"/>
        <v>509.0946372239747</v>
      </c>
      <c r="C46" s="34" t="s">
        <v>110</v>
      </c>
      <c r="D46" s="174"/>
    </row>
    <row r="47" spans="1:7">
      <c r="A47" s="171" t="s">
        <v>73</v>
      </c>
      <c r="B47" s="33">
        <f t="shared" si="0"/>
        <v>1328.9043112513145</v>
      </c>
      <c r="C47" s="34" t="s">
        <v>110</v>
      </c>
      <c r="D47" s="174"/>
    </row>
    <row r="48" spans="1:7">
      <c r="A48" s="171" t="s">
        <v>74</v>
      </c>
      <c r="B48" s="33">
        <f t="shared" si="0"/>
        <v>435.00105152471087</v>
      </c>
      <c r="C48" s="33">
        <f>B48*10</f>
        <v>4350.0105152471087</v>
      </c>
      <c r="D48" s="234"/>
    </row>
    <row r="49" spans="1:6">
      <c r="A49" s="171" t="s">
        <v>75</v>
      </c>
      <c r="B49" s="33" t="str">
        <f t="shared" si="0"/>
        <v>-</v>
      </c>
      <c r="C49" s="34" t="s">
        <v>110</v>
      </c>
      <c r="D49" s="234"/>
    </row>
    <row r="50" spans="1:6">
      <c r="A50" s="171" t="s">
        <v>76</v>
      </c>
      <c r="B50" s="33">
        <f t="shared" si="0"/>
        <v>94.699999999999989</v>
      </c>
      <c r="C50" s="33">
        <f>B50*2</f>
        <v>189.39999999999998</v>
      </c>
      <c r="D50" s="234"/>
    </row>
    <row r="51" spans="1:6">
      <c r="A51" s="171" t="s">
        <v>77</v>
      </c>
      <c r="B51" s="33">
        <f t="shared" si="0"/>
        <v>320.29999999999995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28171.097898</v>
      </c>
      <c r="C5" s="17">
        <f>IF(ISERROR('Eigen informatie GS &amp; warmtenet'!B60),0,'Eigen informatie GS &amp; warmtenet'!B60)</f>
        <v>0</v>
      </c>
      <c r="D5" s="30">
        <f>SUM(D6:D12)</f>
        <v>22902.028494685997</v>
      </c>
      <c r="E5" s="17">
        <f>SUM(E6:E12)</f>
        <v>353.83142501695232</v>
      </c>
      <c r="F5" s="17">
        <f>SUM(F6:F12)</f>
        <v>3432.0995441311866</v>
      </c>
      <c r="G5" s="18"/>
      <c r="H5" s="17"/>
      <c r="I5" s="17"/>
      <c r="J5" s="17">
        <f>SUM(J6:J12)</f>
        <v>0.15843736042825446</v>
      </c>
      <c r="K5" s="17"/>
      <c r="L5" s="17"/>
      <c r="M5" s="17"/>
      <c r="N5" s="17">
        <f>SUM(N6:N12)</f>
        <v>6195.7342184894969</v>
      </c>
      <c r="O5" s="17">
        <f>B38*B39*B40</f>
        <v>14.691782297523464</v>
      </c>
      <c r="P5" s="17">
        <f>B46*B47*B48/1000-B46*B47*B48/1000/B49</f>
        <v>105.07827661299004</v>
      </c>
      <c r="R5" s="32"/>
    </row>
    <row r="6" spans="1:18">
      <c r="A6" s="32" t="s">
        <v>53</v>
      </c>
      <c r="B6" s="37">
        <f>B26</f>
        <v>4426.576478</v>
      </c>
      <c r="C6" s="33"/>
      <c r="D6" s="37">
        <f>IF(ISERROR(TER_kantoor_gas_kWh/1000),0,TER_kantoor_gas_kWh/1000)*0.902</f>
        <v>7349.5111084999999</v>
      </c>
      <c r="E6" s="33">
        <f>$C$26*'E Balans VL '!I12/100/3.6*1000000</f>
        <v>35.61924164623349</v>
      </c>
      <c r="F6" s="33">
        <f>$C$26*('E Balans VL '!L12+'E Balans VL '!N12)/100/3.6*1000000</f>
        <v>541.19554052920444</v>
      </c>
      <c r="G6" s="34"/>
      <c r="H6" s="33"/>
      <c r="I6" s="33"/>
      <c r="J6" s="33">
        <f>$C$26*('E Balans VL '!D12+'E Balans VL '!E12)/100/3.6*1000000</f>
        <v>0</v>
      </c>
      <c r="K6" s="33"/>
      <c r="L6" s="33"/>
      <c r="M6" s="33"/>
      <c r="N6" s="33">
        <f>$C$26*'E Balans VL '!Y12/100/3.6*1000000</f>
        <v>2.3790668716269878</v>
      </c>
      <c r="O6" s="33"/>
      <c r="P6" s="33"/>
      <c r="R6" s="32"/>
    </row>
    <row r="7" spans="1:18">
      <c r="A7" s="32" t="s">
        <v>52</v>
      </c>
      <c r="B7" s="37">
        <f t="shared" ref="B7:B12" si="0">B27</f>
        <v>2543.8051420000002</v>
      </c>
      <c r="C7" s="33"/>
      <c r="D7" s="37">
        <f>IF(ISERROR(TER_horeca_gas_kWh/1000),0,TER_horeca_gas_kWh/1000)*0.902</f>
        <v>3480.6194697999999</v>
      </c>
      <c r="E7" s="33">
        <f>$C$27*'E Balans VL '!I9/100/3.6*1000000</f>
        <v>27.314220731714858</v>
      </c>
      <c r="F7" s="33">
        <f>$C$27*('E Balans VL '!L9+'E Balans VL '!N9)/100/3.6*1000000</f>
        <v>305.95807463340913</v>
      </c>
      <c r="G7" s="34"/>
      <c r="H7" s="33"/>
      <c r="I7" s="33"/>
      <c r="J7" s="33">
        <f>$C$27*('E Balans VL '!D9+'E Balans VL '!E9)/100/3.6*1000000</f>
        <v>0</v>
      </c>
      <c r="K7" s="33"/>
      <c r="L7" s="33"/>
      <c r="M7" s="33"/>
      <c r="N7" s="33">
        <f>$C$27*'E Balans VL '!Y9/100/3.6*1000000</f>
        <v>0.38136794773034255</v>
      </c>
      <c r="O7" s="33"/>
      <c r="P7" s="33"/>
      <c r="R7" s="32"/>
    </row>
    <row r="8" spans="1:18">
      <c r="A8" s="6" t="s">
        <v>51</v>
      </c>
      <c r="B8" s="37">
        <f t="shared" si="0"/>
        <v>9233.526120999999</v>
      </c>
      <c r="C8" s="33"/>
      <c r="D8" s="37">
        <f>IF(ISERROR(TER_handel_gas_kWh/1000),0,TER_handel_gas_kWh/1000)*0.902</f>
        <v>4784.6558881000001</v>
      </c>
      <c r="E8" s="33">
        <f>$C$28*'E Balans VL '!I13/100/3.6*1000000</f>
        <v>247.79957292164414</v>
      </c>
      <c r="F8" s="33">
        <f>$C$28*('E Balans VL '!L13+'E Balans VL '!N13)/100/3.6*1000000</f>
        <v>881.16297655639301</v>
      </c>
      <c r="G8" s="34"/>
      <c r="H8" s="33"/>
      <c r="I8" s="33"/>
      <c r="J8" s="33">
        <f>$C$28*('E Balans VL '!D13+'E Balans VL '!E13)/100/3.6*1000000</f>
        <v>0</v>
      </c>
      <c r="K8" s="33"/>
      <c r="L8" s="33"/>
      <c r="M8" s="33"/>
      <c r="N8" s="33">
        <f>$C$28*'E Balans VL '!Y13/100/3.6*1000000</f>
        <v>3.6602747431157416</v>
      </c>
      <c r="O8" s="33"/>
      <c r="P8" s="33"/>
      <c r="R8" s="32"/>
    </row>
    <row r="9" spans="1:18">
      <c r="A9" s="32" t="s">
        <v>50</v>
      </c>
      <c r="B9" s="37">
        <f t="shared" si="0"/>
        <v>1628.2060710000001</v>
      </c>
      <c r="C9" s="33"/>
      <c r="D9" s="37">
        <f>IF(ISERROR(TER_gezond_gas_kWh/1000),0,TER_gezond_gas_kWh/1000)*0.902</f>
        <v>2234.2264890000001</v>
      </c>
      <c r="E9" s="33">
        <f>$C$29*'E Balans VL '!I10/100/3.6*1000000</f>
        <v>3.0517883439725786</v>
      </c>
      <c r="F9" s="33">
        <f>$C$29*('E Balans VL '!L10+'E Balans VL '!N10)/100/3.6*1000000</f>
        <v>133.85339527187568</v>
      </c>
      <c r="G9" s="34"/>
      <c r="H9" s="33"/>
      <c r="I9" s="33"/>
      <c r="J9" s="33">
        <f>$C$29*('E Balans VL '!D10+'E Balans VL '!E10)/100/3.6*1000000</f>
        <v>0</v>
      </c>
      <c r="K9" s="33"/>
      <c r="L9" s="33"/>
      <c r="M9" s="33"/>
      <c r="N9" s="33">
        <f>$C$29*'E Balans VL '!Y10/100/3.6*1000000</f>
        <v>12.668658048662216</v>
      </c>
      <c r="O9" s="33"/>
      <c r="P9" s="33"/>
      <c r="R9" s="32"/>
    </row>
    <row r="10" spans="1:18">
      <c r="A10" s="32" t="s">
        <v>49</v>
      </c>
      <c r="B10" s="37">
        <f t="shared" si="0"/>
        <v>9332.990729000001</v>
      </c>
      <c r="C10" s="33"/>
      <c r="D10" s="37">
        <f>IF(ISERROR(TER_ander_gas_kWh/1000),0,TER_ander_gas_kWh/1000)*0.902</f>
        <v>3320.1907807860002</v>
      </c>
      <c r="E10" s="33">
        <f>$C$30*'E Balans VL '!I14/100/3.6*1000000</f>
        <v>14.386899778487333</v>
      </c>
      <c r="F10" s="33">
        <f>$C$30*('E Balans VL '!L14+'E Balans VL '!N14)/100/3.6*1000000</f>
        <v>1448.9493871909947</v>
      </c>
      <c r="G10" s="34"/>
      <c r="H10" s="33"/>
      <c r="I10" s="33"/>
      <c r="J10" s="33">
        <f>$C$30*('E Balans VL '!D14+'E Balans VL '!E14)/100/3.6*1000000</f>
        <v>0.15843736042825446</v>
      </c>
      <c r="K10" s="33"/>
      <c r="L10" s="33"/>
      <c r="M10" s="33"/>
      <c r="N10" s="33">
        <f>$C$30*'E Balans VL '!Y14/100/3.6*1000000</f>
        <v>6174.4075461988432</v>
      </c>
      <c r="O10" s="33"/>
      <c r="P10" s="33"/>
      <c r="R10" s="32"/>
    </row>
    <row r="11" spans="1:18">
      <c r="A11" s="32" t="s">
        <v>54</v>
      </c>
      <c r="B11" s="37">
        <f t="shared" si="0"/>
        <v>1005.9933569999999</v>
      </c>
      <c r="C11" s="33"/>
      <c r="D11" s="37">
        <f>IF(ISERROR(TER_onderwijs_gas_kWh/1000),0,TER_onderwijs_gas_kWh/1000)*0.902</f>
        <v>1732.8247585000001</v>
      </c>
      <c r="E11" s="33">
        <f>$C$31*'E Balans VL '!I11/100/3.6*1000000</f>
        <v>25.659701594899882</v>
      </c>
      <c r="F11" s="33">
        <f>$C$31*('E Balans VL '!L11+'E Balans VL '!N11)/100/3.6*1000000</f>
        <v>120.98016994930947</v>
      </c>
      <c r="G11" s="34"/>
      <c r="H11" s="33"/>
      <c r="I11" s="33"/>
      <c r="J11" s="33">
        <f>$C$31*('E Balans VL '!D11+'E Balans VL '!E11)/100/3.6*1000000</f>
        <v>0</v>
      </c>
      <c r="K11" s="33"/>
      <c r="L11" s="33"/>
      <c r="M11" s="33"/>
      <c r="N11" s="33">
        <f>$C$31*'E Balans VL '!Y11/100/3.6*1000000</f>
        <v>2.2373046795185805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28171.097898</v>
      </c>
      <c r="C16" s="21">
        <f t="shared" ca="1" si="1"/>
        <v>0</v>
      </c>
      <c r="D16" s="21">
        <f t="shared" ca="1" si="1"/>
        <v>22902.028494685997</v>
      </c>
      <c r="E16" s="21">
        <f t="shared" si="1"/>
        <v>353.83142501695232</v>
      </c>
      <c r="F16" s="21">
        <f t="shared" ca="1" si="1"/>
        <v>3432.0995441311866</v>
      </c>
      <c r="G16" s="21">
        <f t="shared" si="1"/>
        <v>0</v>
      </c>
      <c r="H16" s="21">
        <f t="shared" si="1"/>
        <v>0</v>
      </c>
      <c r="I16" s="21">
        <f t="shared" si="1"/>
        <v>0</v>
      </c>
      <c r="J16" s="21">
        <f t="shared" si="1"/>
        <v>0.15843736042825446</v>
      </c>
      <c r="K16" s="21">
        <f t="shared" si="1"/>
        <v>0</v>
      </c>
      <c r="L16" s="21">
        <f t="shared" ca="1" si="1"/>
        <v>0</v>
      </c>
      <c r="M16" s="21">
        <f t="shared" si="1"/>
        <v>0</v>
      </c>
      <c r="N16" s="21">
        <f t="shared" ca="1" si="1"/>
        <v>6195.7342184894969</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0.18881045598539908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5318.9978397306977</v>
      </c>
      <c r="C20" s="23">
        <f t="shared" ref="C20:P20" ca="1" si="2">C16*C18</f>
        <v>0</v>
      </c>
      <c r="D20" s="23">
        <f t="shared" ca="1" si="2"/>
        <v>4626.2097559265721</v>
      </c>
      <c r="E20" s="23">
        <f t="shared" si="2"/>
        <v>80.319733478848178</v>
      </c>
      <c r="F20" s="23">
        <f t="shared" ca="1" si="2"/>
        <v>916.37057828302682</v>
      </c>
      <c r="G20" s="23">
        <f t="shared" si="2"/>
        <v>0</v>
      </c>
      <c r="H20" s="23">
        <f t="shared" si="2"/>
        <v>0</v>
      </c>
      <c r="I20" s="23">
        <f t="shared" si="2"/>
        <v>0</v>
      </c>
      <c r="J20" s="23">
        <f t="shared" si="2"/>
        <v>5.6086825591602073E-2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4426.576478</v>
      </c>
      <c r="C26" s="39">
        <f>IF(ISERROR(B26*3.6/1000000/'E Balans VL '!Z12*100),0,B26*3.6/1000000/'E Balans VL '!Z12*100)</f>
        <v>9.3905770128352037E-2</v>
      </c>
      <c r="D26" s="237" t="s">
        <v>708</v>
      </c>
      <c r="F26" s="6"/>
    </row>
    <row r="27" spans="1:18">
      <c r="A27" s="231" t="s">
        <v>52</v>
      </c>
      <c r="B27" s="33">
        <f>IF(ISERROR(TER_horeca_ele_kWh/1000),0,TER_horeca_ele_kWh/1000)</f>
        <v>2543.8051420000002</v>
      </c>
      <c r="C27" s="39">
        <f>IF(ISERROR(B27*3.6/1000000/'E Balans VL '!Z9*100),0,B27*3.6/1000000/'E Balans VL '!Z9*100)</f>
        <v>0.1915710615071316</v>
      </c>
      <c r="D27" s="237" t="s">
        <v>708</v>
      </c>
      <c r="F27" s="6"/>
    </row>
    <row r="28" spans="1:18">
      <c r="A28" s="171" t="s">
        <v>51</v>
      </c>
      <c r="B28" s="33">
        <f>IF(ISERROR(TER_handel_ele_kWh/1000),0,TER_handel_ele_kWh/1000)</f>
        <v>9233.526120999999</v>
      </c>
      <c r="C28" s="39">
        <f>IF(ISERROR(B28*3.6/1000000/'E Balans VL '!Z13*100),0,B28*3.6/1000000/'E Balans VL '!Z13*100)</f>
        <v>0.26801654635694894</v>
      </c>
      <c r="D28" s="237" t="s">
        <v>708</v>
      </c>
      <c r="F28" s="6"/>
    </row>
    <row r="29" spans="1:18">
      <c r="A29" s="231" t="s">
        <v>50</v>
      </c>
      <c r="B29" s="33">
        <f>IF(ISERROR(TER_gezond_ele_kWh/1000),0,TER_gezond_ele_kWh/1000)</f>
        <v>1628.2060710000001</v>
      </c>
      <c r="C29" s="39">
        <f>IF(ISERROR(B29*3.6/1000000/'E Balans VL '!Z10*100),0,B29*3.6/1000000/'E Balans VL '!Z10*100)</f>
        <v>0.16420652397517399</v>
      </c>
      <c r="D29" s="237" t="s">
        <v>708</v>
      </c>
      <c r="F29" s="6"/>
    </row>
    <row r="30" spans="1:18">
      <c r="A30" s="231" t="s">
        <v>49</v>
      </c>
      <c r="B30" s="33">
        <f>IF(ISERROR(TER_ander_ele_kWh/1000),0,TER_ander_ele_kWh/1000)</f>
        <v>9332.990729000001</v>
      </c>
      <c r="C30" s="39">
        <f>IF(ISERROR(B30*3.6/1000000/'E Balans VL '!Z14*100),0,B30*3.6/1000000/'E Balans VL '!Z14*100)</f>
        <v>0.67723580272824191</v>
      </c>
      <c r="D30" s="237" t="s">
        <v>708</v>
      </c>
      <c r="F30" s="6"/>
    </row>
    <row r="31" spans="1:18">
      <c r="A31" s="231" t="s">
        <v>54</v>
      </c>
      <c r="B31" s="33">
        <f>IF(ISERROR(TER_onderwijs_ele_kWh/1000),0,TER_onderwijs_ele_kWh/1000)</f>
        <v>1005.9933569999999</v>
      </c>
      <c r="C31" s="39">
        <f>IF(ISERROR(B31*3.6/1000000/'E Balans VL '!Z11*100),0,B31*3.6/1000000/'E Balans VL '!Z11*100)</f>
        <v>0.28674907270202055</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24299.838435000001</v>
      </c>
      <c r="C5" s="17">
        <f>IF(ISERROR('Eigen informatie GS &amp; warmtenet'!B61),0,'Eigen informatie GS &amp; warmtenet'!B61)</f>
        <v>0</v>
      </c>
      <c r="D5" s="30">
        <f>SUM(D6:D15)</f>
        <v>8044.0564943419995</v>
      </c>
      <c r="E5" s="17">
        <f>SUM(E6:E15)</f>
        <v>3896.4399809666988</v>
      </c>
      <c r="F5" s="17">
        <f>SUM(F6:F15)</f>
        <v>12249.227008917676</v>
      </c>
      <c r="G5" s="18"/>
      <c r="H5" s="17"/>
      <c r="I5" s="17"/>
      <c r="J5" s="17">
        <f>SUM(J6:J15)</f>
        <v>40.779295420923852</v>
      </c>
      <c r="K5" s="17"/>
      <c r="L5" s="17"/>
      <c r="M5" s="17"/>
      <c r="N5" s="17">
        <f>SUM(N6:N15)</f>
        <v>1390.9700095912588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4314.2776780000004</v>
      </c>
      <c r="C8" s="33"/>
      <c r="D8" s="37">
        <f>IF( ISERROR(IND_metaal_Gas_kWH/1000),0,IND_metaal_Gas_kWH/1000)*0.902</f>
        <v>1718.30098</v>
      </c>
      <c r="E8" s="33">
        <f>C30*'E Balans VL '!I18/100/3.6*1000000</f>
        <v>31.124485403695999</v>
      </c>
      <c r="F8" s="33">
        <f>C30*'E Balans VL '!L18/100/3.6*1000000+C30*'E Balans VL '!N18/100/3.6*1000000</f>
        <v>408.05111863089172</v>
      </c>
      <c r="G8" s="34"/>
      <c r="H8" s="33"/>
      <c r="I8" s="33"/>
      <c r="J8" s="40">
        <f>C30*'E Balans VL '!D18/100/3.6*1000000+C30*'E Balans VL '!E18/100/3.6*1000000</f>
        <v>4.3393255596547196</v>
      </c>
      <c r="K8" s="33"/>
      <c r="L8" s="33"/>
      <c r="M8" s="33"/>
      <c r="N8" s="33">
        <f>C30*'E Balans VL '!Y18/100/3.6*1000000</f>
        <v>54.543884301747667</v>
      </c>
      <c r="O8" s="33"/>
      <c r="P8" s="33"/>
      <c r="R8" s="32"/>
    </row>
    <row r="9" spans="1:18">
      <c r="A9" s="6" t="s">
        <v>32</v>
      </c>
      <c r="B9" s="37">
        <f t="shared" si="0"/>
        <v>13852.774207</v>
      </c>
      <c r="C9" s="33"/>
      <c r="D9" s="37">
        <f>IF( ISERROR(IND_andere_gas_kWh/1000),0,IND_andere_gas_kWh/1000)*0.902</f>
        <v>4551.9774302420001</v>
      </c>
      <c r="E9" s="33">
        <f>C31*'E Balans VL '!I19/100/3.6*1000000</f>
        <v>3838.7889675574761</v>
      </c>
      <c r="F9" s="33">
        <f>C31*'E Balans VL '!L19/100/3.6*1000000+C31*'E Balans VL '!N19/100/3.6*1000000</f>
        <v>11481.209198837374</v>
      </c>
      <c r="G9" s="34"/>
      <c r="H9" s="33"/>
      <c r="I9" s="33"/>
      <c r="J9" s="40">
        <f>C31*'E Balans VL '!D19/100/3.6*1000000+C31*'E Balans VL '!E19/100/3.6*1000000</f>
        <v>0</v>
      </c>
      <c r="K9" s="33"/>
      <c r="L9" s="33"/>
      <c r="M9" s="33"/>
      <c r="N9" s="33">
        <f>C31*'E Balans VL '!Y19/100/3.6*1000000</f>
        <v>1005.5419696566094</v>
      </c>
      <c r="O9" s="33"/>
      <c r="P9" s="33"/>
      <c r="R9" s="32"/>
    </row>
    <row r="10" spans="1:18">
      <c r="A10" s="6" t="s">
        <v>40</v>
      </c>
      <c r="B10" s="37">
        <f t="shared" si="0"/>
        <v>5459.9715500000002</v>
      </c>
      <c r="C10" s="33"/>
      <c r="D10" s="37">
        <f>IF( ISERROR(IND_voed_gas_kWh/1000),0,IND_voed_gas_kWh/1000)*0.902</f>
        <v>1486.0707520999999</v>
      </c>
      <c r="E10" s="33">
        <f>C32*'E Balans VL '!I20/100/3.6*1000000</f>
        <v>9.6659990544350176</v>
      </c>
      <c r="F10" s="33">
        <f>C32*'E Balans VL '!L20/100/3.6*1000000+C32*'E Balans VL '!N20/100/3.6*1000000</f>
        <v>294.88685499377067</v>
      </c>
      <c r="G10" s="34"/>
      <c r="H10" s="33"/>
      <c r="I10" s="33"/>
      <c r="J10" s="40">
        <f>C32*'E Balans VL '!D20/100/3.6*1000000+C32*'E Balans VL '!E20/100/3.6*1000000</f>
        <v>0</v>
      </c>
      <c r="K10" s="33"/>
      <c r="L10" s="33"/>
      <c r="M10" s="33"/>
      <c r="N10" s="33">
        <f>C32*'E Balans VL '!Y20/100/3.6*1000000</f>
        <v>317.2660453773255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306.92599999999999</v>
      </c>
      <c r="C13" s="33"/>
      <c r="D13" s="37">
        <f>IF( ISERROR(IND_papier_gas_kWh/1000),0,IND_papier_gas_kWh/1000)*0.902</f>
        <v>202.789444</v>
      </c>
      <c r="E13" s="33">
        <f>C35*'E Balans VL '!I23/100/3.6*1000000</f>
        <v>0.45159353830392479</v>
      </c>
      <c r="F13" s="33">
        <f>C35*'E Balans VL '!L23/100/3.6*1000000+C35*'E Balans VL '!N23/100/3.6*1000000</f>
        <v>3.2863507632756646</v>
      </c>
      <c r="G13" s="34"/>
      <c r="H13" s="33"/>
      <c r="I13" s="33"/>
      <c r="J13" s="40">
        <f>C35*'E Balans VL '!D23/100/3.6*1000000+C35*'E Balans VL '!E23/100/3.6*1000000</f>
        <v>33.579425550941615</v>
      </c>
      <c r="K13" s="33"/>
      <c r="L13" s="33"/>
      <c r="M13" s="33"/>
      <c r="N13" s="33">
        <f>C35*'E Balans VL '!Y23/100/3.6*1000000</f>
        <v>0</v>
      </c>
      <c r="O13" s="33"/>
      <c r="P13" s="33"/>
      <c r="R13" s="32"/>
    </row>
    <row r="14" spans="1:18">
      <c r="A14" s="6" t="s">
        <v>33</v>
      </c>
      <c r="B14" s="37">
        <f t="shared" si="0"/>
        <v>19.626999999999999</v>
      </c>
      <c r="C14" s="33"/>
      <c r="D14" s="37">
        <f>IF( ISERROR(IND_chemie_gas_kWh/1000),0,IND_chemie_gas_kWh/1000)*0.902</f>
        <v>0</v>
      </c>
      <c r="E14" s="33">
        <f>C36*'E Balans VL '!I24/100/3.6*1000000</f>
        <v>4.4392320748289672E-2</v>
      </c>
      <c r="F14" s="33">
        <f>C36*'E Balans VL '!L24/100/3.6*1000000+C36*'E Balans VL '!N24/100/3.6*1000000</f>
        <v>0.23173542387523954</v>
      </c>
      <c r="G14" s="34"/>
      <c r="H14" s="33"/>
      <c r="I14" s="33"/>
      <c r="J14" s="40">
        <f>C36*'E Balans VL '!D24/100/3.6*1000000+C36*'E Balans VL '!E24/100/3.6*1000000</f>
        <v>0</v>
      </c>
      <c r="K14" s="33"/>
      <c r="L14" s="33"/>
      <c r="M14" s="33"/>
      <c r="N14" s="33">
        <f>C36*'E Balans VL '!Y24/100/3.6*1000000</f>
        <v>1.0780817329617408E-2</v>
      </c>
      <c r="O14" s="33"/>
      <c r="P14" s="33"/>
      <c r="R14" s="32"/>
    </row>
    <row r="15" spans="1:18">
      <c r="A15" s="6" t="s">
        <v>269</v>
      </c>
      <c r="B15" s="37">
        <f t="shared" si="0"/>
        <v>346.262</v>
      </c>
      <c r="C15" s="33"/>
      <c r="D15" s="37">
        <f>IF( ISERROR(IND_rest_gas_kWh/1000),0,IND_rest_gas_kWh/1000)*0.902</f>
        <v>84.917888000000005</v>
      </c>
      <c r="E15" s="33">
        <f>C37*'E Balans VL '!I15/100/3.6*1000000</f>
        <v>16.364543092040304</v>
      </c>
      <c r="F15" s="33">
        <f>C37*'E Balans VL '!L15/100/3.6*1000000+C37*'E Balans VL '!N15/100/3.6*1000000</f>
        <v>61.56175026848932</v>
      </c>
      <c r="G15" s="34"/>
      <c r="H15" s="33"/>
      <c r="I15" s="33"/>
      <c r="J15" s="40">
        <f>C37*'E Balans VL '!D15/100/3.6*1000000+C37*'E Balans VL '!E15/100/3.6*1000000</f>
        <v>2.8605443103275165</v>
      </c>
      <c r="K15" s="33"/>
      <c r="L15" s="33"/>
      <c r="M15" s="33"/>
      <c r="N15" s="33">
        <f>C37*'E Balans VL '!Y15/100/3.6*1000000</f>
        <v>13.607329438246488</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24299.838435000001</v>
      </c>
      <c r="C18" s="21">
        <f>C5+C16</f>
        <v>0</v>
      </c>
      <c r="D18" s="21">
        <f>MAX((D5+D16),0)</f>
        <v>8044.0564943419995</v>
      </c>
      <c r="E18" s="21">
        <f>MAX((E5+E16),0)</f>
        <v>3896.4399809666988</v>
      </c>
      <c r="F18" s="21">
        <f>MAX((F5+F16),0)</f>
        <v>12249.227008917676</v>
      </c>
      <c r="G18" s="21"/>
      <c r="H18" s="21"/>
      <c r="I18" s="21"/>
      <c r="J18" s="21">
        <f>MAX((J5+J16),0)</f>
        <v>40.779295420923852</v>
      </c>
      <c r="K18" s="21"/>
      <c r="L18" s="21">
        <f>MAX((L5+L16),0)</f>
        <v>0</v>
      </c>
      <c r="M18" s="21"/>
      <c r="N18" s="21">
        <f>MAX((N5+N16),0)</f>
        <v>1390.9700095912588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0.18881045598539908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4588.0635752838771</v>
      </c>
      <c r="C22" s="23">
        <f ca="1">C18*C20</f>
        <v>0</v>
      </c>
      <c r="D22" s="23">
        <f>D18*D20</f>
        <v>1624.899411857084</v>
      </c>
      <c r="E22" s="23">
        <f>E18*E20</f>
        <v>884.49187567944068</v>
      </c>
      <c r="F22" s="23">
        <f>F18*F20</f>
        <v>3270.5436113810197</v>
      </c>
      <c r="G22" s="23"/>
      <c r="H22" s="23"/>
      <c r="I22" s="23"/>
      <c r="J22" s="23">
        <f>J18*J20</f>
        <v>14.435870579007043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4314.2776780000004</v>
      </c>
      <c r="C30" s="39">
        <f>IF(ISERROR(B30*3.6/1000000/'E Balans VL '!Z18*100),0,B30*3.6/1000000/'E Balans VL '!Z18*100)</f>
        <v>0.24905651857782693</v>
      </c>
      <c r="D30" s="237" t="s">
        <v>708</v>
      </c>
    </row>
    <row r="31" spans="1:18">
      <c r="A31" s="6" t="s">
        <v>32</v>
      </c>
      <c r="B31" s="37">
        <f>IF( ISERROR(IND_ander_ele_kWh/1000),0,IND_ander_ele_kWh/1000)</f>
        <v>13852.774207</v>
      </c>
      <c r="C31" s="39">
        <f>IF(ISERROR(B31*3.6/1000000/'E Balans VL '!Z19*100),0,B31*3.6/1000000/'E Balans VL '!Z19*100)</f>
        <v>0.69674964058315836</v>
      </c>
      <c r="D31" s="237" t="s">
        <v>708</v>
      </c>
    </row>
    <row r="32" spans="1:18">
      <c r="A32" s="171" t="s">
        <v>40</v>
      </c>
      <c r="B32" s="37">
        <f>IF( ISERROR(IND_voed_ele_kWh/1000),0,IND_voed_ele_kWh/1000)</f>
        <v>5459.9715500000002</v>
      </c>
      <c r="C32" s="39">
        <f>IF(ISERROR(B32*3.6/1000000/'E Balans VL '!Z20*100),0,B32*3.6/1000000/'E Balans VL '!Z20*100)</f>
        <v>0.18184947528060297</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306.92599999999999</v>
      </c>
      <c r="C35" s="39">
        <f>IF(ISERROR(B35*3.6/1000000/'E Balans VL '!Z22*100),0,B35*3.6/1000000/'E Balans VL '!Z22*100)</f>
        <v>5.7252065842539293E-2</v>
      </c>
      <c r="D35" s="237" t="s">
        <v>708</v>
      </c>
    </row>
    <row r="36" spans="1:5">
      <c r="A36" s="171" t="s">
        <v>33</v>
      </c>
      <c r="B36" s="37">
        <f>IF( ISERROR(IND_chemie_ele_kWh/1000),0,IND_chemie_ele_kWh/1000)</f>
        <v>19.626999999999999</v>
      </c>
      <c r="C36" s="39">
        <f>IF(ISERROR(B36*3.6/1000000/'E Balans VL '!Z24*100),0,B36*3.6/1000000/'E Balans VL '!Z24*100)</f>
        <v>5.1768630634417296E-4</v>
      </c>
      <c r="D36" s="237" t="s">
        <v>708</v>
      </c>
    </row>
    <row r="37" spans="1:5">
      <c r="A37" s="171" t="s">
        <v>269</v>
      </c>
      <c r="B37" s="37">
        <f>IF( ISERROR(IND_rest_ele_kWh/1000),0,IND_rest_ele_kWh/1000)</f>
        <v>346.262</v>
      </c>
      <c r="C37" s="39">
        <f>IF(ISERROR(B37*3.6/1000000/'E Balans VL '!Z15*100),0,B37*3.6/1000000/'E Balans VL '!Z15*100)</f>
        <v>2.7017904988661887E-3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10196.759373999999</v>
      </c>
      <c r="C5" s="17">
        <f>'Eigen informatie GS &amp; warmtenet'!B62</f>
        <v>0</v>
      </c>
      <c r="D5" s="30">
        <f>IF(ISERROR(SUM(LB_lb_gas_kWh,LB_rest_gas_kWh)/1000),0,SUM(LB_lb_gas_kWh,LB_rest_gas_kWh)/1000)*0.902</f>
        <v>936.32155100000011</v>
      </c>
      <c r="E5" s="17">
        <f>B17*'E Balans VL '!I25/3.6*1000000/100</f>
        <v>318.23749758612007</v>
      </c>
      <c r="F5" s="17">
        <f>B17*('E Balans VL '!L25/3.6*1000000+'E Balans VL '!N25/3.6*1000000)/100</f>
        <v>36036.477194248262</v>
      </c>
      <c r="G5" s="18"/>
      <c r="H5" s="17"/>
      <c r="I5" s="17"/>
      <c r="J5" s="17">
        <f>('E Balans VL '!D25+'E Balans VL '!E25)/3.6*1000000*landbouw!B17/100</f>
        <v>2809.2779214435263</v>
      </c>
      <c r="K5" s="17"/>
      <c r="L5" s="17">
        <f>L6*(-1)</f>
        <v>0</v>
      </c>
      <c r="M5" s="17"/>
      <c r="N5" s="17">
        <f>N6*(-1)</f>
        <v>5396.1428571428569</v>
      </c>
      <c r="O5" s="17"/>
      <c r="P5" s="17"/>
      <c r="R5" s="32"/>
    </row>
    <row r="6" spans="1:18">
      <c r="A6" s="16" t="s">
        <v>478</v>
      </c>
      <c r="B6" s="17" t="s">
        <v>210</v>
      </c>
      <c r="C6" s="17">
        <f>'lokale energieproductie'!O40+'lokale energieproductie'!O33</f>
        <v>268.07142857142856</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10196.759373999999</v>
      </c>
      <c r="C8" s="21">
        <f>C5+C6</f>
        <v>268.07142857142856</v>
      </c>
      <c r="D8" s="21">
        <f>MAX((D5+D6),0)</f>
        <v>936.32155100000011</v>
      </c>
      <c r="E8" s="21">
        <f>MAX((E5+E6),0)</f>
        <v>318.23749758612007</v>
      </c>
      <c r="F8" s="21">
        <f>MAX((F5+F6),0)</f>
        <v>36036.477194248262</v>
      </c>
      <c r="G8" s="21"/>
      <c r="H8" s="21"/>
      <c r="I8" s="21"/>
      <c r="J8" s="21">
        <f>MAX((J5+J6),0)</f>
        <v>2809.2779214435263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0.18881045598539908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1925.2547869783323</v>
      </c>
      <c r="C12" s="23">
        <f ca="1">C8*C10</f>
        <v>0</v>
      </c>
      <c r="D12" s="23">
        <f>D8*D10</f>
        <v>189.13695330200002</v>
      </c>
      <c r="E12" s="23">
        <f>E8*E10</f>
        <v>72.239911952049255</v>
      </c>
      <c r="F12" s="23">
        <f>F8*F10</f>
        <v>9621.7394108642857</v>
      </c>
      <c r="G12" s="23"/>
      <c r="H12" s="23"/>
      <c r="I12" s="23"/>
      <c r="J12" s="23">
        <f>J8*J10</f>
        <v>994.4843841910083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1.5158213782402277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2421.0738805823166</v>
      </c>
      <c r="C26" s="247">
        <f>B26*'GWP N2O_CH4'!B5</f>
        <v>50842.551492228653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1149.9364853327804</v>
      </c>
      <c r="C27" s="247">
        <f>B27*'GWP N2O_CH4'!B5</f>
        <v>24148.666191988388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30.406874419234775</v>
      </c>
      <c r="C28" s="247">
        <f>B28*'GWP N2O_CH4'!B4</f>
        <v>9426.1310699627811</v>
      </c>
      <c r="D28" s="50"/>
    </row>
    <row r="29" spans="1:4">
      <c r="A29" s="41" t="s">
        <v>276</v>
      </c>
      <c r="B29" s="247">
        <f>B34*'ha_N2O bodem landbouw'!B4</f>
        <v>82.779542290406042</v>
      </c>
      <c r="C29" s="247">
        <f>B29*'GWP N2O_CH4'!B4</f>
        <v>25661.658110025874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1.8152063212138751E-2</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2.6547635659511276E-4</v>
      </c>
      <c r="C5" s="437" t="s">
        <v>210</v>
      </c>
      <c r="D5" s="422">
        <f>SUM(D6:D11)</f>
        <v>9.4270660173302297E-4</v>
      </c>
      <c r="E5" s="422">
        <f>SUM(E6:E11)</f>
        <v>7.9708045080391214E-4</v>
      </c>
      <c r="F5" s="435" t="s">
        <v>210</v>
      </c>
      <c r="G5" s="422">
        <f>SUM(G6:G11)</f>
        <v>0.3867994042348662</v>
      </c>
      <c r="H5" s="422">
        <f>SUM(H6:H11)</f>
        <v>8.7979927639955102E-2</v>
      </c>
      <c r="I5" s="437" t="s">
        <v>210</v>
      </c>
      <c r="J5" s="437" t="s">
        <v>210</v>
      </c>
      <c r="K5" s="437" t="s">
        <v>210</v>
      </c>
      <c r="L5" s="437" t="s">
        <v>210</v>
      </c>
      <c r="M5" s="422">
        <f>SUM(M6:M11)</f>
        <v>2.8120987154745085E-2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2.2635364435006627E-4</v>
      </c>
      <c r="C6" s="423"/>
      <c r="D6" s="890">
        <f>vkm_GW_PW*SUMIFS(TableVerdeelsleutelVkm[CNG],TableVerdeelsleutelVkm[Voertuigtype],"Lichte voertuigen")*SUMIFS(TableECFTransport[EnergieConsumptieFactor (PJ per km)],TableECFTransport[Index],CONCATENATE($A6,"_CNG_CNG"))</f>
        <v>7.2917617418256887E-4</v>
      </c>
      <c r="E6" s="890">
        <f>vkm_GW_PW*SUMIFS(TableVerdeelsleutelVkm[LPG],TableVerdeelsleutelVkm[Voertuigtype],"Lichte voertuigen")*SUMIFS(TableECFTransport[EnergieConsumptieFactor (PJ per km)],TableECFTransport[Index],CONCATENATE($A6,"_LPG_LPG"))</f>
        <v>6.2357440682829989E-4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0.20144536251515621</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6.8308886962044679E-2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1.6134455636627229E-2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0.12485745805569766</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1.7853495423040321E-6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7.1970843285527114E-3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3.91227122450465E-5</v>
      </c>
      <c r="C8" s="423"/>
      <c r="D8" s="425">
        <f>vkm_NGW_PW*SUMIFS(TableVerdeelsleutelVkm[CNG],TableVerdeelsleutelVkm[Voertuigtype],"Lichte voertuigen")*SUMIFS(TableECFTransport[EnergieConsumptieFactor (PJ per km)],TableECFTransport[Index],CONCATENATE($A8,"_CNG_CNG"))</f>
        <v>2.1353042755045413E-4</v>
      </c>
      <c r="E8" s="425">
        <f>vkm_NGW_PW*SUMIFS(TableVerdeelsleutelVkm[LPG],TableVerdeelsleutelVkm[Voertuigtype],"Lichte voertuigen")*SUMIFS(TableECFTransport[EnergieConsumptieFactor (PJ per km)],TableECFTransport[Index],CONCATENATE($A8,"_LPG_LPG"))</f>
        <v>1.7350604397561227E-4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5.2376288927901436E-2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1.9669108108585995E-2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4.321371801359033E-3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8.1202947361109432E-3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1.4721978212404193E-7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4.6807538820611258E-4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73.743432387531328</v>
      </c>
      <c r="C14" s="21"/>
      <c r="D14" s="21">
        <f t="shared" ref="D14:M14" si="0">((D5)*10^9/3600)+D12</f>
        <v>261.86294492583971</v>
      </c>
      <c r="E14" s="21">
        <f t="shared" si="0"/>
        <v>221.41123633442004</v>
      </c>
      <c r="F14" s="21"/>
      <c r="G14" s="21">
        <f t="shared" si="0"/>
        <v>107444.27895412951</v>
      </c>
      <c r="H14" s="21">
        <f t="shared" si="0"/>
        <v>24438.868788876418</v>
      </c>
      <c r="I14" s="21"/>
      <c r="J14" s="21"/>
      <c r="K14" s="21"/>
      <c r="L14" s="21"/>
      <c r="M14" s="21">
        <f t="shared" si="0"/>
        <v>7811.3853207625234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0.18881045598539908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13.923531095018237</v>
      </c>
      <c r="C18" s="23"/>
      <c r="D18" s="23">
        <f t="shared" ref="D18:M18" si="1">D14*D16</f>
        <v>52.896314875019627</v>
      </c>
      <c r="E18" s="23">
        <f t="shared" si="1"/>
        <v>50.260350647913349</v>
      </c>
      <c r="F18" s="23"/>
      <c r="G18" s="23">
        <f t="shared" si="1"/>
        <v>28687.62248075258</v>
      </c>
      <c r="H18" s="23">
        <f t="shared" si="1"/>
        <v>6085.2783284302277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6.5330001231997045E-3</v>
      </c>
      <c r="H50" s="319">
        <f t="shared" si="2"/>
        <v>0</v>
      </c>
      <c r="I50" s="319">
        <f t="shared" si="2"/>
        <v>0</v>
      </c>
      <c r="J50" s="319">
        <f t="shared" si="2"/>
        <v>0</v>
      </c>
      <c r="K50" s="319">
        <f t="shared" si="2"/>
        <v>0</v>
      </c>
      <c r="L50" s="319">
        <f t="shared" si="2"/>
        <v>0</v>
      </c>
      <c r="M50" s="319">
        <f t="shared" si="2"/>
        <v>3.6304774252723319E-4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6.5330001231997045E-3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3.6304774252723319E-4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1814.7222564443623</v>
      </c>
      <c r="H54" s="21">
        <f t="shared" si="3"/>
        <v>0</v>
      </c>
      <c r="I54" s="21">
        <f t="shared" si="3"/>
        <v>0</v>
      </c>
      <c r="J54" s="21">
        <f t="shared" si="3"/>
        <v>0</v>
      </c>
      <c r="K54" s="21">
        <f t="shared" si="3"/>
        <v>0</v>
      </c>
      <c r="L54" s="21">
        <f t="shared" si="3"/>
        <v>0</v>
      </c>
      <c r="M54" s="21">
        <f t="shared" si="3"/>
        <v>100.84659514645367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0.18881045598539908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484.53084247064476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29175.438898</v>
      </c>
      <c r="D10" s="686">
        <f ca="1">tertiair!C16</f>
        <v>0</v>
      </c>
      <c r="E10" s="686">
        <f ca="1">tertiair!D16</f>
        <v>22902.028494685997</v>
      </c>
      <c r="F10" s="686">
        <f>tertiair!E16</f>
        <v>353.83142501695232</v>
      </c>
      <c r="G10" s="686">
        <f ca="1">tertiair!F16</f>
        <v>3432.0995441311866</v>
      </c>
      <c r="H10" s="686">
        <f>tertiair!G16</f>
        <v>0</v>
      </c>
      <c r="I10" s="686">
        <f>tertiair!H16</f>
        <v>0</v>
      </c>
      <c r="J10" s="686">
        <f>tertiair!I16</f>
        <v>0</v>
      </c>
      <c r="K10" s="686">
        <f>tertiair!J16</f>
        <v>0.15843736042825446</v>
      </c>
      <c r="L10" s="686">
        <f>tertiair!K16</f>
        <v>0</v>
      </c>
      <c r="M10" s="686">
        <f ca="1">tertiair!L16</f>
        <v>0</v>
      </c>
      <c r="N10" s="686">
        <f>tertiair!M16</f>
        <v>0</v>
      </c>
      <c r="O10" s="686">
        <f ca="1">tertiair!N16</f>
        <v>6195.7342184894969</v>
      </c>
      <c r="P10" s="686">
        <f>tertiair!O16</f>
        <v>14.691782297523464</v>
      </c>
      <c r="Q10" s="687">
        <f>tertiair!P16</f>
        <v>105.07827661299004</v>
      </c>
      <c r="R10" s="689">
        <f ca="1">SUM(C10:Q10)</f>
        <v>62179.061076594575</v>
      </c>
      <c r="S10" s="67"/>
    </row>
    <row r="11" spans="1:19" s="448" customFormat="1">
      <c r="A11" s="808" t="s">
        <v>224</v>
      </c>
      <c r="B11" s="813"/>
      <c r="C11" s="686">
        <f>huishoudens!B8</f>
        <v>27155.07827013162</v>
      </c>
      <c r="D11" s="686">
        <f>huishoudens!C8</f>
        <v>0</v>
      </c>
      <c r="E11" s="686">
        <f>huishoudens!D8</f>
        <v>55464.236844500003</v>
      </c>
      <c r="F11" s="686">
        <f>huishoudens!E8</f>
        <v>27660.922206391271</v>
      </c>
      <c r="G11" s="686">
        <f>huishoudens!F8</f>
        <v>6647.4670837451849</v>
      </c>
      <c r="H11" s="686">
        <f>huishoudens!G8</f>
        <v>0</v>
      </c>
      <c r="I11" s="686">
        <f>huishoudens!H8</f>
        <v>0</v>
      </c>
      <c r="J11" s="686">
        <f>huishoudens!I8</f>
        <v>0</v>
      </c>
      <c r="K11" s="686">
        <f>huishoudens!J8</f>
        <v>1247.1141183664618</v>
      </c>
      <c r="L11" s="686">
        <f>huishoudens!K8</f>
        <v>0</v>
      </c>
      <c r="M11" s="686">
        <f>huishoudens!L8</f>
        <v>0</v>
      </c>
      <c r="N11" s="686">
        <f>huishoudens!M8</f>
        <v>0</v>
      </c>
      <c r="O11" s="686">
        <f>huishoudens!N8</f>
        <v>29489.752890215976</v>
      </c>
      <c r="P11" s="686">
        <f>huishoudens!O8</f>
        <v>462.26226511717846</v>
      </c>
      <c r="Q11" s="687">
        <f>huishoudens!P8</f>
        <v>431.89233161508594</v>
      </c>
      <c r="R11" s="689">
        <f>SUM(C11:Q11)</f>
        <v>148558.72601008278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24299.838435000001</v>
      </c>
      <c r="D13" s="686">
        <f>industrie!C18</f>
        <v>0</v>
      </c>
      <c r="E13" s="686">
        <f>industrie!D18</f>
        <v>8044.0564943419995</v>
      </c>
      <c r="F13" s="686">
        <f>industrie!E18</f>
        <v>3896.4399809666988</v>
      </c>
      <c r="G13" s="686">
        <f>industrie!F18</f>
        <v>12249.227008917676</v>
      </c>
      <c r="H13" s="686">
        <f>industrie!G18</f>
        <v>0</v>
      </c>
      <c r="I13" s="686">
        <f>industrie!H18</f>
        <v>0</v>
      </c>
      <c r="J13" s="686">
        <f>industrie!I18</f>
        <v>0</v>
      </c>
      <c r="K13" s="686">
        <f>industrie!J18</f>
        <v>40.779295420923852</v>
      </c>
      <c r="L13" s="686">
        <f>industrie!K18</f>
        <v>0</v>
      </c>
      <c r="M13" s="686">
        <f>industrie!L18</f>
        <v>0</v>
      </c>
      <c r="N13" s="686">
        <f>industrie!M18</f>
        <v>0</v>
      </c>
      <c r="O13" s="686">
        <f>industrie!N18</f>
        <v>1390.9700095912588</v>
      </c>
      <c r="P13" s="686">
        <f>industrie!O18</f>
        <v>0</v>
      </c>
      <c r="Q13" s="687">
        <f>industrie!P18</f>
        <v>0</v>
      </c>
      <c r="R13" s="689">
        <f>SUM(C13:Q13)</f>
        <v>49921.311224238554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80630.355603131626</v>
      </c>
      <c r="D16" s="722">
        <f t="shared" ref="D16:R16" ca="1" si="0">SUM(D9:D15)</f>
        <v>0</v>
      </c>
      <c r="E16" s="722">
        <f t="shared" ca="1" si="0"/>
        <v>86410.321833528011</v>
      </c>
      <c r="F16" s="722">
        <f t="shared" si="0"/>
        <v>31911.193612374922</v>
      </c>
      <c r="G16" s="722">
        <f t="shared" ca="1" si="0"/>
        <v>22328.793636794049</v>
      </c>
      <c r="H16" s="722">
        <f t="shared" si="0"/>
        <v>0</v>
      </c>
      <c r="I16" s="722">
        <f t="shared" si="0"/>
        <v>0</v>
      </c>
      <c r="J16" s="722">
        <f t="shared" si="0"/>
        <v>0</v>
      </c>
      <c r="K16" s="722">
        <f t="shared" si="0"/>
        <v>1288.0518511478137</v>
      </c>
      <c r="L16" s="722">
        <f t="shared" si="0"/>
        <v>0</v>
      </c>
      <c r="M16" s="722">
        <f t="shared" ca="1" si="0"/>
        <v>0</v>
      </c>
      <c r="N16" s="722">
        <f t="shared" si="0"/>
        <v>0</v>
      </c>
      <c r="O16" s="722">
        <f t="shared" ca="1" si="0"/>
        <v>37076.457118296727</v>
      </c>
      <c r="P16" s="722">
        <f t="shared" si="0"/>
        <v>476.9540474147019</v>
      </c>
      <c r="Q16" s="722">
        <f t="shared" si="0"/>
        <v>536.970608228076</v>
      </c>
      <c r="R16" s="722">
        <f t="shared" ca="1" si="0"/>
        <v>260659.09831091593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1814.7222564443623</v>
      </c>
      <c r="I19" s="686">
        <f>transport!H54</f>
        <v>0</v>
      </c>
      <c r="J19" s="686">
        <f>transport!I54</f>
        <v>0</v>
      </c>
      <c r="K19" s="686">
        <f>transport!J54</f>
        <v>0</v>
      </c>
      <c r="L19" s="686">
        <f>transport!K54</f>
        <v>0</v>
      </c>
      <c r="M19" s="686">
        <f>transport!L54</f>
        <v>0</v>
      </c>
      <c r="N19" s="686">
        <f>transport!M54</f>
        <v>100.84659514645367</v>
      </c>
      <c r="O19" s="686">
        <f>transport!N54</f>
        <v>0</v>
      </c>
      <c r="P19" s="686">
        <f>transport!O54</f>
        <v>0</v>
      </c>
      <c r="Q19" s="687">
        <f>transport!P54</f>
        <v>0</v>
      </c>
      <c r="R19" s="689">
        <f>SUM(C19:Q19)</f>
        <v>1915.5688515908159</v>
      </c>
      <c r="S19" s="67"/>
    </row>
    <row r="20" spans="1:19" s="448" customFormat="1">
      <c r="A20" s="808" t="s">
        <v>306</v>
      </c>
      <c r="B20" s="813"/>
      <c r="C20" s="686">
        <f>transport!B14</f>
        <v>73.743432387531328</v>
      </c>
      <c r="D20" s="686">
        <f>transport!C14</f>
        <v>0</v>
      </c>
      <c r="E20" s="686">
        <f>transport!D14</f>
        <v>261.86294492583971</v>
      </c>
      <c r="F20" s="686">
        <f>transport!E14</f>
        <v>221.41123633442004</v>
      </c>
      <c r="G20" s="686">
        <f>transport!F14</f>
        <v>0</v>
      </c>
      <c r="H20" s="686">
        <f>transport!G14</f>
        <v>107444.27895412951</v>
      </c>
      <c r="I20" s="686">
        <f>transport!H14</f>
        <v>24438.868788876418</v>
      </c>
      <c r="J20" s="686">
        <f>transport!I14</f>
        <v>0</v>
      </c>
      <c r="K20" s="686">
        <f>transport!J14</f>
        <v>0</v>
      </c>
      <c r="L20" s="686">
        <f>transport!K14</f>
        <v>0</v>
      </c>
      <c r="M20" s="686">
        <f>transport!L14</f>
        <v>0</v>
      </c>
      <c r="N20" s="686">
        <f>transport!M14</f>
        <v>7811.3853207625234</v>
      </c>
      <c r="O20" s="686">
        <f>transport!N14</f>
        <v>0</v>
      </c>
      <c r="P20" s="686">
        <f>transport!O14</f>
        <v>0</v>
      </c>
      <c r="Q20" s="687">
        <f>transport!P14</f>
        <v>0</v>
      </c>
      <c r="R20" s="689">
        <f>SUM(C20:Q20)</f>
        <v>140251.55067741623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73.743432387531328</v>
      </c>
      <c r="D22" s="811">
        <f t="shared" ref="D22:R22" si="1">SUM(D18:D21)</f>
        <v>0</v>
      </c>
      <c r="E22" s="811">
        <f t="shared" si="1"/>
        <v>261.86294492583971</v>
      </c>
      <c r="F22" s="811">
        <f t="shared" si="1"/>
        <v>221.41123633442004</v>
      </c>
      <c r="G22" s="811">
        <f t="shared" si="1"/>
        <v>0</v>
      </c>
      <c r="H22" s="811">
        <f t="shared" si="1"/>
        <v>109259.00121057387</v>
      </c>
      <c r="I22" s="811">
        <f t="shared" si="1"/>
        <v>24438.868788876418</v>
      </c>
      <c r="J22" s="811">
        <f t="shared" si="1"/>
        <v>0</v>
      </c>
      <c r="K22" s="811">
        <f t="shared" si="1"/>
        <v>0</v>
      </c>
      <c r="L22" s="811">
        <f t="shared" si="1"/>
        <v>0</v>
      </c>
      <c r="M22" s="811">
        <f t="shared" si="1"/>
        <v>0</v>
      </c>
      <c r="N22" s="811">
        <f t="shared" si="1"/>
        <v>7912.2319159089775</v>
      </c>
      <c r="O22" s="811">
        <f t="shared" si="1"/>
        <v>0</v>
      </c>
      <c r="P22" s="811">
        <f t="shared" si="1"/>
        <v>0</v>
      </c>
      <c r="Q22" s="811">
        <f t="shared" si="1"/>
        <v>0</v>
      </c>
      <c r="R22" s="811">
        <f t="shared" si="1"/>
        <v>142167.11952900706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10196.759373999999</v>
      </c>
      <c r="D24" s="686">
        <f>+landbouw!C8</f>
        <v>268.07142857142856</v>
      </c>
      <c r="E24" s="686">
        <f>+landbouw!D8</f>
        <v>936.32155100000011</v>
      </c>
      <c r="F24" s="686">
        <f>+landbouw!E8</f>
        <v>318.23749758612007</v>
      </c>
      <c r="G24" s="686">
        <f>+landbouw!F8</f>
        <v>36036.477194248262</v>
      </c>
      <c r="H24" s="686">
        <f>+landbouw!G8</f>
        <v>0</v>
      </c>
      <c r="I24" s="686">
        <f>+landbouw!H8</f>
        <v>0</v>
      </c>
      <c r="J24" s="686">
        <f>+landbouw!I8</f>
        <v>0</v>
      </c>
      <c r="K24" s="686">
        <f>+landbouw!J8</f>
        <v>2809.2779214435263</v>
      </c>
      <c r="L24" s="686">
        <f>+landbouw!K8</f>
        <v>0</v>
      </c>
      <c r="M24" s="686">
        <f>+landbouw!L8</f>
        <v>0</v>
      </c>
      <c r="N24" s="686">
        <f>+landbouw!M8</f>
        <v>0</v>
      </c>
      <c r="O24" s="686">
        <f>+landbouw!N8</f>
        <v>0</v>
      </c>
      <c r="P24" s="686">
        <f>+landbouw!O8</f>
        <v>0</v>
      </c>
      <c r="Q24" s="687">
        <f>+landbouw!P8</f>
        <v>0</v>
      </c>
      <c r="R24" s="689">
        <f>SUM(C24:Q24)</f>
        <v>50565.144966849344</v>
      </c>
      <c r="S24" s="67"/>
    </row>
    <row r="25" spans="1:19" s="448" customFormat="1" ht="15" thickBot="1">
      <c r="A25" s="830" t="s">
        <v>724</v>
      </c>
      <c r="B25" s="949"/>
      <c r="C25" s="950">
        <f>IF(Onbekend_ele_kWh="---",0,Onbekend_ele_kWh)/1000+IF(REST_rest_ele_kWh="---",0,REST_rest_ele_kWh)/1000</f>
        <v>616.77589999999998</v>
      </c>
      <c r="D25" s="950"/>
      <c r="E25" s="950">
        <f>IF(onbekend_gas_kWh="---",0,onbekend_gas_kWh)/1000+IF(REST_rest_gas_kWh="---",0,REST_rest_gas_kWh)/1000</f>
        <v>2558.9811</v>
      </c>
      <c r="F25" s="950"/>
      <c r="G25" s="950"/>
      <c r="H25" s="950"/>
      <c r="I25" s="950"/>
      <c r="J25" s="950"/>
      <c r="K25" s="950"/>
      <c r="L25" s="950"/>
      <c r="M25" s="950"/>
      <c r="N25" s="950"/>
      <c r="O25" s="950"/>
      <c r="P25" s="950"/>
      <c r="Q25" s="951"/>
      <c r="R25" s="689">
        <f>SUM(C25:Q25)</f>
        <v>3175.7570000000001</v>
      </c>
      <c r="S25" s="67"/>
    </row>
    <row r="26" spans="1:19" s="448" customFormat="1" ht="15.75" thickBot="1">
      <c r="A26" s="694" t="s">
        <v>725</v>
      </c>
      <c r="B26" s="816"/>
      <c r="C26" s="811">
        <f>SUM(C24:C25)</f>
        <v>10813.535274</v>
      </c>
      <c r="D26" s="811">
        <f t="shared" ref="D26:R26" si="2">SUM(D24:D25)</f>
        <v>268.07142857142856</v>
      </c>
      <c r="E26" s="811">
        <f t="shared" si="2"/>
        <v>3495.302651</v>
      </c>
      <c r="F26" s="811">
        <f t="shared" si="2"/>
        <v>318.23749758612007</v>
      </c>
      <c r="G26" s="811">
        <f t="shared" si="2"/>
        <v>36036.477194248262</v>
      </c>
      <c r="H26" s="811">
        <f t="shared" si="2"/>
        <v>0</v>
      </c>
      <c r="I26" s="811">
        <f t="shared" si="2"/>
        <v>0</v>
      </c>
      <c r="J26" s="811">
        <f t="shared" si="2"/>
        <v>0</v>
      </c>
      <c r="K26" s="811">
        <f t="shared" si="2"/>
        <v>2809.2779214435263</v>
      </c>
      <c r="L26" s="811">
        <f t="shared" si="2"/>
        <v>0</v>
      </c>
      <c r="M26" s="811">
        <f t="shared" si="2"/>
        <v>0</v>
      </c>
      <c r="N26" s="811">
        <f t="shared" si="2"/>
        <v>0</v>
      </c>
      <c r="O26" s="811">
        <f t="shared" si="2"/>
        <v>0</v>
      </c>
      <c r="P26" s="811">
        <f t="shared" si="2"/>
        <v>0</v>
      </c>
      <c r="Q26" s="811">
        <f t="shared" si="2"/>
        <v>0</v>
      </c>
      <c r="R26" s="811">
        <f t="shared" si="2"/>
        <v>53740.901966849342</v>
      </c>
      <c r="S26" s="67"/>
    </row>
    <row r="27" spans="1:19" s="448" customFormat="1" ht="17.25" thickTop="1" thickBot="1">
      <c r="A27" s="695" t="s">
        <v>115</v>
      </c>
      <c r="B27" s="803"/>
      <c r="C27" s="696">
        <f ca="1">C22+C16+C26</f>
        <v>91517.634309519155</v>
      </c>
      <c r="D27" s="696">
        <f t="shared" ref="D27:R27" ca="1" si="3">D22+D16+D26</f>
        <v>268.07142857142856</v>
      </c>
      <c r="E27" s="696">
        <f t="shared" ca="1" si="3"/>
        <v>90167.48742945386</v>
      </c>
      <c r="F27" s="696">
        <f t="shared" si="3"/>
        <v>32450.842346295463</v>
      </c>
      <c r="G27" s="696">
        <f t="shared" ca="1" si="3"/>
        <v>58365.270831042311</v>
      </c>
      <c r="H27" s="696">
        <f t="shared" si="3"/>
        <v>109259.00121057387</v>
      </c>
      <c r="I27" s="696">
        <f t="shared" si="3"/>
        <v>24438.868788876418</v>
      </c>
      <c r="J27" s="696">
        <f t="shared" si="3"/>
        <v>0</v>
      </c>
      <c r="K27" s="696">
        <f t="shared" si="3"/>
        <v>4097.3297725913399</v>
      </c>
      <c r="L27" s="696">
        <f t="shared" si="3"/>
        <v>0</v>
      </c>
      <c r="M27" s="696">
        <f t="shared" ca="1" si="3"/>
        <v>0</v>
      </c>
      <c r="N27" s="696">
        <f t="shared" si="3"/>
        <v>7912.2319159089775</v>
      </c>
      <c r="O27" s="696">
        <f t="shared" ca="1" si="3"/>
        <v>37076.457118296727</v>
      </c>
      <c r="P27" s="696">
        <f t="shared" si="3"/>
        <v>476.9540474147019</v>
      </c>
      <c r="Q27" s="696">
        <f t="shared" si="3"/>
        <v>536.970608228076</v>
      </c>
      <c r="R27" s="696">
        <f t="shared" ca="1" si="3"/>
        <v>456567.11980677233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5508.6279219055295</v>
      </c>
      <c r="D40" s="686">
        <f ca="1">tertiair!C20</f>
        <v>0</v>
      </c>
      <c r="E40" s="686">
        <f ca="1">tertiair!D20</f>
        <v>4626.2097559265721</v>
      </c>
      <c r="F40" s="686">
        <f>tertiair!E20</f>
        <v>80.319733478848178</v>
      </c>
      <c r="G40" s="686">
        <f ca="1">tertiair!F20</f>
        <v>916.37057828302682</v>
      </c>
      <c r="H40" s="686">
        <f>tertiair!G20</f>
        <v>0</v>
      </c>
      <c r="I40" s="686">
        <f>tertiair!H20</f>
        <v>0</v>
      </c>
      <c r="J40" s="686">
        <f>tertiair!I20</f>
        <v>0</v>
      </c>
      <c r="K40" s="686">
        <f>tertiair!J20</f>
        <v>5.6086825591602073E-2</v>
      </c>
      <c r="L40" s="686">
        <f>tertiair!K20</f>
        <v>0</v>
      </c>
      <c r="M40" s="686">
        <f ca="1">tertiair!L20</f>
        <v>0</v>
      </c>
      <c r="N40" s="686">
        <f>tertiair!M20</f>
        <v>0</v>
      </c>
      <c r="O40" s="686">
        <f ca="1">tertiair!N20</f>
        <v>0</v>
      </c>
      <c r="P40" s="686">
        <f>tertiair!O20</f>
        <v>0</v>
      </c>
      <c r="Q40" s="769">
        <f>tertiair!P20</f>
        <v>0</v>
      </c>
      <c r="R40" s="849">
        <f t="shared" ca="1" si="4"/>
        <v>11131.584076419569</v>
      </c>
    </row>
    <row r="41" spans="1:18">
      <c r="A41" s="821" t="s">
        <v>224</v>
      </c>
      <c r="B41" s="828"/>
      <c r="C41" s="686">
        <f ca="1">huishoudens!B12</f>
        <v>5127.1627105027537</v>
      </c>
      <c r="D41" s="686">
        <f ca="1">huishoudens!C12</f>
        <v>0</v>
      </c>
      <c r="E41" s="686">
        <f>huishoudens!D12</f>
        <v>11203.775842589001</v>
      </c>
      <c r="F41" s="686">
        <f>huishoudens!E12</f>
        <v>6279.0293408508187</v>
      </c>
      <c r="G41" s="686">
        <f>huishoudens!F12</f>
        <v>1774.8737113599645</v>
      </c>
      <c r="H41" s="686">
        <f>huishoudens!G12</f>
        <v>0</v>
      </c>
      <c r="I41" s="686">
        <f>huishoudens!H12</f>
        <v>0</v>
      </c>
      <c r="J41" s="686">
        <f>huishoudens!I12</f>
        <v>0</v>
      </c>
      <c r="K41" s="686">
        <f>huishoudens!J12</f>
        <v>441.47839790172742</v>
      </c>
      <c r="L41" s="686">
        <f>huishoudens!K12</f>
        <v>0</v>
      </c>
      <c r="M41" s="686">
        <f>huishoudens!L12</f>
        <v>0</v>
      </c>
      <c r="N41" s="686">
        <f>huishoudens!M12</f>
        <v>0</v>
      </c>
      <c r="O41" s="686">
        <f>huishoudens!N12</f>
        <v>0</v>
      </c>
      <c r="P41" s="686">
        <f>huishoudens!O12</f>
        <v>0</v>
      </c>
      <c r="Q41" s="769">
        <f>huishoudens!P12</f>
        <v>0</v>
      </c>
      <c r="R41" s="849">
        <f t="shared" ca="1" si="4"/>
        <v>24826.320003204262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4588.0635752838771</v>
      </c>
      <c r="D43" s="686">
        <f ca="1">industrie!C22</f>
        <v>0</v>
      </c>
      <c r="E43" s="686">
        <f>industrie!D22</f>
        <v>1624.899411857084</v>
      </c>
      <c r="F43" s="686">
        <f>industrie!E22</f>
        <v>884.49187567944068</v>
      </c>
      <c r="G43" s="686">
        <f>industrie!F22</f>
        <v>3270.5436113810197</v>
      </c>
      <c r="H43" s="686">
        <f>industrie!G22</f>
        <v>0</v>
      </c>
      <c r="I43" s="686">
        <f>industrie!H22</f>
        <v>0</v>
      </c>
      <c r="J43" s="686">
        <f>industrie!I22</f>
        <v>0</v>
      </c>
      <c r="K43" s="686">
        <f>industrie!J22</f>
        <v>14.435870579007043</v>
      </c>
      <c r="L43" s="686">
        <f>industrie!K22</f>
        <v>0</v>
      </c>
      <c r="M43" s="686">
        <f>industrie!L22</f>
        <v>0</v>
      </c>
      <c r="N43" s="686">
        <f>industrie!M22</f>
        <v>0</v>
      </c>
      <c r="O43" s="686">
        <f>industrie!N22</f>
        <v>0</v>
      </c>
      <c r="P43" s="686">
        <f>industrie!O22</f>
        <v>0</v>
      </c>
      <c r="Q43" s="769">
        <f>industrie!P22</f>
        <v>0</v>
      </c>
      <c r="R43" s="848">
        <f t="shared" ca="1" si="4"/>
        <v>10382.434344780429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15223.85420769216</v>
      </c>
      <c r="D46" s="722">
        <f t="shared" ref="D46:Q46" ca="1" si="5">SUM(D39:D45)</f>
        <v>0</v>
      </c>
      <c r="E46" s="722">
        <f t="shared" ca="1" si="5"/>
        <v>17454.885010372658</v>
      </c>
      <c r="F46" s="722">
        <f t="shared" si="5"/>
        <v>7243.8409500091075</v>
      </c>
      <c r="G46" s="722">
        <f t="shared" ca="1" si="5"/>
        <v>5961.7879010240104</v>
      </c>
      <c r="H46" s="722">
        <f t="shared" si="5"/>
        <v>0</v>
      </c>
      <c r="I46" s="722">
        <f t="shared" si="5"/>
        <v>0</v>
      </c>
      <c r="J46" s="722">
        <f t="shared" si="5"/>
        <v>0</v>
      </c>
      <c r="K46" s="722">
        <f t="shared" si="5"/>
        <v>455.97035530632604</v>
      </c>
      <c r="L46" s="722">
        <f t="shared" si="5"/>
        <v>0</v>
      </c>
      <c r="M46" s="722">
        <f t="shared" ca="1" si="5"/>
        <v>0</v>
      </c>
      <c r="N46" s="722">
        <f t="shared" si="5"/>
        <v>0</v>
      </c>
      <c r="O46" s="722">
        <f t="shared" ca="1" si="5"/>
        <v>0</v>
      </c>
      <c r="P46" s="722">
        <f t="shared" si="5"/>
        <v>0</v>
      </c>
      <c r="Q46" s="722">
        <f t="shared" si="5"/>
        <v>0</v>
      </c>
      <c r="R46" s="722">
        <f ca="1">SUM(R39:R45)</f>
        <v>46340.338424404261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484.53084247064476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484.53084247064476</v>
      </c>
    </row>
    <row r="50" spans="1:18">
      <c r="A50" s="824" t="s">
        <v>306</v>
      </c>
      <c r="B50" s="834"/>
      <c r="C50" s="692">
        <f ca="1">transport!B18</f>
        <v>13.923531095018237</v>
      </c>
      <c r="D50" s="692">
        <f>transport!C18</f>
        <v>0</v>
      </c>
      <c r="E50" s="692">
        <f>transport!D18</f>
        <v>52.896314875019627</v>
      </c>
      <c r="F50" s="692">
        <f>transport!E18</f>
        <v>50.260350647913349</v>
      </c>
      <c r="G50" s="692">
        <f>transport!F18</f>
        <v>0</v>
      </c>
      <c r="H50" s="692">
        <f>transport!G18</f>
        <v>28687.62248075258</v>
      </c>
      <c r="I50" s="692">
        <f>transport!H18</f>
        <v>6085.2783284302277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34889.981005800757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13.923531095018237</v>
      </c>
      <c r="D52" s="722">
        <f t="shared" ref="D52:Q52" ca="1" si="6">SUM(D48:D51)</f>
        <v>0</v>
      </c>
      <c r="E52" s="722">
        <f t="shared" si="6"/>
        <v>52.896314875019627</v>
      </c>
      <c r="F52" s="722">
        <f t="shared" si="6"/>
        <v>50.260350647913349</v>
      </c>
      <c r="G52" s="722">
        <f t="shared" si="6"/>
        <v>0</v>
      </c>
      <c r="H52" s="722">
        <f t="shared" si="6"/>
        <v>29172.153323223225</v>
      </c>
      <c r="I52" s="722">
        <f t="shared" si="6"/>
        <v>6085.2783284302277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35374.511848271402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1925.2547869783323</v>
      </c>
      <c r="D54" s="692">
        <f ca="1">+landbouw!C12</f>
        <v>0</v>
      </c>
      <c r="E54" s="692">
        <f>+landbouw!D12</f>
        <v>189.13695330200002</v>
      </c>
      <c r="F54" s="692">
        <f>+landbouw!E12</f>
        <v>72.239911952049255</v>
      </c>
      <c r="G54" s="692">
        <f>+landbouw!F12</f>
        <v>9621.7394108642857</v>
      </c>
      <c r="H54" s="692">
        <f>+landbouw!G12</f>
        <v>0</v>
      </c>
      <c r="I54" s="692">
        <f>+landbouw!H12</f>
        <v>0</v>
      </c>
      <c r="J54" s="692">
        <f>+landbouw!I12</f>
        <v>0</v>
      </c>
      <c r="K54" s="692">
        <f>+landbouw!J12</f>
        <v>994.4843841910083</v>
      </c>
      <c r="L54" s="692">
        <f>+landbouw!K12</f>
        <v>0</v>
      </c>
      <c r="M54" s="692">
        <f>+landbouw!L12</f>
        <v>0</v>
      </c>
      <c r="N54" s="692">
        <f>+landbouw!M12</f>
        <v>0</v>
      </c>
      <c r="O54" s="692">
        <f>+landbouw!N12</f>
        <v>0</v>
      </c>
      <c r="P54" s="692">
        <f>+landbouw!O12</f>
        <v>0</v>
      </c>
      <c r="Q54" s="693">
        <f>+landbouw!P12</f>
        <v>0</v>
      </c>
      <c r="R54" s="721">
        <f ca="1">SUM(C54:Q54)</f>
        <v>12802.855447287675</v>
      </c>
    </row>
    <row r="55" spans="1:18" ht="15" thickBot="1">
      <c r="A55" s="824" t="s">
        <v>724</v>
      </c>
      <c r="B55" s="834"/>
      <c r="C55" s="692">
        <f ca="1">C25*'EF ele_warmte'!B12</f>
        <v>116.45373891980491</v>
      </c>
      <c r="D55" s="692"/>
      <c r="E55" s="692">
        <f>E25*EF_CO2_aardgas</f>
        <v>516.91418220000003</v>
      </c>
      <c r="F55" s="692"/>
      <c r="G55" s="692"/>
      <c r="H55" s="692"/>
      <c r="I55" s="692"/>
      <c r="J55" s="692"/>
      <c r="K55" s="692"/>
      <c r="L55" s="692"/>
      <c r="M55" s="692"/>
      <c r="N55" s="692"/>
      <c r="O55" s="692"/>
      <c r="P55" s="692"/>
      <c r="Q55" s="693"/>
      <c r="R55" s="721">
        <f ca="1">SUM(C55:Q55)</f>
        <v>633.36792111980492</v>
      </c>
    </row>
    <row r="56" spans="1:18" ht="15.75" thickBot="1">
      <c r="A56" s="822" t="s">
        <v>725</v>
      </c>
      <c r="B56" s="835"/>
      <c r="C56" s="722">
        <f ca="1">SUM(C54:C55)</f>
        <v>2041.7085258981372</v>
      </c>
      <c r="D56" s="722">
        <f t="shared" ref="D56:Q56" ca="1" si="7">SUM(D54:D55)</f>
        <v>0</v>
      </c>
      <c r="E56" s="722">
        <f t="shared" si="7"/>
        <v>706.05113550200008</v>
      </c>
      <c r="F56" s="722">
        <f t="shared" si="7"/>
        <v>72.239911952049255</v>
      </c>
      <c r="G56" s="722">
        <f t="shared" si="7"/>
        <v>9621.7394108642857</v>
      </c>
      <c r="H56" s="722">
        <f t="shared" si="7"/>
        <v>0</v>
      </c>
      <c r="I56" s="722">
        <f t="shared" si="7"/>
        <v>0</v>
      </c>
      <c r="J56" s="722">
        <f t="shared" si="7"/>
        <v>0</v>
      </c>
      <c r="K56" s="722">
        <f t="shared" si="7"/>
        <v>994.4843841910083</v>
      </c>
      <c r="L56" s="722">
        <f t="shared" si="7"/>
        <v>0</v>
      </c>
      <c r="M56" s="722">
        <f t="shared" si="7"/>
        <v>0</v>
      </c>
      <c r="N56" s="722">
        <f t="shared" si="7"/>
        <v>0</v>
      </c>
      <c r="O56" s="722">
        <f t="shared" si="7"/>
        <v>0</v>
      </c>
      <c r="P56" s="722">
        <f t="shared" si="7"/>
        <v>0</v>
      </c>
      <c r="Q56" s="723">
        <f t="shared" si="7"/>
        <v>0</v>
      </c>
      <c r="R56" s="724">
        <f ca="1">SUM(R54:R55)</f>
        <v>13436.22336840748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17279.486264685318</v>
      </c>
      <c r="D61" s="730">
        <f t="shared" ref="D61:Q61" ca="1" si="8">D46+D52+D56</f>
        <v>0</v>
      </c>
      <c r="E61" s="730">
        <f t="shared" ca="1" si="8"/>
        <v>18213.832460749676</v>
      </c>
      <c r="F61" s="730">
        <f t="shared" si="8"/>
        <v>7366.3412126090707</v>
      </c>
      <c r="G61" s="730">
        <f t="shared" ca="1" si="8"/>
        <v>15583.527311888296</v>
      </c>
      <c r="H61" s="730">
        <f t="shared" si="8"/>
        <v>29172.153323223225</v>
      </c>
      <c r="I61" s="730">
        <f t="shared" si="8"/>
        <v>6085.2783284302277</v>
      </c>
      <c r="J61" s="730">
        <f t="shared" si="8"/>
        <v>0</v>
      </c>
      <c r="K61" s="730">
        <f t="shared" si="8"/>
        <v>1450.4547394973342</v>
      </c>
      <c r="L61" s="730">
        <f t="shared" si="8"/>
        <v>0</v>
      </c>
      <c r="M61" s="730">
        <f t="shared" ca="1" si="8"/>
        <v>0</v>
      </c>
      <c r="N61" s="730">
        <f t="shared" si="8"/>
        <v>0</v>
      </c>
      <c r="O61" s="730">
        <f t="shared" ca="1" si="8"/>
        <v>0</v>
      </c>
      <c r="P61" s="730">
        <f t="shared" si="8"/>
        <v>0</v>
      </c>
      <c r="Q61" s="730">
        <f t="shared" si="8"/>
        <v>0</v>
      </c>
      <c r="R61" s="730">
        <f ca="1">R46+R52+R56</f>
        <v>95151.07364108313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0.18881045598539911</v>
      </c>
      <c r="D63" s="776">
        <f t="shared" ca="1" si="9"/>
        <v>0</v>
      </c>
      <c r="E63" s="975">
        <f t="shared" ca="1" si="9"/>
        <v>0.20199999999999996</v>
      </c>
      <c r="F63" s="776">
        <f t="shared" si="9"/>
        <v>0.22700000000000001</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2830.2101131397444</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8611.0535416947459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187.64999999999998</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220.76470588235293</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1701</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4860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13329.91365483449</v>
      </c>
      <c r="C78" s="748">
        <f>SUM(C72:C77)</f>
        <v>0</v>
      </c>
      <c r="D78" s="749">
        <f t="shared" ref="D78:H78" si="10">SUM(D76:D77)</f>
        <v>0</v>
      </c>
      <c r="E78" s="749">
        <f t="shared" si="10"/>
        <v>0</v>
      </c>
      <c r="F78" s="749">
        <f t="shared" si="10"/>
        <v>0</v>
      </c>
      <c r="G78" s="749">
        <f t="shared" si="10"/>
        <v>0</v>
      </c>
      <c r="H78" s="749">
        <f t="shared" si="10"/>
        <v>0</v>
      </c>
      <c r="I78" s="749">
        <f>SUM(I76:I77)</f>
        <v>0</v>
      </c>
      <c r="J78" s="749">
        <f>SUM(J76:J77)</f>
        <v>5080.7647058823532</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268.07142857142856</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315.37815126050418</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268.07142857142856</v>
      </c>
      <c r="C90" s="748">
        <f>SUM(C87:C89)</f>
        <v>0</v>
      </c>
      <c r="D90" s="748">
        <f t="shared" ref="D90:H90" si="12">SUM(D87:D89)</f>
        <v>0</v>
      </c>
      <c r="E90" s="748">
        <f t="shared" si="12"/>
        <v>0</v>
      </c>
      <c r="F90" s="748">
        <f t="shared" si="12"/>
        <v>0</v>
      </c>
      <c r="G90" s="748">
        <f t="shared" si="12"/>
        <v>0</v>
      </c>
      <c r="H90" s="748">
        <f t="shared" si="12"/>
        <v>0</v>
      </c>
      <c r="I90" s="748">
        <f>SUM(I87:I89)</f>
        <v>0</v>
      </c>
      <c r="J90" s="748">
        <f>SUM(J87:J89)</f>
        <v>315.37815126050418</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2830.2101131397444</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8611.0535416947459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187.64999999999998</v>
      </c>
      <c r="C8" s="548">
        <f>B49</f>
        <v>0</v>
      </c>
      <c r="D8" s="549"/>
      <c r="E8" s="549">
        <f>E49</f>
        <v>0</v>
      </c>
      <c r="F8" s="550"/>
      <c r="G8" s="551"/>
      <c r="H8" s="549">
        <f>I49</f>
        <v>0</v>
      </c>
      <c r="I8" s="549">
        <f>G49+F49</f>
        <v>0</v>
      </c>
      <c r="J8" s="549">
        <f>H49+D49+C49</f>
        <v>220.76470588235293</v>
      </c>
      <c r="K8" s="549"/>
      <c r="L8" s="549"/>
      <c r="M8" s="549"/>
      <c r="N8" s="552"/>
      <c r="O8" s="553">
        <f>C8*$C$12+D8*$D$12+E8*$E$12+F8*$F$12+G8*$G$12+H8*$H$12+I8*$I$12+J8*$J$12</f>
        <v>0</v>
      </c>
      <c r="P8" s="1244"/>
      <c r="Q8" s="1245"/>
      <c r="S8" s="543"/>
      <c r="T8" s="1232"/>
      <c r="U8" s="1232"/>
    </row>
    <row r="9" spans="1:21" s="534" customFormat="1" ht="17.45" customHeight="1" thickBot="1">
      <c r="A9" s="554" t="s">
        <v>247</v>
      </c>
      <c r="B9" s="555">
        <f>N37+'Eigen informatie GS &amp; warmtenet'!B12</f>
        <v>1701</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13329.91365483449</v>
      </c>
      <c r="C10" s="563">
        <f t="shared" ref="C10:L10" si="0">SUM(C8:C9)</f>
        <v>0</v>
      </c>
      <c r="D10" s="563">
        <f t="shared" si="0"/>
        <v>0</v>
      </c>
      <c r="E10" s="563">
        <f t="shared" si="0"/>
        <v>0</v>
      </c>
      <c r="F10" s="563">
        <f t="shared" si="0"/>
        <v>0</v>
      </c>
      <c r="G10" s="563">
        <f t="shared" si="0"/>
        <v>0</v>
      </c>
      <c r="H10" s="563">
        <f t="shared" si="0"/>
        <v>0</v>
      </c>
      <c r="I10" s="563">
        <f t="shared" si="0"/>
        <v>0</v>
      </c>
      <c r="J10" s="563">
        <f t="shared" si="0"/>
        <v>5080.7647058823532</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268.07142857142856</v>
      </c>
      <c r="C17" s="579">
        <f>B50</f>
        <v>0</v>
      </c>
      <c r="D17" s="580"/>
      <c r="E17" s="580">
        <f>E50</f>
        <v>0</v>
      </c>
      <c r="F17" s="581"/>
      <c r="G17" s="582"/>
      <c r="H17" s="579">
        <f>I50</f>
        <v>0</v>
      </c>
      <c r="I17" s="580">
        <f>G50+F50</f>
        <v>0</v>
      </c>
      <c r="J17" s="580">
        <f>H50+D50+C50</f>
        <v>315.37815126050418</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268.07142857142856</v>
      </c>
      <c r="C20" s="562">
        <f>SUM(C17:C19)</f>
        <v>0</v>
      </c>
      <c r="D20" s="562">
        <f t="shared" ref="D20:L20" si="1">SUM(D17:D19)</f>
        <v>0</v>
      </c>
      <c r="E20" s="562">
        <f t="shared" si="1"/>
        <v>0</v>
      </c>
      <c r="F20" s="562">
        <f t="shared" si="1"/>
        <v>0</v>
      </c>
      <c r="G20" s="562">
        <f t="shared" si="1"/>
        <v>0</v>
      </c>
      <c r="H20" s="562">
        <f t="shared" si="1"/>
        <v>0</v>
      </c>
      <c r="I20" s="562">
        <f t="shared" si="1"/>
        <v>0</v>
      </c>
      <c r="J20" s="562">
        <f t="shared" si="1"/>
        <v>315.37815126050418</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32003</v>
      </c>
      <c r="C28" s="791">
        <v>8600</v>
      </c>
      <c r="D28" s="640" t="s">
        <v>888</v>
      </c>
      <c r="E28" s="639" t="s">
        <v>889</v>
      </c>
      <c r="F28" s="639" t="s">
        <v>890</v>
      </c>
      <c r="G28" s="639" t="s">
        <v>891</v>
      </c>
      <c r="H28" s="639" t="s">
        <v>892</v>
      </c>
      <c r="I28" s="639" t="s">
        <v>893</v>
      </c>
      <c r="J28" s="790">
        <v>41117</v>
      </c>
      <c r="K28" s="790">
        <v>41244</v>
      </c>
      <c r="L28" s="639" t="s">
        <v>894</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25.5">
      <c r="A29" s="592"/>
      <c r="B29" s="791">
        <v>32003</v>
      </c>
      <c r="C29" s="791">
        <v>8600</v>
      </c>
      <c r="D29" s="640"/>
      <c r="E29" s="639"/>
      <c r="F29" s="639" t="s">
        <v>895</v>
      </c>
      <c r="G29" s="639" t="s">
        <v>891</v>
      </c>
      <c r="H29" s="639" t="s">
        <v>892</v>
      </c>
      <c r="I29" s="639" t="s">
        <v>896</v>
      </c>
      <c r="J29" s="790">
        <v>40882</v>
      </c>
      <c r="K29" s="790">
        <v>41250</v>
      </c>
      <c r="L29" s="639" t="s">
        <v>897</v>
      </c>
      <c r="M29" s="639">
        <v>32</v>
      </c>
      <c r="N29" s="639">
        <v>144</v>
      </c>
      <c r="O29" s="639">
        <v>205.71428571428572</v>
      </c>
      <c r="P29" s="639">
        <v>0</v>
      </c>
      <c r="Q29" s="639">
        <v>0</v>
      </c>
      <c r="R29" s="639">
        <v>0</v>
      </c>
      <c r="S29" s="639">
        <v>0</v>
      </c>
      <c r="T29" s="639">
        <v>0</v>
      </c>
      <c r="U29" s="639">
        <v>0</v>
      </c>
      <c r="V29" s="639">
        <v>411.42857142857144</v>
      </c>
      <c r="W29" s="639">
        <v>0</v>
      </c>
      <c r="X29" s="639">
        <v>10</v>
      </c>
      <c r="Y29" s="639" t="s">
        <v>898</v>
      </c>
      <c r="Z29" s="641" t="s">
        <v>111</v>
      </c>
    </row>
    <row r="30" spans="1:26" s="573" customFormat="1">
      <c r="A30" s="595" t="s">
        <v>279</v>
      </c>
      <c r="B30" s="596"/>
      <c r="C30" s="596"/>
      <c r="D30" s="596"/>
      <c r="E30" s="596"/>
      <c r="F30" s="596"/>
      <c r="G30" s="596"/>
      <c r="H30" s="596"/>
      <c r="I30" s="596"/>
      <c r="J30" s="596"/>
      <c r="K30" s="596"/>
      <c r="L30" s="597"/>
      <c r="M30" s="597">
        <f>SUM(M28:M29)</f>
        <v>41.7</v>
      </c>
      <c r="N30" s="597">
        <f>SUM(N28:N29)</f>
        <v>187.64999999999998</v>
      </c>
      <c r="O30" s="597">
        <f>SUM(O28:O29)</f>
        <v>268.07142857142856</v>
      </c>
      <c r="P30" s="597">
        <f>SUM(P28:P29)</f>
        <v>0</v>
      </c>
      <c r="Q30" s="597">
        <f>SUM(Q28:Q29)</f>
        <v>124.71428571428569</v>
      </c>
      <c r="R30" s="597">
        <f>SUM(R28:R29)</f>
        <v>0</v>
      </c>
      <c r="S30" s="597">
        <f>SUM(S28:S29)</f>
        <v>0</v>
      </c>
      <c r="T30" s="597">
        <f>SUM(T28:T29)</f>
        <v>0</v>
      </c>
      <c r="U30" s="597">
        <f>SUM(U28:U29)</f>
        <v>0</v>
      </c>
      <c r="V30" s="597">
        <f>SUM(V28:V29)</f>
        <v>411.42857142857144</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41.7</v>
      </c>
      <c r="N33" s="602">
        <f>SUMIF($Z$28:$Z$29,"landbouw",N28:N29)</f>
        <v>187.64999999999998</v>
      </c>
      <c r="O33" s="602">
        <f>SUMIF($Z$28:$Z$29,"landbouw",O28:O29)</f>
        <v>268.07142857142856</v>
      </c>
      <c r="P33" s="602">
        <f>SUMIF($Z$28:$Z$29,"landbouw",P28:P29)</f>
        <v>0</v>
      </c>
      <c r="Q33" s="602">
        <f>SUMIF($Z$28:$Z$29,"landbouw",Q28:Q29)</f>
        <v>124.71428571428569</v>
      </c>
      <c r="R33" s="602">
        <f>SUMIF($Z$28:$Z$29,"landbouw",R28:R29)</f>
        <v>0</v>
      </c>
      <c r="S33" s="602">
        <f>SUMIF($Z$28:$Z$29,"landbouw",S28:S29)</f>
        <v>0</v>
      </c>
      <c r="T33" s="602">
        <f>SUMIF($Z$28:$Z$29,"landbouw",T28:T29)</f>
        <v>0</v>
      </c>
      <c r="U33" s="602">
        <f>SUMIF($Z$28:$Z$29,"landbouw",U28:U29)</f>
        <v>0</v>
      </c>
      <c r="V33" s="602">
        <f>SUMIF($Z$28:$Z$29,"landbouw",V28:V29)</f>
        <v>411.42857142857144</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38.25">
      <c r="A36" s="594"/>
      <c r="B36" s="791">
        <v>32003</v>
      </c>
      <c r="C36" s="791">
        <v>8600</v>
      </c>
      <c r="D36" s="642" t="s">
        <v>899</v>
      </c>
      <c r="E36" s="642" t="s">
        <v>900</v>
      </c>
      <c r="F36" s="642" t="s">
        <v>901</v>
      </c>
      <c r="G36" s="642" t="s">
        <v>902</v>
      </c>
      <c r="H36" s="642" t="s">
        <v>903</v>
      </c>
      <c r="I36" s="642" t="s">
        <v>904</v>
      </c>
      <c r="J36" s="790">
        <v>39340</v>
      </c>
      <c r="K36" s="790">
        <v>40704</v>
      </c>
      <c r="L36" s="642" t="s">
        <v>894</v>
      </c>
      <c r="M36" s="642">
        <v>378</v>
      </c>
      <c r="N36" s="642">
        <v>1701</v>
      </c>
      <c r="O36" s="642">
        <v>0</v>
      </c>
      <c r="P36" s="642">
        <v>0</v>
      </c>
      <c r="Q36" s="642">
        <v>0</v>
      </c>
      <c r="R36" s="642">
        <v>0</v>
      </c>
      <c r="S36" s="642">
        <v>0</v>
      </c>
      <c r="T36" s="642">
        <v>0</v>
      </c>
      <c r="U36" s="642">
        <v>0</v>
      </c>
      <c r="V36" s="642">
        <v>4860</v>
      </c>
      <c r="W36" s="642">
        <v>0</v>
      </c>
      <c r="X36" s="642">
        <v>10</v>
      </c>
      <c r="Y36" s="642" t="s">
        <v>111</v>
      </c>
      <c r="Z36" s="643" t="s">
        <v>111</v>
      </c>
    </row>
    <row r="37" spans="1:27" s="573" customFormat="1">
      <c r="A37" s="595" t="s">
        <v>279</v>
      </c>
      <c r="B37" s="596"/>
      <c r="C37" s="596"/>
      <c r="D37" s="596"/>
      <c r="E37" s="596"/>
      <c r="F37" s="596"/>
      <c r="G37" s="596"/>
      <c r="H37" s="596"/>
      <c r="I37" s="596"/>
      <c r="J37" s="596"/>
      <c r="K37" s="596"/>
      <c r="L37" s="597"/>
      <c r="M37" s="597">
        <f>SUM(M36:M36)</f>
        <v>378</v>
      </c>
      <c r="N37" s="597">
        <f>SUM(N36:N36)</f>
        <v>1701</v>
      </c>
      <c r="O37" s="597">
        <f>SUM(O36:O36)</f>
        <v>0</v>
      </c>
      <c r="P37" s="597">
        <f>SUM(P36:P36)</f>
        <v>0</v>
      </c>
      <c r="Q37" s="597">
        <f>SUM(Q36:Q36)</f>
        <v>0</v>
      </c>
      <c r="R37" s="597">
        <f>SUM(R36:R36)</f>
        <v>0</v>
      </c>
      <c r="S37" s="597">
        <f>SUM(S36:S36)</f>
        <v>0</v>
      </c>
      <c r="T37" s="597">
        <f>SUM(T36:T36)</f>
        <v>0</v>
      </c>
      <c r="U37" s="597">
        <f>SUM(U36:U36)</f>
        <v>0</v>
      </c>
      <c r="V37" s="597">
        <f>SUM(V36:V36)</f>
        <v>4860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378</v>
      </c>
      <c r="N40" s="602">
        <f>SUMIF($Z$36:$Z$38,"landbouw",N36:N38)</f>
        <v>1701</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4860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51.35294117647058</v>
      </c>
      <c r="D49" s="631">
        <f t="shared" si="2"/>
        <v>0</v>
      </c>
      <c r="E49" s="631">
        <f t="shared" si="2"/>
        <v>0</v>
      </c>
      <c r="F49" s="631">
        <f t="shared" si="2"/>
        <v>0</v>
      </c>
      <c r="G49" s="631">
        <f t="shared" si="2"/>
        <v>0</v>
      </c>
      <c r="H49" s="631">
        <f t="shared" si="2"/>
        <v>169.41176470588235</v>
      </c>
      <c r="I49" s="632">
        <f t="shared" si="2"/>
        <v>0</v>
      </c>
      <c r="J49" s="589"/>
      <c r="K49" s="589"/>
      <c r="L49" s="627"/>
      <c r="M49" s="627"/>
      <c r="N49" s="627"/>
      <c r="O49" s="614"/>
      <c r="P49" s="614"/>
    </row>
    <row r="50" spans="1:16" ht="15.75" thickBot="1">
      <c r="A50" s="633" t="s">
        <v>285</v>
      </c>
      <c r="B50" s="634">
        <f t="shared" ref="B50:I50" si="3">$B$46*P30</f>
        <v>0</v>
      </c>
      <c r="C50" s="634">
        <f t="shared" si="3"/>
        <v>73.361344537815114</v>
      </c>
      <c r="D50" s="634">
        <f t="shared" si="3"/>
        <v>0</v>
      </c>
      <c r="E50" s="634">
        <f t="shared" si="3"/>
        <v>0</v>
      </c>
      <c r="F50" s="634">
        <f t="shared" si="3"/>
        <v>0</v>
      </c>
      <c r="G50" s="634">
        <f t="shared" si="3"/>
        <v>0</v>
      </c>
      <c r="H50" s="634">
        <f t="shared" si="3"/>
        <v>242.0168067226891</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27155.07827013162</v>
      </c>
      <c r="C4" s="452">
        <f>huishoudens!C8</f>
        <v>0</v>
      </c>
      <c r="D4" s="452">
        <f>huishoudens!D8</f>
        <v>55464.236844500003</v>
      </c>
      <c r="E4" s="452">
        <f>huishoudens!E8</f>
        <v>27660.922206391271</v>
      </c>
      <c r="F4" s="452">
        <f>huishoudens!F8</f>
        <v>6647.4670837451849</v>
      </c>
      <c r="G4" s="452">
        <f>huishoudens!G8</f>
        <v>0</v>
      </c>
      <c r="H4" s="452">
        <f>huishoudens!H8</f>
        <v>0</v>
      </c>
      <c r="I4" s="452">
        <f>huishoudens!I8</f>
        <v>0</v>
      </c>
      <c r="J4" s="452">
        <f>huishoudens!J8</f>
        <v>1247.1141183664618</v>
      </c>
      <c r="K4" s="452">
        <f>huishoudens!K8</f>
        <v>0</v>
      </c>
      <c r="L4" s="452">
        <f>huishoudens!L8</f>
        <v>0</v>
      </c>
      <c r="M4" s="452">
        <f>huishoudens!M8</f>
        <v>0</v>
      </c>
      <c r="N4" s="452">
        <f>huishoudens!N8</f>
        <v>29489.752890215976</v>
      </c>
      <c r="O4" s="452">
        <f>huishoudens!O8</f>
        <v>462.26226511717846</v>
      </c>
      <c r="P4" s="453">
        <f>huishoudens!P8</f>
        <v>431.89233161508594</v>
      </c>
      <c r="Q4" s="454">
        <f>SUM(B4:P4)</f>
        <v>148558.72601008278</v>
      </c>
    </row>
    <row r="5" spans="1:17">
      <c r="A5" s="451" t="s">
        <v>155</v>
      </c>
      <c r="B5" s="452">
        <f ca="1">tertiair!B16</f>
        <v>28171.097898</v>
      </c>
      <c r="C5" s="452">
        <f ca="1">tertiair!C16</f>
        <v>0</v>
      </c>
      <c r="D5" s="452">
        <f ca="1">tertiair!D16</f>
        <v>22902.028494685997</v>
      </c>
      <c r="E5" s="452">
        <f>tertiair!E16</f>
        <v>353.83142501695232</v>
      </c>
      <c r="F5" s="452">
        <f ca="1">tertiair!F16</f>
        <v>3432.0995441311866</v>
      </c>
      <c r="G5" s="452">
        <f>tertiair!G16</f>
        <v>0</v>
      </c>
      <c r="H5" s="452">
        <f>tertiair!H16</f>
        <v>0</v>
      </c>
      <c r="I5" s="452">
        <f>tertiair!I16</f>
        <v>0</v>
      </c>
      <c r="J5" s="452">
        <f>tertiair!J16</f>
        <v>0.15843736042825446</v>
      </c>
      <c r="K5" s="452">
        <f>tertiair!K16</f>
        <v>0</v>
      </c>
      <c r="L5" s="452">
        <f ca="1">tertiair!L16</f>
        <v>0</v>
      </c>
      <c r="M5" s="452">
        <f>tertiair!M16</f>
        <v>0</v>
      </c>
      <c r="N5" s="452">
        <f ca="1">tertiair!N16</f>
        <v>6195.7342184894969</v>
      </c>
      <c r="O5" s="452">
        <f>tertiair!O16</f>
        <v>14.691782297523464</v>
      </c>
      <c r="P5" s="453">
        <f>tertiair!P16</f>
        <v>105.07827661299004</v>
      </c>
      <c r="Q5" s="451">
        <f t="shared" ref="Q5:Q14" ca="1" si="0">SUM(B5:P5)</f>
        <v>61174.720076594574</v>
      </c>
    </row>
    <row r="6" spans="1:17">
      <c r="A6" s="451" t="s">
        <v>193</v>
      </c>
      <c r="B6" s="452">
        <f>'openbare verlichting'!B8</f>
        <v>1004.341</v>
      </c>
      <c r="C6" s="452"/>
      <c r="D6" s="452"/>
      <c r="E6" s="452"/>
      <c r="F6" s="452"/>
      <c r="G6" s="452"/>
      <c r="H6" s="452"/>
      <c r="I6" s="452"/>
      <c r="J6" s="452"/>
      <c r="K6" s="452"/>
      <c r="L6" s="452"/>
      <c r="M6" s="452"/>
      <c r="N6" s="452"/>
      <c r="O6" s="452"/>
      <c r="P6" s="453"/>
      <c r="Q6" s="451">
        <f t="shared" si="0"/>
        <v>1004.341</v>
      </c>
    </row>
    <row r="7" spans="1:17">
      <c r="A7" s="451" t="s">
        <v>111</v>
      </c>
      <c r="B7" s="452">
        <f>landbouw!B8</f>
        <v>10196.759373999999</v>
      </c>
      <c r="C7" s="452">
        <f>landbouw!C8</f>
        <v>268.07142857142856</v>
      </c>
      <c r="D7" s="452">
        <f>landbouw!D8</f>
        <v>936.32155100000011</v>
      </c>
      <c r="E7" s="452">
        <f>landbouw!E8</f>
        <v>318.23749758612007</v>
      </c>
      <c r="F7" s="452">
        <f>landbouw!F8</f>
        <v>36036.477194248262</v>
      </c>
      <c r="G7" s="452">
        <f>landbouw!G8</f>
        <v>0</v>
      </c>
      <c r="H7" s="452">
        <f>landbouw!H8</f>
        <v>0</v>
      </c>
      <c r="I7" s="452">
        <f>landbouw!I8</f>
        <v>0</v>
      </c>
      <c r="J7" s="452">
        <f>landbouw!J8</f>
        <v>2809.2779214435263</v>
      </c>
      <c r="K7" s="452">
        <f>landbouw!K8</f>
        <v>0</v>
      </c>
      <c r="L7" s="452">
        <f>landbouw!L8</f>
        <v>0</v>
      </c>
      <c r="M7" s="452">
        <f>landbouw!M8</f>
        <v>0</v>
      </c>
      <c r="N7" s="452">
        <f>landbouw!N8</f>
        <v>0</v>
      </c>
      <c r="O7" s="452">
        <f>landbouw!O8</f>
        <v>0</v>
      </c>
      <c r="P7" s="453">
        <f>landbouw!P8</f>
        <v>0</v>
      </c>
      <c r="Q7" s="451">
        <f t="shared" si="0"/>
        <v>50565.144966849344</v>
      </c>
    </row>
    <row r="8" spans="1:17">
      <c r="A8" s="451" t="s">
        <v>625</v>
      </c>
      <c r="B8" s="452">
        <f>industrie!B18</f>
        <v>24299.838435000001</v>
      </c>
      <c r="C8" s="452">
        <f>industrie!C18</f>
        <v>0</v>
      </c>
      <c r="D8" s="452">
        <f>industrie!D18</f>
        <v>8044.0564943419995</v>
      </c>
      <c r="E8" s="452">
        <f>industrie!E18</f>
        <v>3896.4399809666988</v>
      </c>
      <c r="F8" s="452">
        <f>industrie!F18</f>
        <v>12249.227008917676</v>
      </c>
      <c r="G8" s="452">
        <f>industrie!G18</f>
        <v>0</v>
      </c>
      <c r="H8" s="452">
        <f>industrie!H18</f>
        <v>0</v>
      </c>
      <c r="I8" s="452">
        <f>industrie!I18</f>
        <v>0</v>
      </c>
      <c r="J8" s="452">
        <f>industrie!J18</f>
        <v>40.779295420923852</v>
      </c>
      <c r="K8" s="452">
        <f>industrie!K18</f>
        <v>0</v>
      </c>
      <c r="L8" s="452">
        <f>industrie!L18</f>
        <v>0</v>
      </c>
      <c r="M8" s="452">
        <f>industrie!M18</f>
        <v>0</v>
      </c>
      <c r="N8" s="452">
        <f>industrie!N18</f>
        <v>1390.9700095912588</v>
      </c>
      <c r="O8" s="452">
        <f>industrie!O18</f>
        <v>0</v>
      </c>
      <c r="P8" s="453">
        <f>industrie!P18</f>
        <v>0</v>
      </c>
      <c r="Q8" s="451">
        <f t="shared" si="0"/>
        <v>49921.311224238554</v>
      </c>
    </row>
    <row r="9" spans="1:17" s="457" customFormat="1">
      <c r="A9" s="455" t="s">
        <v>551</v>
      </c>
      <c r="B9" s="456">
        <f>transport!B14</f>
        <v>73.743432387531328</v>
      </c>
      <c r="C9" s="456">
        <f>transport!C14</f>
        <v>0</v>
      </c>
      <c r="D9" s="456">
        <f>transport!D14</f>
        <v>261.86294492583971</v>
      </c>
      <c r="E9" s="456">
        <f>transport!E14</f>
        <v>221.41123633442004</v>
      </c>
      <c r="F9" s="456">
        <f>transport!F14</f>
        <v>0</v>
      </c>
      <c r="G9" s="456">
        <f>transport!G14</f>
        <v>107444.27895412951</v>
      </c>
      <c r="H9" s="456">
        <f>transport!H14</f>
        <v>24438.868788876418</v>
      </c>
      <c r="I9" s="456">
        <f>transport!I14</f>
        <v>0</v>
      </c>
      <c r="J9" s="456">
        <f>transport!J14</f>
        <v>0</v>
      </c>
      <c r="K9" s="456">
        <f>transport!K14</f>
        <v>0</v>
      </c>
      <c r="L9" s="456">
        <f>transport!L14</f>
        <v>0</v>
      </c>
      <c r="M9" s="456">
        <f>transport!M14</f>
        <v>7811.3853207625234</v>
      </c>
      <c r="N9" s="456">
        <f>transport!N14</f>
        <v>0</v>
      </c>
      <c r="O9" s="456">
        <f>transport!O14</f>
        <v>0</v>
      </c>
      <c r="P9" s="456">
        <f>transport!P14</f>
        <v>0</v>
      </c>
      <c r="Q9" s="455">
        <f>SUM(B9:P9)</f>
        <v>140251.55067741623</v>
      </c>
    </row>
    <row r="10" spans="1:17">
      <c r="A10" s="451" t="s">
        <v>541</v>
      </c>
      <c r="B10" s="452">
        <f>transport!B54</f>
        <v>0</v>
      </c>
      <c r="C10" s="452">
        <f>transport!C54</f>
        <v>0</v>
      </c>
      <c r="D10" s="452">
        <f>transport!D54</f>
        <v>0</v>
      </c>
      <c r="E10" s="452">
        <f>transport!E54</f>
        <v>0</v>
      </c>
      <c r="F10" s="452">
        <f>transport!F54</f>
        <v>0</v>
      </c>
      <c r="G10" s="452">
        <f>transport!G54</f>
        <v>1814.7222564443623</v>
      </c>
      <c r="H10" s="452">
        <f>transport!H54</f>
        <v>0</v>
      </c>
      <c r="I10" s="452">
        <f>transport!I54</f>
        <v>0</v>
      </c>
      <c r="J10" s="452">
        <f>transport!J54</f>
        <v>0</v>
      </c>
      <c r="K10" s="452">
        <f>transport!K54</f>
        <v>0</v>
      </c>
      <c r="L10" s="452">
        <f>transport!L54</f>
        <v>0</v>
      </c>
      <c r="M10" s="452">
        <f>transport!M54</f>
        <v>100.84659514645367</v>
      </c>
      <c r="N10" s="452">
        <f>transport!N54</f>
        <v>0</v>
      </c>
      <c r="O10" s="452">
        <f>transport!O54</f>
        <v>0</v>
      </c>
      <c r="P10" s="453">
        <f>transport!P54</f>
        <v>0</v>
      </c>
      <c r="Q10" s="451">
        <f t="shared" si="0"/>
        <v>1915.5688515908159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616.77589999999998</v>
      </c>
      <c r="C14" s="459"/>
      <c r="D14" s="459">
        <f>'SEAP template'!E25</f>
        <v>2558.9811</v>
      </c>
      <c r="E14" s="459"/>
      <c r="F14" s="459"/>
      <c r="G14" s="459"/>
      <c r="H14" s="459"/>
      <c r="I14" s="459"/>
      <c r="J14" s="459"/>
      <c r="K14" s="459"/>
      <c r="L14" s="459"/>
      <c r="M14" s="459"/>
      <c r="N14" s="459"/>
      <c r="O14" s="459"/>
      <c r="P14" s="460"/>
      <c r="Q14" s="451">
        <f t="shared" si="0"/>
        <v>3175.7570000000001</v>
      </c>
    </row>
    <row r="15" spans="1:17" s="463" customFormat="1">
      <c r="A15" s="461" t="s">
        <v>545</v>
      </c>
      <c r="B15" s="462">
        <f ca="1">SUM(B4:B14)</f>
        <v>91517.634309519141</v>
      </c>
      <c r="C15" s="462">
        <f t="shared" ref="C15:Q15" ca="1" si="1">SUM(C4:C14)</f>
        <v>268.07142857142856</v>
      </c>
      <c r="D15" s="462">
        <f t="shared" ca="1" si="1"/>
        <v>90167.48742945386</v>
      </c>
      <c r="E15" s="462">
        <f t="shared" si="1"/>
        <v>32450.842346295463</v>
      </c>
      <c r="F15" s="462">
        <f t="shared" ca="1" si="1"/>
        <v>58365.270831042304</v>
      </c>
      <c r="G15" s="462">
        <f t="shared" si="1"/>
        <v>109259.00121057387</v>
      </c>
      <c r="H15" s="462">
        <f t="shared" si="1"/>
        <v>24438.868788876418</v>
      </c>
      <c r="I15" s="462">
        <f t="shared" si="1"/>
        <v>0</v>
      </c>
      <c r="J15" s="462">
        <f t="shared" si="1"/>
        <v>4097.3297725913399</v>
      </c>
      <c r="K15" s="462">
        <f t="shared" si="1"/>
        <v>0</v>
      </c>
      <c r="L15" s="462">
        <f t="shared" ca="1" si="1"/>
        <v>0</v>
      </c>
      <c r="M15" s="462">
        <f t="shared" si="1"/>
        <v>7912.2319159089775</v>
      </c>
      <c r="N15" s="462">
        <f t="shared" ca="1" si="1"/>
        <v>37076.457118296727</v>
      </c>
      <c r="O15" s="462">
        <f t="shared" si="1"/>
        <v>476.9540474147019</v>
      </c>
      <c r="P15" s="462">
        <f t="shared" si="1"/>
        <v>536.970608228076</v>
      </c>
      <c r="Q15" s="462">
        <f t="shared" ca="1" si="1"/>
        <v>456567.11980677227</v>
      </c>
    </row>
    <row r="17" spans="1:17">
      <c r="A17" s="464" t="s">
        <v>546</v>
      </c>
      <c r="B17" s="781">
        <f ca="1">huishoudens!B10</f>
        <v>0.18881045598539908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5127.1627105027537</v>
      </c>
      <c r="C22" s="452">
        <f t="shared" ref="C22:C32" ca="1" si="3">C4*$C$17</f>
        <v>0</v>
      </c>
      <c r="D22" s="452">
        <f t="shared" ref="D22:D32" si="4">D4*$D$17</f>
        <v>11203.775842589001</v>
      </c>
      <c r="E22" s="452">
        <f t="shared" ref="E22:E32" si="5">E4*$E$17</f>
        <v>6279.0293408508187</v>
      </c>
      <c r="F22" s="452">
        <f t="shared" ref="F22:F32" si="6">F4*$F$17</f>
        <v>1774.8737113599645</v>
      </c>
      <c r="G22" s="452">
        <f t="shared" ref="G22:G32" si="7">G4*$G$17</f>
        <v>0</v>
      </c>
      <c r="H22" s="452">
        <f t="shared" ref="H22:H32" si="8">H4*$H$17</f>
        <v>0</v>
      </c>
      <c r="I22" s="452">
        <f t="shared" ref="I22:I32" si="9">I4*$I$17</f>
        <v>0</v>
      </c>
      <c r="J22" s="452">
        <f t="shared" ref="J22:J32" si="10">J4*$J$17</f>
        <v>441.47839790172742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24826.320003204262</v>
      </c>
    </row>
    <row r="23" spans="1:17">
      <c r="A23" s="451" t="s">
        <v>155</v>
      </c>
      <c r="B23" s="452">
        <f t="shared" ca="1" si="2"/>
        <v>5318.9978397306977</v>
      </c>
      <c r="C23" s="452">
        <f t="shared" ca="1" si="3"/>
        <v>0</v>
      </c>
      <c r="D23" s="452">
        <f t="shared" ca="1" si="4"/>
        <v>4626.2097559265721</v>
      </c>
      <c r="E23" s="452">
        <f t="shared" si="5"/>
        <v>80.319733478848178</v>
      </c>
      <c r="F23" s="452">
        <f t="shared" ca="1" si="6"/>
        <v>916.37057828302682</v>
      </c>
      <c r="G23" s="452">
        <f t="shared" si="7"/>
        <v>0</v>
      </c>
      <c r="H23" s="452">
        <f t="shared" si="8"/>
        <v>0</v>
      </c>
      <c r="I23" s="452">
        <f t="shared" si="9"/>
        <v>0</v>
      </c>
      <c r="J23" s="452">
        <f t="shared" si="10"/>
        <v>5.6086825591602073E-2</v>
      </c>
      <c r="K23" s="452">
        <f t="shared" si="11"/>
        <v>0</v>
      </c>
      <c r="L23" s="452">
        <f t="shared" ca="1" si="12"/>
        <v>0</v>
      </c>
      <c r="M23" s="452">
        <f t="shared" si="13"/>
        <v>0</v>
      </c>
      <c r="N23" s="452">
        <f t="shared" ca="1" si="14"/>
        <v>0</v>
      </c>
      <c r="O23" s="452">
        <f t="shared" si="15"/>
        <v>0</v>
      </c>
      <c r="P23" s="453">
        <f t="shared" si="16"/>
        <v>0</v>
      </c>
      <c r="Q23" s="451">
        <f t="shared" ref="Q23:Q31" ca="1" si="17">SUM(B23:P23)</f>
        <v>10941.953994244737</v>
      </c>
    </row>
    <row r="24" spans="1:17">
      <c r="A24" s="451" t="s">
        <v>193</v>
      </c>
      <c r="B24" s="452">
        <f t="shared" ca="1" si="2"/>
        <v>189.6300821748317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189.6300821748317</v>
      </c>
    </row>
    <row r="25" spans="1:17">
      <c r="A25" s="451" t="s">
        <v>111</v>
      </c>
      <c r="B25" s="452">
        <f t="shared" ca="1" si="2"/>
        <v>1925.2547869783323</v>
      </c>
      <c r="C25" s="452">
        <f t="shared" ca="1" si="3"/>
        <v>0</v>
      </c>
      <c r="D25" s="452">
        <f t="shared" si="4"/>
        <v>189.13695330200002</v>
      </c>
      <c r="E25" s="452">
        <f t="shared" si="5"/>
        <v>72.239911952049255</v>
      </c>
      <c r="F25" s="452">
        <f t="shared" si="6"/>
        <v>9621.7394108642857</v>
      </c>
      <c r="G25" s="452">
        <f t="shared" si="7"/>
        <v>0</v>
      </c>
      <c r="H25" s="452">
        <f t="shared" si="8"/>
        <v>0</v>
      </c>
      <c r="I25" s="452">
        <f t="shared" si="9"/>
        <v>0</v>
      </c>
      <c r="J25" s="452">
        <f t="shared" si="10"/>
        <v>994.4843841910083</v>
      </c>
      <c r="K25" s="452">
        <f t="shared" si="11"/>
        <v>0</v>
      </c>
      <c r="L25" s="452">
        <f t="shared" si="12"/>
        <v>0</v>
      </c>
      <c r="M25" s="452">
        <f t="shared" si="13"/>
        <v>0</v>
      </c>
      <c r="N25" s="452">
        <f t="shared" si="14"/>
        <v>0</v>
      </c>
      <c r="O25" s="452">
        <f t="shared" si="15"/>
        <v>0</v>
      </c>
      <c r="P25" s="453">
        <f t="shared" si="16"/>
        <v>0</v>
      </c>
      <c r="Q25" s="451">
        <f t="shared" ca="1" si="17"/>
        <v>12802.855447287675</v>
      </c>
    </row>
    <row r="26" spans="1:17">
      <c r="A26" s="451" t="s">
        <v>625</v>
      </c>
      <c r="B26" s="452">
        <f t="shared" ca="1" si="2"/>
        <v>4588.0635752838771</v>
      </c>
      <c r="C26" s="452">
        <f t="shared" ca="1" si="3"/>
        <v>0</v>
      </c>
      <c r="D26" s="452">
        <f t="shared" si="4"/>
        <v>1624.899411857084</v>
      </c>
      <c r="E26" s="452">
        <f t="shared" si="5"/>
        <v>884.49187567944068</v>
      </c>
      <c r="F26" s="452">
        <f t="shared" si="6"/>
        <v>3270.5436113810197</v>
      </c>
      <c r="G26" s="452">
        <f t="shared" si="7"/>
        <v>0</v>
      </c>
      <c r="H26" s="452">
        <f t="shared" si="8"/>
        <v>0</v>
      </c>
      <c r="I26" s="452">
        <f t="shared" si="9"/>
        <v>0</v>
      </c>
      <c r="J26" s="452">
        <f t="shared" si="10"/>
        <v>14.435870579007043</v>
      </c>
      <c r="K26" s="452">
        <f t="shared" si="11"/>
        <v>0</v>
      </c>
      <c r="L26" s="452">
        <f t="shared" si="12"/>
        <v>0</v>
      </c>
      <c r="M26" s="452">
        <f t="shared" si="13"/>
        <v>0</v>
      </c>
      <c r="N26" s="452">
        <f t="shared" si="14"/>
        <v>0</v>
      </c>
      <c r="O26" s="452">
        <f t="shared" si="15"/>
        <v>0</v>
      </c>
      <c r="P26" s="453">
        <f t="shared" si="16"/>
        <v>0</v>
      </c>
      <c r="Q26" s="451">
        <f t="shared" ca="1" si="17"/>
        <v>10382.434344780429</v>
      </c>
    </row>
    <row r="27" spans="1:17" s="457" customFormat="1">
      <c r="A27" s="455" t="s">
        <v>551</v>
      </c>
      <c r="B27" s="775">
        <f t="shared" ca="1" si="2"/>
        <v>13.923531095018237</v>
      </c>
      <c r="C27" s="456">
        <f t="shared" ca="1" si="3"/>
        <v>0</v>
      </c>
      <c r="D27" s="456">
        <f t="shared" si="4"/>
        <v>52.896314875019627</v>
      </c>
      <c r="E27" s="456">
        <f t="shared" si="5"/>
        <v>50.260350647913349</v>
      </c>
      <c r="F27" s="456">
        <f t="shared" si="6"/>
        <v>0</v>
      </c>
      <c r="G27" s="456">
        <f t="shared" si="7"/>
        <v>28687.62248075258</v>
      </c>
      <c r="H27" s="456">
        <f t="shared" si="8"/>
        <v>6085.2783284302277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34889.981005800757</v>
      </c>
    </row>
    <row r="28" spans="1:17" ht="16.5" customHeight="1">
      <c r="A28" s="451" t="s">
        <v>541</v>
      </c>
      <c r="B28" s="452">
        <f t="shared" ca="1" si="2"/>
        <v>0</v>
      </c>
      <c r="C28" s="452">
        <f t="shared" ca="1" si="3"/>
        <v>0</v>
      </c>
      <c r="D28" s="452">
        <f t="shared" si="4"/>
        <v>0</v>
      </c>
      <c r="E28" s="452">
        <f t="shared" si="5"/>
        <v>0</v>
      </c>
      <c r="F28" s="452">
        <f t="shared" si="6"/>
        <v>0</v>
      </c>
      <c r="G28" s="452">
        <f t="shared" si="7"/>
        <v>484.53084247064476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484.53084247064476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116.45373891980491</v>
      </c>
      <c r="C32" s="452">
        <f t="shared" ca="1" si="3"/>
        <v>0</v>
      </c>
      <c r="D32" s="452">
        <f t="shared" si="4"/>
        <v>516.91418220000003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633.36792111980492</v>
      </c>
    </row>
    <row r="33" spans="1:17" s="463" customFormat="1">
      <c r="A33" s="461" t="s">
        <v>545</v>
      </c>
      <c r="B33" s="462">
        <f ca="1">SUM(B22:B32)</f>
        <v>17279.486264685314</v>
      </c>
      <c r="C33" s="462">
        <f t="shared" ref="C33:Q33" ca="1" si="19">SUM(C22:C32)</f>
        <v>0</v>
      </c>
      <c r="D33" s="462">
        <f t="shared" ca="1" si="19"/>
        <v>18213.832460749676</v>
      </c>
      <c r="E33" s="462">
        <f t="shared" si="19"/>
        <v>7366.3412126090707</v>
      </c>
      <c r="F33" s="462">
        <f t="shared" ca="1" si="19"/>
        <v>15583.527311888296</v>
      </c>
      <c r="G33" s="462">
        <f t="shared" si="19"/>
        <v>29172.153323223225</v>
      </c>
      <c r="H33" s="462">
        <f t="shared" si="19"/>
        <v>6085.2783284302277</v>
      </c>
      <c r="I33" s="462">
        <f t="shared" si="19"/>
        <v>0</v>
      </c>
      <c r="J33" s="462">
        <f t="shared" si="19"/>
        <v>1450.4547394973345</v>
      </c>
      <c r="K33" s="462">
        <f t="shared" si="19"/>
        <v>0</v>
      </c>
      <c r="L33" s="462">
        <f t="shared" ca="1" si="19"/>
        <v>0</v>
      </c>
      <c r="M33" s="462">
        <f t="shared" si="19"/>
        <v>0</v>
      </c>
      <c r="N33" s="462">
        <f t="shared" ca="1" si="19"/>
        <v>0</v>
      </c>
      <c r="O33" s="462">
        <f t="shared" si="19"/>
        <v>0</v>
      </c>
      <c r="P33" s="462">
        <f t="shared" si="19"/>
        <v>0</v>
      </c>
      <c r="Q33" s="462">
        <f t="shared" ca="1" si="19"/>
        <v>95151.07364108313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2830.2101131397444</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8611.0535416947459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187.64999999999998</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220.76470588235293</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1701</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4860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13329.91365483449</v>
      </c>
      <c r="C10" s="1031">
        <f>SUM(C4:C9)</f>
        <v>0</v>
      </c>
      <c r="D10" s="1031">
        <f t="shared" ref="D10:H10" si="0">SUM(D8:D9)</f>
        <v>0</v>
      </c>
      <c r="E10" s="1031">
        <f t="shared" si="0"/>
        <v>0</v>
      </c>
      <c r="F10" s="1031">
        <f t="shared" si="0"/>
        <v>0</v>
      </c>
      <c r="G10" s="1031">
        <f t="shared" si="0"/>
        <v>0</v>
      </c>
      <c r="H10" s="1031">
        <f t="shared" si="0"/>
        <v>0</v>
      </c>
      <c r="I10" s="1031">
        <f>SUM(I8:I9)</f>
        <v>0</v>
      </c>
      <c r="J10" s="1031">
        <f>SUM(J8:J9)</f>
        <v>5080.7647058823532</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0.18881045598539908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268.07142857142856</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315.37815126050418</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268.07142857142856</v>
      </c>
      <c r="C20" s="1031">
        <f>SUM(C17:C19)</f>
        <v>0</v>
      </c>
      <c r="D20" s="1031">
        <f t="shared" ref="D20:H20" si="2">SUM(D17:D19)</f>
        <v>0</v>
      </c>
      <c r="E20" s="1031">
        <f t="shared" si="2"/>
        <v>0</v>
      </c>
      <c r="F20" s="1031">
        <f t="shared" si="2"/>
        <v>0</v>
      </c>
      <c r="G20" s="1031">
        <f t="shared" si="2"/>
        <v>0</v>
      </c>
      <c r="H20" s="1031">
        <f t="shared" si="2"/>
        <v>0</v>
      </c>
      <c r="I20" s="1031">
        <f>SUM(I17:I19)</f>
        <v>0</v>
      </c>
      <c r="J20" s="1031">
        <f>SUM(J17:J19)</f>
        <v>315.37815126050418</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0.18881045598539908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2020-06-20T15:32:41Z</dcterms:modified>
</cp:coreProperties>
</file>