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B13" i="15" s="1"/>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7" i="19"/>
  <c r="C19" i="19" s="1"/>
  <c r="D39" i="14" s="1"/>
  <c r="C10" i="17"/>
  <c r="C12" i="17" s="1"/>
  <c r="D54" i="14" s="1"/>
  <c r="D56" i="14" s="1"/>
  <c r="C18" i="15"/>
  <c r="C20" i="15" s="1"/>
  <c r="D40" i="14" s="1"/>
  <c r="C10" i="13"/>
  <c r="C12" i="13" s="1"/>
  <c r="D41" i="14" s="1"/>
  <c r="D46" i="14" s="1"/>
  <c r="D61" i="14" s="1"/>
  <c r="D63" i="14" s="1"/>
  <c r="C20" i="16"/>
  <c r="C22" i="16" s="1"/>
  <c r="D43" i="14" s="1"/>
  <c r="C29" i="20"/>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<sst xmlns="http://schemas.openxmlformats.org/spreadsheetml/2006/main" count="2429" uniqueCount="901">
  <si>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</si>
  <si>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</si>
  <si>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</si>
  <si>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</si>
  <si>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</si>
  <si>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</si>
  <si>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</si>
  <si>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</si>
  <si>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</si>
  <si>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</si>
  <si>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</si>
  <si>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</si>
  <si>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</si>
  <si>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</si>
  <si>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</si>
  <si>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</si>
  <si>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</si>
  <si>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</si>
  <si>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</si>
  <si>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</si>
  <si>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</si>
  <si>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</si>
  <si>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</si>
  <si>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</si>
  <si>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</si>
  <si>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</si>
  <si>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</si>
  <si>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</si>
  <si>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</si>
  <si>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</si>
  <si>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</si>
  <si>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</si>
  <si>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</si>
  <si>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</si>
  <si>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</si>
  <si>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</si>
  <si>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</si>
  <si>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</si>
  <si>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</si>
  <si>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</si>
  <si>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</si>
  <si>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</si>
  <si>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</si>
  <si>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</si>
  <si>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</si>
  <si>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</si>
  <si>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</si>
  <si>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</si>
  <si>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</si>
  <si>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</si>
  <si>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</si>
  <si>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</si>
  <si>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</si>
  <si>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</si>
  <si>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</si>
  <si>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</si>
  <si>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</si>
  <si>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</si>
  <si>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</si>
  <si>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</si>
  <si>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</si>
  <si>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</si>
  <si>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</si>
  <si>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</si>
  <si>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</si>
  <si>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</si>
  <si>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</si>
  <si>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</si>
  <si>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</si>
  <si>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</si>
  <si>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</si>
  <si>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</si>
  <si>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</si>
  <si>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</si>
  <si>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</si>
  <si>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</si>
  <si>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</si>
  <si>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</si>
  <si>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</si>
  <si>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</si>
  <si>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</si>
  <si>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</si>
  <si>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</si>
  <si>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</si>
  <si>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</si>
  <si>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</si>
  <si>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</si>
  <si>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</si>
  <si>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</si>
  <si>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</si>
  <si>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</si>
  <si>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</si>
  <si>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</si>
  <si>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</si>
  <si>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</si>
  <si>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</si>
  <si>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</si>
  <si>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</si>
  <si>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</si>
  <si>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</si>
  <si>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</si>
  <si>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</si>
  <si>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</si>
  <si>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</si>
  <si>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</si>
  <si>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</si>
  <si>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</si>
  <si>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</si>
  <si>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</si>
  <si>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</si>
  <si>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</si>
  <si>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</si>
  <si>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</si>
  <si>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</si>
  <si>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</si>
  <si>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</si>
  <si>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</si>
  <si>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</si>
  <si>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</si>
  <si>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</si>
  <si>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</si>
  <si>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</si>
  <si>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</si>
  <si>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</si>
  <si>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</si>
  <si>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</si>
  <si>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</si>
  <si>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</si>
  <si>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</si>
  <si>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</si>
  <si>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</si>
  <si>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</si>
  <si>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</si>
  <si>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</si>
  <si>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</si>
  <si>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</si>
  <si>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</si>
  <si>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</si>
  <si>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</si>
  <si>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</si>
  <si>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</si>
  <si>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</si>
  <si>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</si>
  <si>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</si>
  <si>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</si>
  <si>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</si>
  <si>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</si>
  <si>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</si>
  <si>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</si>
  <si>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</si>
  <si>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</si>
  <si>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</si>
  <si>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</si>
  <si>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</si>
  <si>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</si>
  <si>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</si>
  <si>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</si>
  <si>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</si>
  <si>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</si>
  <si>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</si>
  <si>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</si>
  <si>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</si>
  <si>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</si>
  <si>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</si>
  <si>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</si>
  <si>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</si>
  <si>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</si>
  <si>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</si>
  <si>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</si>
  <si>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</si>
  <si>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</si>
  <si>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</si>
  <si>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</si>
  <si>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</si>
  <si>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</si>
  <si>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</si>
  <si>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</si>
  <si>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</si>
  <si>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</si>
  <si>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</si>
  <si>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</si>
  <si>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</si>
  <si>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</si>
  <si>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</si>
  <si>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</si>
  <si>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</si>
  <si>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</si>
  <si>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</si>
  <si>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</si>
  <si>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</si>
  <si>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</si>
  <si>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</si>
  <si>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</si>
  <si>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</si>
  <si>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</si>
  <si>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</si>
  <si>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</si>
  <si>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</si>
  <si>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</si>
  <si>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</si>
  <si>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</si>
  <si>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</si>
  <si>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</si>
  <si>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</si>
  <si>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</si>
  <si>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</si>
  <si>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</si>
  <si>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</si>
  <si>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</si>
  <si>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</si>
  <si>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</si>
  <si>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</si>
  <si>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</si>
  <si>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</si>
  <si>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</si>
  <si>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</si>
  <si>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</si>
  <si>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</si>
  <si>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</si>
  <si>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</si>
  <si>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</si>
  <si>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</si>
  <si>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</si>
  <si>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</si>
  <si>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</si>
  <si>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</si>
  <si>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</si>
  <si>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</si>
  <si>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</si>
  <si>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</si>
  <si>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</si>
  <si>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</si>
  <si>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</si>
  <si>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</si>
  <si>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</si>
  <si>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</si>
  <si>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</si>
  <si>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</si>
  <si>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</si>
  <si>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</si>
  <si>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</si>
  <si>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</si>
  <si>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</si>
  <si>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</si>
  <si>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</si>
  <si>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</si>
  <si>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</si>
  <si>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</si>
  <si>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</si>
  <si>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</si>
  <si>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</si>
  <si>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</si>
  <si>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</si>
  <si>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</si>
  <si>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</si>
  <si>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</si>
  <si>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</si>
  <si>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</si>
  <si>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</si>
  <si>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</si>
  <si>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</si>
  <si>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</si>
  <si>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</si>
  <si>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</si>
  <si>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</si>
  <si>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</si>
  <si>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</si>
  <si>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</si>
  <si>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</si>
  <si>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</si>
  <si>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</si>
  <si>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</si>
  <si>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</si>
  <si>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</si>
  <si>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</si>
  <si>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</si>
  <si>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</si>
  <si>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</si>
  <si>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</si>
  <si>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</si>
  <si>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</si>
  <si>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</si>
  <si>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</si>
  <si>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</si>
  <si>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</si>
  <si>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</si>
  <si>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</si>
  <si>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</si>
  <si>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</si>
  <si>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</si>
  <si>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</si>
  <si>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</si>
  <si>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</si>
  <si>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</si>
  <si>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</si>
  <si>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</si>
  <si>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</si>
  <si>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</si>
  <si>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</si>
  <si>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</si>
  <si>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</si>
  <si>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</si>
  <si>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</si>
  <si>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</si>
  <si>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</si>
  <si>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</si>
  <si>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</si>
  <si>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</si>
  <si>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</si>
  <si>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</si>
  <si>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</si>
  <si>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</si>
  <si>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</si>
  <si>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</si>
  <si>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</si>
  <si>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</si>
  <si>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</si>
  <si>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</si>
  <si>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</si>
  <si>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</si>
  <si>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</si>
  <si>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</si>
  <si>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</si>
  <si>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</si>
  <si>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</si>
  <si>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</si>
  <si>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</si>
  <si>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</si>
  <si>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</si>
  <si>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</si>
  <si>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</si>
  <si>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</si>
  <si>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</si>
  <si>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</si>
  <si>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</si>
  <si>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</si>
  <si>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</si>
  <si>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</si>
  <si>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</si>
  <si>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</si>
  <si>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</si>
  <si>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</si>
  <si>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</si>
  <si>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</si>
  <si>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</si>
  <si>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</si>
  <si>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</si>
  <si>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</si>
  <si>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</si>
  <si>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</si>
  <si>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</si>
  <si>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</si>
  <si>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</si>
  <si>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</si>
  <si>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</si>
  <si>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</si>
  <si>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</si>
  <si>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</si>
  <si>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</si>
  <si>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</si>
  <si>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</si>
  <si>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</si>
  <si>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</si>
  <si>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</si>
  <si>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</si>
  <si>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</si>
  <si>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</si>
  <si>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</si>
  <si>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</si>
  <si>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</si>
  <si>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</si>
  <si>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</si>
  <si>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</si>
  <si>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</si>
  <si>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</si>
  <si>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</si>
  <si>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</si>
  <si>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</si>
  <si>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</si>
  <si>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</si>
  <si>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</si>
  <si>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</si>
  <si>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</si>
  <si>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</si>
  <si>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</si>
  <si>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</si>
  <si>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</si>
  <si>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</si>
  <si>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</si>
  <si>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</si>
  <si>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</si>
  <si>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</si>
  <si>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</si>
  <si>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</si>
  <si>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</si>
  <si>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</si>
  <si>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</si>
  <si>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</si>
  <si>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</si>
  <si>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</si>
  <si>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</si>
  <si>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</si>
  <si>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</si>
  <si>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</si>
  <si>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</si>
  <si>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</si>
  <si>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</si>
  <si>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</si>
  <si>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</si>
  <si>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</si>
  <si>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</si>
  <si>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</si>
  <si>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</si>
  <si>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</si>
  <si>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</si>
  <si>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</si>
  <si>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</si>
  <si>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</si>
  <si>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</si>
  <si>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</si>
  <si>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</si>
  <si>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</si>
  <si>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</si>
  <si>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</si>
  <si>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</si>
  <si>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</si>
  <si>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</si>
  <si>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</si>
  <si>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</si>
  <si>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</si>
  <si>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</si>
  <si>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</si>
  <si>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</si>
  <si>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</si>
  <si>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</si>
  <si>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</si>
  <si>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</si>
  <si>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</si>
  <si>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</si>
  <si>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</si>
  <si>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</si>
  <si>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</si>
  <si>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</si>
  <si>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</si>
  <si>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</si>
  <si>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</si>
  <si>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</si>
  <si>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</si>
  <si>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</si>
  <si>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</si>
  <si>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</si>
  <si>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</si>
  <si>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</si>
  <si>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</si>
  <si>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</si>
  <si>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</si>
  <si>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</si>
  <si>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</si>
  <si>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</si>
  <si>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</si>
  <si>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</si>
  <si>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</si>
  <si>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</si>
  <si>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</si>
  <si>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</si>
  <si>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</si>
  <si>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</si>
  <si>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</si>
  <si>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</si>
  <si>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</si>
  <si>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</si>
  <si>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</si>
  <si>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</si>
  <si>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</si>
  <si>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</si>
  <si>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</si>
  <si>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</si>
  <si>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</si>
  <si>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</si>
  <si>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</si>
  <si>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</si>
  <si>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</si>
  <si>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</si>
  <si>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</si>
  <si>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</si>
  <si>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</si>
  <si>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</si>
  <si>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</si>
  <si>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</si>
  <si>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</si>
  <si>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</si>
  <si>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</si>
  <si>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</si>
  <si>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</si>
  <si>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</si>
  <si>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</si>
  <si>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</si>
  <si>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</si>
  <si>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</si>
  <si>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</si>
  <si>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</si>
  <si>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</si>
  <si>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</si>
  <si>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</si>
  <si>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</si>
  <si>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</si>
  <si>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</si>
  <si>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</si>
  <si>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</si>
  <si>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</si>
  <si>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</si>
  <si>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</si>
  <si>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</si>
  <si>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</si>
  <si>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</si>
  <si>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</si>
  <si>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</si>
  <si>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</si>
  <si>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</si>
  <si>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</si>
  <si>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</si>
  <si>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</si>
  <si>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</si>
  <si>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</si>
  <si>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</si>
  <si>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</si>
  <si>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</si>
  <si>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</si>
  <si>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</si>
  <si>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</si>
  <si>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</si>
  <si>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</si>
  <si>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</si>
  <si>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</si>
  <si>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</si>
  <si>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</si>
  <si>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</si>
  <si>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</si>
  <si>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</si>
  <si>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</si>
  <si>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</si>
  <si>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</si>
  <si>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</si>
  <si>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</si>
  <si>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</si>
  <si>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</si>
  <si>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</si>
  <si>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</si>
  <si>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</si>
  <si>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</si>
  <si>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</si>
  <si>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</si>
  <si>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</si>
  <si>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</si>
  <si>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</si>
  <si>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</si>
  <si>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</si>
  <si>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</si>
  <si>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</si>
  <si>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</si>
  <si>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</si>
  <si>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</si>
  <si>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</si>
  <si>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</si>
  <si>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</si>
  <si>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</si>
  <si>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</si>
  <si>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</si>
  <si>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</si>
  <si>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</si>
  <si>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</si>
  <si>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</si>
  <si>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</si>
  <si>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</si>
  <si>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</si>
  <si>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</si>
  <si>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</si>
  <si>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</si>
  <si>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</si>
  <si>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</si>
  <si>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</si>
  <si>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</si>
  <si>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</si>
  <si>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</si>
  <si>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</si>
  <si>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</si>
  <si>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</si>
  <si>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</si>
  <si>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</si>
  <si>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</si>
  <si>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</si>
  <si>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</si>
  <si>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</si>
  <si>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</si>
  <si>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</si>
  <si>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</si>
  <si>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</si>
  <si>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</si>
  <si>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</si>
  <si>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</si>
  <si>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</si>
  <si>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</si>
  <si>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</si>
  <si>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</si>
  <si>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</si>
  <si>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</si>
  <si>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</si>
  <si>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</si>
  <si>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</si>
  <si>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</si>
  <si>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</si>
  <si>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</si>
  <si>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</si>
  <si>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</si>
  <si>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</si>
  <si>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</si>
  <si>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</si>
  <si>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</si>
  <si>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</si>
  <si>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</si>
  <si>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</si>
  <si>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</si>
  <si>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</si>
  <si>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</si>
  <si>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</si>
  <si>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</si>
  <si>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</si>
  <si>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</si>
  <si>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</si>
  <si>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</si>
  <si>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</si>
  <si>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</si>
  <si>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</si>
  <si>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</si>
  <si>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</si>
  <si>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</si>
  <si>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</si>
  <si>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</si>
  <si>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</si>
  <si>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</si>
  <si>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</si>
  <si>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</si>
  <si>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</si>
  <si>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</si>
  <si>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</si>
  <si>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</si>
  <si>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</si>
  <si>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</si>
  <si>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</si>
  <si>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</si>
  <si>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</si>
  <si>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</si>
  <si>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</si>
  <si>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</si>
  <si>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</si>
  <si>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</si>
  <si>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</si>
  <si>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</si>
  <si>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</si>
  <si>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</si>
  <si>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</si>
  <si>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</si>
  <si>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</si>
  <si>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</si>
  <si>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</si>
  <si>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</si>
  <si>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</si>
  <si>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</si>
  <si>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</si>
  <si>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</si>
  <si>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</si>
  <si>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</si>
  <si>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</si>
  <si>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</si>
  <si>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</si>
  <si>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</si>
  <si>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</si>
  <si>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</si>
  <si>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</si>
  <si>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</si>
  <si>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</si>
  <si>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</si>
  <si>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</si>
  <si>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</si>
  <si>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</si>
  <si>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</si>
  <si>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</si>
  <si>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</si>
  <si>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</si>
  <si>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</si>
  <si>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</si>
  <si>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</si>
  <si>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</si>
  <si>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</si>
  <si>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</si>
  <si>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</si>
  <si>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</si>
  <si>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</si>
  <si>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</si>
  <si>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</si>
  <si>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</si>
  <si>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</si>
  <si>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</si>
  <si>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</si>
  <si>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</si>
  <si>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</si>
  <si>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</si>
  <si>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</si>
  <si>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</si>
  <si>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</si>
  <si>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</si>
  <si>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</si>
  <si>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</si>
  <si>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</si>
  <si>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</si>
  <si>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</si>
  <si>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</si>
  <si>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</si>
  <si>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</si>
  <si>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</si>
  <si>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</si>
  <si>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</si>
  <si>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</si>
  <si>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</si>
  <si>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</si>
  <si>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</si>
  <si>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</si>
  <si>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</si>
  <si>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</si>
  <si>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</si>
  <si>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</si>
  <si>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</si>
  <si>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</si>
  <si>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</si>
  <si>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</si>
  <si>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</si>
  <si>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</si>
  <si>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</si>
  <si>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</si>
  <si>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</si>
  <si>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</si>
  <si>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</si>
  <si>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</si>
  <si>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</si>
  <si>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</si>
  <si>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</si>
  <si>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</si>
  <si>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</si>
  <si>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</si>
  <si>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</si>
  <si>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</si>
  <si>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</si>
  <si>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</si>
  <si>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</si>
  <si>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</si>
  <si>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</si>
  <si>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</si>
  <si>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</si>
  <si>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</si>
  <si>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</si>
  <si>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</si>
  <si>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</si>
  <si>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</si>
  <si>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</si>
  <si>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</si>
  <si>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</si>
  <si>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</si>
  <si>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</si>
  <si>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</si>
  <si>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</si>
  <si>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</si>
  <si>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</si>
  <si>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</si>
  <si>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</si>
  <si>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</si>
  <si>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</si>
  <si>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</si>
  <si>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</si>
  <si>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</si>
  <si>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</si>
  <si>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</si>
  <si>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</si>
  <si>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</si>
  <si>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</si>
  <si>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</si>
  <si>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</si>
  <si>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</si>
  <si>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</si>
  <si>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</si>
  <si>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</si>
  <si>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</si>
  <si>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</si>
  <si>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</si>
  <si>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</si>
  <si>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</si>
  <si>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</si>
  <si>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</si>
  <si>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</si>
  <si>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</si>
  <si>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</si>
  <si>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</si>
  <si>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</si>
  <si>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</si>
  <si>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</si>
  <si>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</si>
  <si>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</si>
  <si>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</si>
  <si>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</si>
  <si>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</si>
  <si>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</si>
  <si>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</si>
  <si>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</si>
  <si>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</si>
  <si>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</si>
  <si>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</si>
  <si>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</si>
  <si>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</si>
  <si>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</si>
  <si>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</si>
  <si>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</si>
  <si>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</si>
  <si>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</si>
  <si>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</si>
  <si>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</si>
  <si>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</si>
  <si>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</si>
  <si>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</si>
  <si>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</si>
  <si>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</si>
  <si>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</si>
  <si>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</si>
  <si>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</si>
  <si>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</si>
  <si>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</si>
  <si>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</si>
  <si>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</si>
  <si>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</si>
  <si>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</si>
  <si>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</si>
  <si>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</si>
  <si>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</si>
  <si>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</si>
  <si>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</si>
  <si>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</si>
  <si>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</si>
  <si>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</si>
  <si>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</si>
  <si>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</si>
  <si>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</si>
  <si>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</si>
  <si>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</si>
  <si>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</si>
  <si>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</si>
  <si>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</si>
  <si>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</si>
  <si>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</si>
  <si>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</si>
  <si>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</si>
  <si>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</si>
  <si>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</si>
  <si>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</si>
  <si>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</si>
  <si>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</si>
  <si>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</si>
  <si>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</si>
  <si>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</si>
  <si>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</si>
  <si>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</si>
  <si>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</si>
  <si>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</si>
  <si>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</si>
  <si>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</si>
  <si>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</si>
  <si>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</si>
  <si>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</si>
  <si>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</si>
  <si>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</si>
  <si>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</si>
  <si>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</si>
  <si>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</si>
  <si>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</si>
  <si>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</si>
  <si>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</si>
  <si>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</si>
  <si>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</si>
  <si>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31005</t>
  </si>
  <si>
    <t>BRUGGE</t>
  </si>
  <si>
    <t>referentietaak LNE (2017); Jaarverslag De Lijn</t>
  </si>
  <si>
    <t>Sweetee bvba</t>
  </si>
  <si>
    <t>Hoge Hul 34-38 , 8000 Brugge</t>
  </si>
  <si>
    <t>WKK-0489 Sweetee</t>
  </si>
  <si>
    <t>interne verbrandingsmotor</t>
  </si>
  <si>
    <t>WKK interne verbrandinsgmotor (gas)</t>
  </si>
  <si>
    <t>IMEWO</t>
  </si>
  <si>
    <t>Eric Claus</t>
  </si>
  <si>
    <t>Sint-Jansstraat 10 , 8000 Brugge</t>
  </si>
  <si>
    <t>WKK-0580 Eric Claus</t>
  </si>
  <si>
    <t>stirlingmotor</t>
  </si>
  <si>
    <t>S&amp;R Brugge NV</t>
  </si>
  <si>
    <t>Doornstraat 110 , 8200 Sint-Andries</t>
  </si>
  <si>
    <t>WKK-0662 S&amp;R Brugge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</si>
</sst>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833474.10315789923</c:v>
                </c:pt>
                <c:pt idx="1">
                  <c:v>758253.56503526052</c:v>
                </c:pt>
                <c:pt idx="2">
                  <c:v>7847.19488</c:v>
                </c:pt>
                <c:pt idx="3">
                  <c:v>26800.431364843975</c:v>
                </c:pt>
                <c:pt idx="4">
                  <c:v>308656.16447961831</c:v>
                </c:pt>
                <c:pt idx="5">
                  <c:v>750262.30958415254</c:v>
                </c:pt>
                <c:pt idx="6">
                  <c:v>23374.404253560133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833474.10315789923</c:v>
                </c:pt>
                <c:pt idx="1">
                  <c:v>758253.56503526052</c:v>
                </c:pt>
                <c:pt idx="2">
                  <c:v>7847.19488</c:v>
                </c:pt>
                <c:pt idx="3">
                  <c:v>26800.431364843975</c:v>
                </c:pt>
                <c:pt idx="4">
                  <c:v>308656.16447961831</c:v>
                </c:pt>
                <c:pt idx="5">
                  <c:v>750262.30958415254</c:v>
                </c:pt>
                <c:pt idx="6">
                  <c:v>23374.404253560133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152791.62844043694</c:v>
                </c:pt>
                <c:pt idx="1">
                  <c:v>140516.78988024627</c:v>
                </c:pt>
                <c:pt idx="2">
                  <c:v>1336.74430419188</c:v>
                </c:pt>
                <c:pt idx="3">
                  <c:v>6458.2871579245029</c:v>
                </c:pt>
                <c:pt idx="4">
                  <c:v>59765.040454449765</c:v>
                </c:pt>
                <c:pt idx="5">
                  <c:v>186669.73801865996</c:v>
                </c:pt>
                <c:pt idx="6">
                  <c:v>5844.4225395635631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152791.62844043694</c:v>
                </c:pt>
                <c:pt idx="1">
                  <c:v>140516.78988024627</c:v>
                </c:pt>
                <c:pt idx="2">
                  <c:v>1336.74430419188</c:v>
                </c:pt>
                <c:pt idx="3">
                  <c:v>6458.2871579245029</c:v>
                </c:pt>
                <c:pt idx="4">
                  <c:v>59765.040454449765</c:v>
                </c:pt>
                <c:pt idx="5">
                  <c:v>186669.73801865996</c:v>
                </c:pt>
                <c:pt idx="6">
                  <c:v>5844.4225395635631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31005</v>
      </c>
      <c r="B6" s="390"/>
      <c r="C6" s="391"/>
    </row>
    <row r="7" spans="1:7" s="388" customFormat="1" ht="15.75" customHeight="1">
      <c r="A7" s="392" t="str">
        <f>txtMunicipality</f>
        <v>BRUGGE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0.17034677035979001</v>
      </c>
      <c r="C17" s="501">
        <f ca="1">'EF ele_warmte'!B22</f>
        <v>0.23722871872249465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0.17034677035979001</v>
      </c>
      <c r="C29" s="502">
        <f ca="1">'EF ele_warmte'!B22</f>
        <v>0.23722871872249465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53903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4412.66</v>
      </c>
      <c r="C14" s="330"/>
      <c r="D14" s="330"/>
      <c r="E14" s="330"/>
      <c r="F14" s="330"/>
    </row>
    <row r="15" spans="1:6">
      <c r="A15" s="1298" t="s">
        <v>183</v>
      </c>
      <c r="B15" s="1299">
        <v>1024</v>
      </c>
      <c r="C15" s="330"/>
      <c r="D15" s="330"/>
      <c r="E15" s="330"/>
      <c r="F15" s="330"/>
    </row>
    <row r="16" spans="1:6">
      <c r="A16" s="1298" t="s">
        <v>6</v>
      </c>
      <c r="B16" s="1299">
        <v>1281</v>
      </c>
      <c r="C16" s="330"/>
      <c r="D16" s="330"/>
      <c r="E16" s="330"/>
      <c r="F16" s="330"/>
    </row>
    <row r="17" spans="1:6">
      <c r="A17" s="1298" t="s">
        <v>7</v>
      </c>
      <c r="B17" s="1299">
        <v>1211</v>
      </c>
      <c r="C17" s="330"/>
      <c r="D17" s="330"/>
      <c r="E17" s="330"/>
      <c r="F17" s="330"/>
    </row>
    <row r="18" spans="1:6">
      <c r="A18" s="1298" t="s">
        <v>8</v>
      </c>
      <c r="B18" s="1299">
        <v>1651</v>
      </c>
      <c r="C18" s="330"/>
      <c r="D18" s="330"/>
      <c r="E18" s="330"/>
      <c r="F18" s="330"/>
    </row>
    <row r="19" spans="1:6">
      <c r="A19" s="1298" t="s">
        <v>9</v>
      </c>
      <c r="B19" s="1299">
        <v>1598</v>
      </c>
      <c r="C19" s="330"/>
      <c r="D19" s="330"/>
      <c r="E19" s="330"/>
      <c r="F19" s="330"/>
    </row>
    <row r="20" spans="1:6">
      <c r="A20" s="1298" t="s">
        <v>10</v>
      </c>
      <c r="B20" s="1299">
        <v>1543</v>
      </c>
      <c r="C20" s="330"/>
      <c r="D20" s="330"/>
      <c r="E20" s="330"/>
      <c r="F20" s="330"/>
    </row>
    <row r="21" spans="1:6">
      <c r="A21" s="1298" t="s">
        <v>11</v>
      </c>
      <c r="B21" s="1299">
        <v>2832</v>
      </c>
      <c r="C21" s="330"/>
      <c r="D21" s="330"/>
      <c r="E21" s="330"/>
      <c r="F21" s="330"/>
    </row>
    <row r="22" spans="1:6">
      <c r="A22" s="1298" t="s">
        <v>12</v>
      </c>
      <c r="B22" s="1299">
        <v>13664</v>
      </c>
      <c r="C22" s="330"/>
      <c r="D22" s="330"/>
      <c r="E22" s="330"/>
      <c r="F22" s="330"/>
    </row>
    <row r="23" spans="1:6">
      <c r="A23" s="1298" t="s">
        <v>13</v>
      </c>
      <c r="B23" s="1299">
        <v>154</v>
      </c>
      <c r="C23" s="330"/>
      <c r="D23" s="330"/>
      <c r="E23" s="330"/>
      <c r="F23" s="330"/>
    </row>
    <row r="24" spans="1:6">
      <c r="A24" s="1298" t="s">
        <v>14</v>
      </c>
      <c r="B24" s="1299">
        <v>5</v>
      </c>
      <c r="C24" s="330"/>
      <c r="D24" s="330"/>
      <c r="E24" s="330"/>
      <c r="F24" s="330"/>
    </row>
    <row r="25" spans="1:6">
      <c r="A25" s="1298" t="s">
        <v>15</v>
      </c>
      <c r="B25" s="1299">
        <v>850</v>
      </c>
      <c r="C25" s="330"/>
      <c r="D25" s="330"/>
      <c r="E25" s="330"/>
      <c r="F25" s="330"/>
    </row>
    <row r="26" spans="1:6">
      <c r="A26" s="1298" t="s">
        <v>16</v>
      </c>
      <c r="B26" s="1299">
        <v>864</v>
      </c>
      <c r="C26" s="330"/>
      <c r="D26" s="330"/>
      <c r="E26" s="330"/>
      <c r="F26" s="330"/>
    </row>
    <row r="27" spans="1:6">
      <c r="A27" s="1298" t="s">
        <v>17</v>
      </c>
      <c r="B27" s="1299">
        <v>220</v>
      </c>
      <c r="C27" s="330"/>
      <c r="D27" s="330"/>
      <c r="E27" s="330"/>
      <c r="F27" s="330"/>
    </row>
    <row r="28" spans="1:6" s="43" customFormat="1">
      <c r="A28" s="1300" t="s">
        <v>18</v>
      </c>
      <c r="B28" s="1301">
        <v>177288</v>
      </c>
      <c r="C28" s="336"/>
      <c r="D28" s="336"/>
      <c r="E28" s="336"/>
      <c r="F28" s="336"/>
    </row>
    <row r="29" spans="1:6">
      <c r="A29" s="1300" t="s">
        <v>705</v>
      </c>
      <c r="B29" s="1301">
        <v>333</v>
      </c>
      <c r="C29" s="336"/>
      <c r="D29" s="336"/>
      <c r="E29" s="336"/>
      <c r="F29" s="336"/>
    </row>
    <row r="30" spans="1:6">
      <c r="A30" s="1293" t="s">
        <v>706</v>
      </c>
      <c r="B30" s="1302">
        <v>72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8</v>
      </c>
      <c r="F35" s="1299">
        <v>854109.08400000003</v>
      </c>
    </row>
    <row r="36" spans="1:6">
      <c r="A36" s="1298" t="s">
        <v>24</v>
      </c>
      <c r="B36" s="1298" t="s">
        <v>26</v>
      </c>
      <c r="C36" s="1299">
        <v>4</v>
      </c>
      <c r="D36" s="1299">
        <v>969688.53200000001</v>
      </c>
      <c r="E36" s="1299">
        <v>15</v>
      </c>
      <c r="F36" s="1299">
        <v>671004.62300000002</v>
      </c>
    </row>
    <row r="37" spans="1:6">
      <c r="A37" s="1298" t="s">
        <v>24</v>
      </c>
      <c r="B37" s="1298" t="s">
        <v>27</v>
      </c>
      <c r="C37" s="1299">
        <v>0</v>
      </c>
      <c r="D37" s="1299">
        <v>0</v>
      </c>
      <c r="E37" s="1299">
        <v>0</v>
      </c>
      <c r="F37" s="1299">
        <v>0</v>
      </c>
    </row>
    <row r="38" spans="1:6">
      <c r="A38" s="1298" t="s">
        <v>24</v>
      </c>
      <c r="B38" s="1298" t="s">
        <v>28</v>
      </c>
      <c r="C38" s="1299">
        <v>7</v>
      </c>
      <c r="D38" s="1299">
        <v>1915650.4010000001</v>
      </c>
      <c r="E38" s="1299">
        <v>14</v>
      </c>
      <c r="F38" s="1299">
        <v>632108.68000000005</v>
      </c>
    </row>
    <row r="39" spans="1:6">
      <c r="A39" s="1298" t="s">
        <v>29</v>
      </c>
      <c r="B39" s="1298" t="s">
        <v>30</v>
      </c>
      <c r="C39" s="1299">
        <v>44958</v>
      </c>
      <c r="D39" s="1299">
        <v>639379683.70000005</v>
      </c>
      <c r="E39" s="1299">
        <v>53248</v>
      </c>
      <c r="F39" s="1299">
        <v>170792454.80000001</v>
      </c>
    </row>
    <row r="40" spans="1:6">
      <c r="A40" s="1298" t="s">
        <v>29</v>
      </c>
      <c r="B40" s="1298" t="s">
        <v>28</v>
      </c>
      <c r="C40" s="1299">
        <v>0</v>
      </c>
      <c r="D40" s="1299">
        <v>0</v>
      </c>
      <c r="E40" s="1299">
        <v>3</v>
      </c>
      <c r="F40" s="1299">
        <v>35476.614999999998</v>
      </c>
    </row>
    <row r="41" spans="1:6">
      <c r="A41" s="1298" t="s">
        <v>31</v>
      </c>
      <c r="B41" s="1298" t="s">
        <v>32</v>
      </c>
      <c r="C41" s="1299">
        <v>546</v>
      </c>
      <c r="D41" s="1299">
        <v>10060578.77</v>
      </c>
      <c r="E41" s="1299">
        <v>999</v>
      </c>
      <c r="F41" s="1299">
        <v>12667681.67</v>
      </c>
    </row>
    <row r="42" spans="1:6">
      <c r="A42" s="1298" t="s">
        <v>31</v>
      </c>
      <c r="B42" s="1298" t="s">
        <v>33</v>
      </c>
      <c r="C42" s="1299">
        <v>4</v>
      </c>
      <c r="D42" s="1299">
        <v>54388905.740000002</v>
      </c>
      <c r="E42" s="1299">
        <v>5</v>
      </c>
      <c r="F42" s="1299">
        <v>3535120.0759999999</v>
      </c>
    </row>
    <row r="43" spans="1:6">
      <c r="A43" s="1298" t="s">
        <v>31</v>
      </c>
      <c r="B43" s="1298" t="s">
        <v>34</v>
      </c>
      <c r="C43" s="1299">
        <v>0</v>
      </c>
      <c r="D43" s="1299">
        <v>0</v>
      </c>
      <c r="E43" s="1299">
        <v>0</v>
      </c>
      <c r="F43" s="1299">
        <v>0</v>
      </c>
    </row>
    <row r="44" spans="1:6">
      <c r="A44" s="1298" t="s">
        <v>31</v>
      </c>
      <c r="B44" s="1298" t="s">
        <v>35</v>
      </c>
      <c r="C44" s="1299">
        <v>23</v>
      </c>
      <c r="D44" s="1299">
        <v>1551562.594</v>
      </c>
      <c r="E44" s="1299">
        <v>130</v>
      </c>
      <c r="F44" s="1299">
        <v>7020443.7989999996</v>
      </c>
    </row>
    <row r="45" spans="1:6">
      <c r="A45" s="1298" t="s">
        <v>31</v>
      </c>
      <c r="B45" s="1298" t="s">
        <v>36</v>
      </c>
      <c r="C45" s="1299">
        <v>3</v>
      </c>
      <c r="D45" s="1299">
        <v>91325.233999999997</v>
      </c>
      <c r="E45" s="1299">
        <v>13</v>
      </c>
      <c r="F45" s="1299">
        <v>2532288.608</v>
      </c>
    </row>
    <row r="46" spans="1:6">
      <c r="A46" s="1298" t="s">
        <v>31</v>
      </c>
      <c r="B46" s="1298" t="s">
        <v>37</v>
      </c>
      <c r="C46" s="1299">
        <v>0</v>
      </c>
      <c r="D46" s="1299">
        <v>0</v>
      </c>
      <c r="E46" s="1299">
        <v>0</v>
      </c>
      <c r="F46" s="1299">
        <v>0</v>
      </c>
    </row>
    <row r="47" spans="1:6">
      <c r="A47" s="1298" t="s">
        <v>31</v>
      </c>
      <c r="B47" s="1298" t="s">
        <v>38</v>
      </c>
      <c r="C47" s="1299">
        <v>40</v>
      </c>
      <c r="D47" s="1299">
        <v>1554211.08</v>
      </c>
      <c r="E47" s="1299">
        <v>53</v>
      </c>
      <c r="F47" s="1299">
        <v>4013767.9339999999</v>
      </c>
    </row>
    <row r="48" spans="1:6">
      <c r="A48" s="1298" t="s">
        <v>31</v>
      </c>
      <c r="B48" s="1298" t="s">
        <v>28</v>
      </c>
      <c r="C48" s="1299">
        <v>153</v>
      </c>
      <c r="D48" s="1299">
        <v>108968047.2</v>
      </c>
      <c r="E48" s="1299">
        <v>143</v>
      </c>
      <c r="F48" s="1299">
        <v>54631843.200000003</v>
      </c>
    </row>
    <row r="49" spans="1:6">
      <c r="A49" s="1298" t="s">
        <v>31</v>
      </c>
      <c r="B49" s="1298" t="s">
        <v>39</v>
      </c>
      <c r="C49" s="1299">
        <v>17</v>
      </c>
      <c r="D49" s="1299">
        <v>262479.01199999999</v>
      </c>
      <c r="E49" s="1299">
        <v>23</v>
      </c>
      <c r="F49" s="1299">
        <v>213845.11499999999</v>
      </c>
    </row>
    <row r="50" spans="1:6">
      <c r="A50" s="1298" t="s">
        <v>31</v>
      </c>
      <c r="B50" s="1298" t="s">
        <v>40</v>
      </c>
      <c r="C50" s="1299">
        <v>89</v>
      </c>
      <c r="D50" s="1299">
        <v>8368159.5439999998</v>
      </c>
      <c r="E50" s="1299">
        <v>128</v>
      </c>
      <c r="F50" s="1299">
        <v>21575233.850000001</v>
      </c>
    </row>
    <row r="51" spans="1:6">
      <c r="A51" s="1298" t="s">
        <v>41</v>
      </c>
      <c r="B51" s="1298" t="s">
        <v>42</v>
      </c>
      <c r="C51" s="1299">
        <v>62</v>
      </c>
      <c r="D51" s="1299">
        <v>5992802.7439999999</v>
      </c>
      <c r="E51" s="1299">
        <v>199</v>
      </c>
      <c r="F51" s="1299">
        <v>3644358.7220000001</v>
      </c>
    </row>
    <row r="52" spans="1:6">
      <c r="A52" s="1298" t="s">
        <v>41</v>
      </c>
      <c r="B52" s="1298" t="s">
        <v>28</v>
      </c>
      <c r="C52" s="1299">
        <v>15</v>
      </c>
      <c r="D52" s="1299">
        <v>523500.66700000002</v>
      </c>
      <c r="E52" s="1299">
        <v>30</v>
      </c>
      <c r="F52" s="1299">
        <v>686632.89899999998</v>
      </c>
    </row>
    <row r="53" spans="1:6">
      <c r="A53" s="1298" t="s">
        <v>43</v>
      </c>
      <c r="B53" s="1298" t="s">
        <v>44</v>
      </c>
      <c r="C53" s="1299">
        <v>1692</v>
      </c>
      <c r="D53" s="1299">
        <v>35304500.329999998</v>
      </c>
      <c r="E53" s="1299">
        <v>2876</v>
      </c>
      <c r="F53" s="1299">
        <v>10752087.189999999</v>
      </c>
    </row>
    <row r="54" spans="1:6">
      <c r="A54" s="1298" t="s">
        <v>45</v>
      </c>
      <c r="B54" s="1298" t="s">
        <v>46</v>
      </c>
      <c r="C54" s="1299">
        <v>0</v>
      </c>
      <c r="D54" s="1299">
        <v>0</v>
      </c>
      <c r="E54" s="1299">
        <v>2</v>
      </c>
      <c r="F54" s="1299">
        <v>7847194.8799999999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536</v>
      </c>
      <c r="D57" s="1299">
        <v>66043957.5</v>
      </c>
      <c r="E57" s="1299">
        <v>767</v>
      </c>
      <c r="F57" s="1299">
        <v>34006330.060000002</v>
      </c>
    </row>
    <row r="58" spans="1:6">
      <c r="A58" s="1298" t="s">
        <v>48</v>
      </c>
      <c r="B58" s="1298" t="s">
        <v>50</v>
      </c>
      <c r="C58" s="1299">
        <v>489</v>
      </c>
      <c r="D58" s="1299">
        <v>48068063.840000004</v>
      </c>
      <c r="E58" s="1299">
        <v>604</v>
      </c>
      <c r="F58" s="1299">
        <v>31513084.09</v>
      </c>
    </row>
    <row r="59" spans="1:6">
      <c r="A59" s="1298" t="s">
        <v>48</v>
      </c>
      <c r="B59" s="1298" t="s">
        <v>51</v>
      </c>
      <c r="C59" s="1299">
        <v>1253</v>
      </c>
      <c r="D59" s="1299">
        <v>50020894.479999997</v>
      </c>
      <c r="E59" s="1299">
        <v>2097</v>
      </c>
      <c r="F59" s="1299">
        <v>75053714.359999999</v>
      </c>
    </row>
    <row r="60" spans="1:6">
      <c r="A60" s="1298" t="s">
        <v>48</v>
      </c>
      <c r="B60" s="1298" t="s">
        <v>52</v>
      </c>
      <c r="C60" s="1299">
        <v>1118</v>
      </c>
      <c r="D60" s="1299">
        <v>81820185.719999999</v>
      </c>
      <c r="E60" s="1299">
        <v>1317</v>
      </c>
      <c r="F60" s="1299">
        <v>48944964.229999997</v>
      </c>
    </row>
    <row r="61" spans="1:6">
      <c r="A61" s="1298" t="s">
        <v>48</v>
      </c>
      <c r="B61" s="1298" t="s">
        <v>53</v>
      </c>
      <c r="C61" s="1299">
        <v>1831</v>
      </c>
      <c r="D61" s="1299">
        <v>96851900.640000001</v>
      </c>
      <c r="E61" s="1299">
        <v>3509</v>
      </c>
      <c r="F61" s="1299">
        <v>89490110.329999998</v>
      </c>
    </row>
    <row r="62" spans="1:6">
      <c r="A62" s="1298" t="s">
        <v>48</v>
      </c>
      <c r="B62" s="1298" t="s">
        <v>54</v>
      </c>
      <c r="C62" s="1299">
        <v>298</v>
      </c>
      <c r="D62" s="1299">
        <v>43487926.780000001</v>
      </c>
      <c r="E62" s="1299">
        <v>482</v>
      </c>
      <c r="F62" s="1299">
        <v>16214824.32</v>
      </c>
    </row>
    <row r="63" spans="1:6">
      <c r="A63" s="1298" t="s">
        <v>48</v>
      </c>
      <c r="B63" s="1298" t="s">
        <v>28</v>
      </c>
      <c r="C63" s="1299">
        <v>383</v>
      </c>
      <c r="D63" s="1299">
        <v>34927727.020000003</v>
      </c>
      <c r="E63" s="1299">
        <v>351</v>
      </c>
      <c r="F63" s="1299">
        <v>17714884.379999999</v>
      </c>
    </row>
    <row r="64" spans="1:6">
      <c r="A64" s="1298" t="s">
        <v>55</v>
      </c>
      <c r="B64" s="1298" t="s">
        <v>56</v>
      </c>
      <c r="C64" s="1299">
        <v>0</v>
      </c>
      <c r="D64" s="1299">
        <v>0</v>
      </c>
      <c r="E64" s="1299">
        <v>0</v>
      </c>
      <c r="F64" s="1299">
        <v>0</v>
      </c>
    </row>
    <row r="65" spans="1:6">
      <c r="A65" s="1298" t="s">
        <v>55</v>
      </c>
      <c r="B65" s="1298" t="s">
        <v>28</v>
      </c>
      <c r="C65" s="1299">
        <v>16</v>
      </c>
      <c r="D65" s="1299">
        <v>2764771.2990000001</v>
      </c>
      <c r="E65" s="1299">
        <v>15</v>
      </c>
      <c r="F65" s="1299">
        <v>779180.65399999998</v>
      </c>
    </row>
    <row r="66" spans="1:6">
      <c r="A66" s="1298" t="s">
        <v>55</v>
      </c>
      <c r="B66" s="1298" t="s">
        <v>57</v>
      </c>
      <c r="C66" s="1299">
        <v>9</v>
      </c>
      <c r="D66" s="1299">
        <v>618358.92500000005</v>
      </c>
      <c r="E66" s="1299">
        <v>137</v>
      </c>
      <c r="F66" s="1299">
        <v>7091862.7400000002</v>
      </c>
    </row>
    <row r="67" spans="1:6">
      <c r="A67" s="1300" t="s">
        <v>55</v>
      </c>
      <c r="B67" s="1300" t="s">
        <v>58</v>
      </c>
      <c r="C67" s="1299">
        <v>0</v>
      </c>
      <c r="D67" s="1299">
        <v>0</v>
      </c>
      <c r="E67" s="1299">
        <v>0</v>
      </c>
      <c r="F67" s="1299">
        <v>0</v>
      </c>
    </row>
    <row r="68" spans="1:6">
      <c r="A68" s="1293" t="s">
        <v>55</v>
      </c>
      <c r="B68" s="1293" t="s">
        <v>59</v>
      </c>
      <c r="C68" s="1302">
        <v>35</v>
      </c>
      <c r="D68" s="1302">
        <v>954458.77500000002</v>
      </c>
      <c r="E68" s="1302">
        <v>91</v>
      </c>
      <c r="F68" s="1302">
        <v>2900086.9010000001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552447542</v>
      </c>
      <c r="E73" s="450"/>
      <c r="F73" s="330"/>
    </row>
    <row r="74" spans="1:6">
      <c r="A74" s="1298" t="s">
        <v>63</v>
      </c>
      <c r="B74" s="1298" t="s">
        <v>647</v>
      </c>
      <c r="C74" s="1312" t="s">
        <v>649</v>
      </c>
      <c r="D74" s="1313">
        <v>55333242</v>
      </c>
      <c r="E74" s="450"/>
      <c r="F74" s="330"/>
    </row>
    <row r="75" spans="1:6">
      <c r="A75" s="1298" t="s">
        <v>64</v>
      </c>
      <c r="B75" s="1298" t="s">
        <v>646</v>
      </c>
      <c r="C75" s="1312" t="s">
        <v>650</v>
      </c>
      <c r="D75" s="1313">
        <v>146220003</v>
      </c>
      <c r="E75" s="450"/>
      <c r="F75" s="330"/>
    </row>
    <row r="76" spans="1:6">
      <c r="A76" s="1298" t="s">
        <v>64</v>
      </c>
      <c r="B76" s="1298" t="s">
        <v>647</v>
      </c>
      <c r="C76" s="1312" t="s">
        <v>651</v>
      </c>
      <c r="D76" s="1313">
        <v>5953493</v>
      </c>
      <c r="E76" s="450"/>
      <c r="F76" s="330"/>
    </row>
    <row r="77" spans="1:6">
      <c r="A77" s="1298" t="s">
        <v>65</v>
      </c>
      <c r="B77" s="1298" t="s">
        <v>646</v>
      </c>
      <c r="C77" s="1312" t="s">
        <v>652</v>
      </c>
      <c r="D77" s="1313">
        <v>93701928</v>
      </c>
      <c r="E77" s="450"/>
      <c r="F77" s="330"/>
    </row>
    <row r="78" spans="1:6">
      <c r="A78" s="1293" t="s">
        <v>65</v>
      </c>
      <c r="B78" s="1293" t="s">
        <v>647</v>
      </c>
      <c r="C78" s="1293" t="s">
        <v>653</v>
      </c>
      <c r="D78" s="1314">
        <v>14888532</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6190522</v>
      </c>
      <c r="C83" s="450"/>
      <c r="D83" s="330"/>
      <c r="E83" s="330"/>
      <c r="F83" s="330"/>
    </row>
    <row r="84" spans="1:6">
      <c r="A84" s="1293" t="s">
        <v>336</v>
      </c>
      <c r="B84" s="1314">
        <v>233495</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110555.08254452127</v>
      </c>
      <c r="C90" s="330"/>
      <c r="D90" s="330"/>
      <c r="E90" s="330"/>
      <c r="F90" s="330"/>
    </row>
    <row r="91" spans="1:6">
      <c r="A91" s="1298" t="s">
        <v>67</v>
      </c>
      <c r="B91" s="1299">
        <v>15017.668781368864</v>
      </c>
      <c r="C91" s="330"/>
      <c r="D91" s="330"/>
      <c r="E91" s="330"/>
      <c r="F91" s="330"/>
    </row>
    <row r="92" spans="1:6">
      <c r="A92" s="1293" t="s">
        <v>68</v>
      </c>
      <c r="B92" s="1294">
        <v>18715.914669220034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33975</v>
      </c>
      <c r="C97" s="330"/>
      <c r="D97" s="330"/>
      <c r="E97" s="330"/>
      <c r="F97" s="330"/>
    </row>
    <row r="98" spans="1:6">
      <c r="A98" s="1298" t="s">
        <v>71</v>
      </c>
      <c r="B98" s="1299">
        <v>8</v>
      </c>
      <c r="C98" s="330"/>
      <c r="D98" s="330"/>
      <c r="E98" s="330"/>
      <c r="F98" s="330"/>
    </row>
    <row r="99" spans="1:6">
      <c r="A99" s="1298" t="s">
        <v>72</v>
      </c>
      <c r="B99" s="1299">
        <v>191</v>
      </c>
      <c r="C99" s="330"/>
      <c r="D99" s="330"/>
      <c r="E99" s="330"/>
      <c r="F99" s="330"/>
    </row>
    <row r="100" spans="1:6">
      <c r="A100" s="1298" t="s">
        <v>73</v>
      </c>
      <c r="B100" s="1299">
        <v>3941</v>
      </c>
      <c r="C100" s="330"/>
      <c r="D100" s="330"/>
      <c r="E100" s="330"/>
      <c r="F100" s="330"/>
    </row>
    <row r="101" spans="1:6">
      <c r="A101" s="1298" t="s">
        <v>74</v>
      </c>
      <c r="B101" s="1299">
        <v>356</v>
      </c>
      <c r="C101" s="330"/>
      <c r="D101" s="330"/>
      <c r="E101" s="330"/>
      <c r="F101" s="330"/>
    </row>
    <row r="102" spans="1:6">
      <c r="A102" s="1298" t="s">
        <v>75</v>
      </c>
      <c r="B102" s="1299">
        <v>1147</v>
      </c>
      <c r="C102" s="330"/>
      <c r="D102" s="330"/>
      <c r="E102" s="330"/>
      <c r="F102" s="330"/>
    </row>
    <row r="103" spans="1:6">
      <c r="A103" s="1298" t="s">
        <v>76</v>
      </c>
      <c r="B103" s="1299">
        <v>613</v>
      </c>
      <c r="C103" s="330"/>
      <c r="D103" s="330"/>
      <c r="E103" s="330"/>
      <c r="F103" s="330"/>
    </row>
    <row r="104" spans="1:6">
      <c r="A104" s="1298" t="s">
        <v>77</v>
      </c>
      <c r="B104" s="1299">
        <v>8219</v>
      </c>
      <c r="C104" s="330"/>
      <c r="D104" s="330"/>
      <c r="E104" s="330"/>
      <c r="F104" s="330"/>
    </row>
    <row r="105" spans="1:6">
      <c r="A105" s="1293" t="s">
        <v>78</v>
      </c>
      <c r="B105" s="1302">
        <v>33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4</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6</v>
      </c>
      <c r="C121" s="1299">
        <v>0</v>
      </c>
      <c r="D121" s="330"/>
      <c r="E121" s="330"/>
      <c r="F121" s="330"/>
    </row>
    <row r="122" spans="1:6">
      <c r="A122" s="1298" t="s">
        <v>86</v>
      </c>
      <c r="B122" s="1299">
        <v>1</v>
      </c>
      <c r="C122" s="1299">
        <v>0</v>
      </c>
      <c r="D122" s="330"/>
      <c r="E122" s="330"/>
      <c r="F122" s="330"/>
    </row>
    <row r="123" spans="1:6">
      <c r="A123" s="1298" t="s">
        <v>87</v>
      </c>
      <c r="B123" s="1299">
        <v>61</v>
      </c>
      <c r="C123" s="1299">
        <v>140</v>
      </c>
      <c r="D123" s="330"/>
      <c r="E123" s="330"/>
      <c r="F123" s="330"/>
    </row>
    <row r="124" spans="1:6" s="43" customFormat="1">
      <c r="A124" s="1300" t="s">
        <v>88</v>
      </c>
      <c r="B124" s="1321">
        <v>5</v>
      </c>
      <c r="C124" s="1321">
        <v>5</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763</v>
      </c>
      <c r="C129" s="330"/>
      <c r="D129" s="330"/>
      <c r="E129" s="330"/>
      <c r="F129" s="330"/>
    </row>
    <row r="130" spans="1:6">
      <c r="A130" s="1298" t="s">
        <v>294</v>
      </c>
      <c r="B130" s="1299">
        <v>16</v>
      </c>
      <c r="C130" s="330"/>
      <c r="D130" s="330"/>
      <c r="E130" s="330"/>
      <c r="F130" s="330"/>
    </row>
    <row r="131" spans="1:6">
      <c r="A131" s="1298" t="s">
        <v>295</v>
      </c>
      <c r="B131" s="1299">
        <v>19</v>
      </c>
      <c r="C131" s="330"/>
      <c r="D131" s="330"/>
      <c r="E131" s="330"/>
      <c r="F131" s="330"/>
    </row>
    <row r="132" spans="1:6">
      <c r="A132" s="1293" t="s">
        <v>296</v>
      </c>
      <c r="B132" s="1294">
        <v>47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629421.03938798246</v>
      </c>
      <c r="C3" s="43" t="s">
        <v>169</v>
      </c>
      <c r="D3" s="43"/>
      <c r="E3" s="154"/>
      <c r="F3" s="43"/>
      <c r="G3" s="43"/>
      <c r="H3" s="43"/>
      <c r="I3" s="43"/>
      <c r="J3" s="43"/>
      <c r="K3" s="96"/>
    </row>
    <row r="4" spans="1:11">
      <c r="A4" s="358" t="s">
        <v>170</v>
      </c>
      <c r="B4" s="49">
        <f>IF(ISERROR('SEAP template'!B78+'SEAP template'!C78),0,'SEAP template'!B78+'SEAP template'!C78)</f>
        <v>144632.91599511018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81.6659864202188</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0.17034677035979001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120.47829929406696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507.857142857143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0.23722871872249465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7847.19488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7847.19488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0.17034677035979001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1336.74430419188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170827.93141500003</v>
      </c>
      <c r="C5" s="17">
        <f>IF(ISERROR('Eigen informatie GS &amp; warmtenet'!B59),0,'Eigen informatie GS &amp; warmtenet'!B59)</f>
        <v>0</v>
      </c>
      <c r="D5" s="30">
        <f>(SUM(HH_hh_gas_kWh,HH_rest_gas_kWh)/1000)*0.902</f>
        <v>576720.47469740012</v>
      </c>
      <c r="E5" s="17">
        <f>B46*B57</f>
        <v>20422.44393186743</v>
      </c>
      <c r="F5" s="17">
        <f>B51*B62</f>
        <v>0</v>
      </c>
      <c r="G5" s="18"/>
      <c r="H5" s="17"/>
      <c r="I5" s="17"/>
      <c r="J5" s="17">
        <f>B50*B61+C50*C61</f>
        <v>0</v>
      </c>
      <c r="K5" s="17"/>
      <c r="L5" s="17"/>
      <c r="M5" s="17"/>
      <c r="N5" s="17">
        <f>B48*B59+C48*C59</f>
        <v>47493.812867290886</v>
      </c>
      <c r="O5" s="17">
        <f>B69*B70*B71</f>
        <v>1801.434063203425</v>
      </c>
      <c r="P5" s="17">
        <f>B77*B78*B79/1000-B77*B78*B79/1000/B80</f>
        <v>1190.3374017684077</v>
      </c>
    </row>
    <row r="6" spans="1:16">
      <c r="A6" s="16" t="s">
        <v>611</v>
      </c>
      <c r="B6" s="783">
        <f>kWh_PV_kleiner_dan_10kW</f>
        <v>15017.668781368864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185845.60019636891</v>
      </c>
      <c r="C8" s="21">
        <f>C5</f>
        <v>0</v>
      </c>
      <c r="D8" s="21">
        <f>D5</f>
        <v>576720.47469740012</v>
      </c>
      <c r="E8" s="21">
        <f>E5</f>
        <v>20422.44393186743</v>
      </c>
      <c r="F8" s="21">
        <f>F5</f>
        <v>0</v>
      </c>
      <c r="G8" s="21"/>
      <c r="H8" s="21"/>
      <c r="I8" s="21"/>
      <c r="J8" s="21">
        <f>J5</f>
        <v>0</v>
      </c>
      <c r="K8" s="21"/>
      <c r="L8" s="21">
        <f>L5</f>
        <v>0</v>
      </c>
      <c r="M8" s="21">
        <f>M5</f>
        <v>0</v>
      </c>
      <c r="N8" s="21">
        <f>N5</f>
        <v>47493.812867290886</v>
      </c>
      <c r="O8" s="21">
        <f>O5</f>
        <v>1801.434063203425</v>
      </c>
      <c r="P8" s="21">
        <f>P5</f>
        <v>1190.3374017684077</v>
      </c>
    </row>
    <row r="9" spans="1:16">
      <c r="B9" s="19"/>
      <c r="C9" s="19"/>
      <c r="D9" s="258"/>
      <c r="E9" s="19"/>
      <c r="F9" s="19"/>
      <c r="G9" s="19"/>
      <c r="H9" s="19"/>
      <c r="I9" s="19"/>
      <c r="J9" s="19"/>
      <c r="K9" s="19"/>
      <c r="L9" s="19"/>
      <c r="M9" s="19"/>
      <c r="N9" s="19"/>
      <c r="O9" s="19"/>
      <c r="P9" s="19"/>
    </row>
    <row r="10" spans="1:16">
      <c r="A10" s="24" t="s">
        <v>213</v>
      </c>
      <c r="B10" s="25">
        <f ca="1">'EF ele_warmte'!B12</f>
        <v>0.17034677035979001</v>
      </c>
      <c r="C10" s="25">
        <f ca="1">'EF ele_warmte'!B22</f>
        <v>0.23722871872249465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31658.1977790282</v>
      </c>
      <c r="C12" s="23">
        <f ca="1">C10*C8</f>
        <v>0</v>
      </c>
      <c r="D12" s="23">
        <f>D8*D10</f>
        <v>116497.53588887483</v>
      </c>
      <c r="E12" s="23">
        <f>E10*E8</f>
        <v>4635.8947725339067</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33975</v>
      </c>
      <c r="C18" s="166" t="s">
        <v>110</v>
      </c>
      <c r="D18" s="228"/>
      <c r="E18" s="15"/>
    </row>
    <row r="19" spans="1:7">
      <c r="A19" s="171" t="s">
        <v>71</v>
      </c>
      <c r="B19" s="37">
        <f>aantalw2001_ander</f>
        <v>8</v>
      </c>
      <c r="C19" s="166" t="s">
        <v>110</v>
      </c>
      <c r="D19" s="229"/>
      <c r="E19" s="15"/>
    </row>
    <row r="20" spans="1:7">
      <c r="A20" s="171" t="s">
        <v>72</v>
      </c>
      <c r="B20" s="37">
        <f>aantalw2001_propaan</f>
        <v>191</v>
      </c>
      <c r="C20" s="167">
        <f>IF(ISERROR(B20/SUM($B$20,$B$21,$B$22)*100),0,B20/SUM($B$20,$B$21,$B$22)*100)</f>
        <v>4.2557932263814617</v>
      </c>
      <c r="D20" s="229"/>
      <c r="E20" s="15"/>
    </row>
    <row r="21" spans="1:7">
      <c r="A21" s="171" t="s">
        <v>73</v>
      </c>
      <c r="B21" s="37">
        <f>aantalw2001_elektriciteit</f>
        <v>3941</v>
      </c>
      <c r="C21" s="167">
        <f>IF(ISERROR(B21/SUM($B$20,$B$21,$B$22)*100),0,B21/SUM($B$20,$B$21,$B$22)*100)</f>
        <v>87.811942959001783</v>
      </c>
      <c r="D21" s="229"/>
      <c r="E21" s="15"/>
    </row>
    <row r="22" spans="1:7">
      <c r="A22" s="171" t="s">
        <v>74</v>
      </c>
      <c r="B22" s="37">
        <f>aantalw2001_hout</f>
        <v>356</v>
      </c>
      <c r="C22" s="167">
        <f>IF(ISERROR(B22/SUM($B$20,$B$21,$B$22)*100),0,B22/SUM($B$20,$B$21,$B$22)*100)</f>
        <v>7.9322638146167552</v>
      </c>
      <c r="D22" s="229"/>
      <c r="E22" s="15"/>
    </row>
    <row r="23" spans="1:7">
      <c r="A23" s="171" t="s">
        <v>75</v>
      </c>
      <c r="B23" s="37">
        <f>aantalw2001_niet_gespec</f>
        <v>1147</v>
      </c>
      <c r="C23" s="166" t="s">
        <v>110</v>
      </c>
      <c r="D23" s="228"/>
      <c r="E23" s="15"/>
    </row>
    <row r="24" spans="1:7">
      <c r="A24" s="171" t="s">
        <v>76</v>
      </c>
      <c r="B24" s="37">
        <f>aantalw2001_steenkool</f>
        <v>613</v>
      </c>
      <c r="C24" s="166" t="s">
        <v>110</v>
      </c>
      <c r="D24" s="229"/>
      <c r="E24" s="15"/>
    </row>
    <row r="25" spans="1:7">
      <c r="A25" s="171" t="s">
        <v>77</v>
      </c>
      <c r="B25" s="37">
        <f>aantalw2001_stookolie</f>
        <v>8219</v>
      </c>
      <c r="C25" s="166" t="s">
        <v>110</v>
      </c>
      <c r="D25" s="228"/>
      <c r="E25" s="52"/>
    </row>
    <row r="26" spans="1:7">
      <c r="A26" s="171" t="s">
        <v>78</v>
      </c>
      <c r="B26" s="37">
        <f>aantalw2001_WP</f>
        <v>33</v>
      </c>
      <c r="C26" s="166" t="s">
        <v>110</v>
      </c>
      <c r="D26" s="228"/>
      <c r="E26" s="15"/>
    </row>
    <row r="27" spans="1:7" s="15" customFormat="1">
      <c r="A27" s="171"/>
      <c r="B27" s="29"/>
      <c r="C27" s="36"/>
      <c r="D27" s="228"/>
    </row>
    <row r="28" spans="1:7" s="15" customFormat="1">
      <c r="A28" s="230" t="s">
        <v>818</v>
      </c>
      <c r="B28" s="37">
        <f>aantalHuishoudens</f>
        <v>53903</v>
      </c>
      <c r="C28" s="36"/>
      <c r="D28" s="228"/>
    </row>
    <row r="29" spans="1:7" s="15" customFormat="1">
      <c r="A29" s="230" t="s">
        <v>819</v>
      </c>
      <c r="B29" s="37">
        <f>SUM(HH_hh_gas_aantal,HH_rest_gas_aantal)</f>
        <v>44958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44958</v>
      </c>
      <c r="C32" s="167">
        <f>IF(ISERROR(B32/SUM($B$32,$B$34,$B$35,$B$36,$B$38,$B$39)*100),0,B32/SUM($B$32,$B$34,$B$35,$B$36,$B$38,$B$39)*100)</f>
        <v>83.580591187953146</v>
      </c>
      <c r="D32" s="233"/>
      <c r="G32" s="15"/>
    </row>
    <row r="33" spans="1:7">
      <c r="A33" s="171" t="s">
        <v>71</v>
      </c>
      <c r="B33" s="34" t="s">
        <v>110</v>
      </c>
      <c r="C33" s="167"/>
      <c r="D33" s="233"/>
      <c r="G33" s="15"/>
    </row>
    <row r="34" spans="1:7">
      <c r="A34" s="171" t="s">
        <v>72</v>
      </c>
      <c r="B34" s="33">
        <f>IF((($B$28-$B$32-$B$39-$B$77-$B$38)*C20/100)&lt;0,0,($B$28-$B$32-$B$39-$B$77-$B$38)*C20/100)</f>
        <v>375.87165775401064</v>
      </c>
      <c r="C34" s="167">
        <f>IF(ISERROR(B34/SUM($B$32,$B$34,$B$35,$B$36,$B$38,$B$39)*100),0,B34/SUM($B$32,$B$34,$B$35,$B$36,$B$38,$B$39)*100)</f>
        <v>0.69877608803497049</v>
      </c>
      <c r="D34" s="233"/>
      <c r="G34" s="15"/>
    </row>
    <row r="35" spans="1:7">
      <c r="A35" s="171" t="s">
        <v>73</v>
      </c>
      <c r="B35" s="33">
        <f>IF((($B$28-$B$32-$B$39-$B$77-$B$38)*C21/100)&lt;0,0,($B$28-$B$32-$B$39-$B$77-$B$38)*C21/100)</f>
        <v>7755.5508021390378</v>
      </c>
      <c r="C35" s="167">
        <f>IF(ISERROR(B35/SUM($B$32,$B$34,$B$35,$B$36,$B$38,$B$39)*100),0,B35/SUM($B$32,$B$34,$B$35,$B$36,$B$38,$B$39)*100)</f>
        <v>14.418201900239891</v>
      </c>
      <c r="D35" s="233"/>
      <c r="G35" s="15"/>
    </row>
    <row r="36" spans="1:7">
      <c r="A36" s="171" t="s">
        <v>74</v>
      </c>
      <c r="B36" s="33">
        <f>IF((($B$28-$B$32-$B$39-$B$77-$B$38)*C22/100)&lt;0,0,($B$28-$B$32-$B$39-$B$77-$B$38)*C22/100)</f>
        <v>700.5775401069518</v>
      </c>
      <c r="C36" s="167">
        <f>IF(ISERROR(B36/SUM($B$32,$B$34,$B$35,$B$36,$B$38,$B$39)*100),0,B36/SUM($B$32,$B$34,$B$35,$B$36,$B$38,$B$39)*100)</f>
        <v>1.302430823771987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44958</v>
      </c>
      <c r="C44" s="34" t="s">
        <v>110</v>
      </c>
      <c r="D44" s="174"/>
    </row>
    <row r="45" spans="1:7">
      <c r="A45" s="171" t="s">
        <v>71</v>
      </c>
      <c r="B45" s="33" t="str">
        <f t="shared" si="0"/>
        <v>-</v>
      </c>
      <c r="C45" s="34" t="s">
        <v>110</v>
      </c>
      <c r="D45" s="174"/>
    </row>
    <row r="46" spans="1:7">
      <c r="A46" s="171" t="s">
        <v>72</v>
      </c>
      <c r="B46" s="33">
        <f t="shared" si="0"/>
        <v>375.87165775401064</v>
      </c>
      <c r="C46" s="34" t="s">
        <v>110</v>
      </c>
      <c r="D46" s="174"/>
    </row>
    <row r="47" spans="1:7">
      <c r="A47" s="171" t="s">
        <v>73</v>
      </c>
      <c r="B47" s="33">
        <f t="shared" si="0"/>
        <v>7755.5508021390378</v>
      </c>
      <c r="C47" s="34" t="s">
        <v>110</v>
      </c>
      <c r="D47" s="174"/>
    </row>
    <row r="48" spans="1:7">
      <c r="A48" s="171" t="s">
        <v>74</v>
      </c>
      <c r="B48" s="33">
        <f t="shared" si="0"/>
        <v>700.5775401069518</v>
      </c>
      <c r="C48" s="33">
        <f>B48*10</f>
        <v>7005.775401069518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908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312937.91176999995</v>
      </c>
      <c r="C5" s="17">
        <f>IF(ISERROR('Eigen informatie GS &amp; warmtenet'!B60),0,'Eigen informatie GS &amp; warmtenet'!B60)</f>
        <v>0</v>
      </c>
      <c r="D5" s="30">
        <f>SUM(D6:D12)</f>
        <v>379941.03169396002</v>
      </c>
      <c r="E5" s="17">
        <f>SUM(E6:E12)</f>
        <v>4013.6051202053636</v>
      </c>
      <c r="F5" s="17">
        <f>SUM(F6:F12)</f>
        <v>35845.775230444444</v>
      </c>
      <c r="G5" s="18"/>
      <c r="H5" s="17"/>
      <c r="I5" s="17"/>
      <c r="J5" s="17">
        <f>SUM(J6:J12)</f>
        <v>0.61124295533516726</v>
      </c>
      <c r="K5" s="17"/>
      <c r="L5" s="17"/>
      <c r="M5" s="17"/>
      <c r="N5" s="17">
        <f>SUM(N6:N12)</f>
        <v>24205.256209472987</v>
      </c>
      <c r="O5" s="17">
        <f>B38*B39*B40</f>
        <v>78.356172253458467</v>
      </c>
      <c r="P5" s="17">
        <f>B46*B47*B48/1000-B46*B47*B48/1000/B49</f>
        <v>1366.0175959688704</v>
      </c>
      <c r="R5" s="32"/>
    </row>
    <row r="6" spans="1:18">
      <c r="A6" s="32" t="s">
        <v>53</v>
      </c>
      <c r="B6" s="37">
        <f>B26</f>
        <v>89490.110329999996</v>
      </c>
      <c r="C6" s="33"/>
      <c r="D6" s="37">
        <f>IF(ISERROR(TER_kantoor_gas_kWh/1000),0,TER_kantoor_gas_kWh/1000)*0.902</f>
        <v>87360.414377280002</v>
      </c>
      <c r="E6" s="33">
        <f>$C$26*'E Balans VL '!I12/100/3.6*1000000</f>
        <v>720.09822503565135</v>
      </c>
      <c r="F6" s="33">
        <f>$C$26*('E Balans VL '!L12+'E Balans VL '!N12)/100/3.6*1000000</f>
        <v>10941.107393663444</v>
      </c>
      <c r="G6" s="34"/>
      <c r="H6" s="33"/>
      <c r="I6" s="33"/>
      <c r="J6" s="33">
        <f>$C$26*('E Balans VL '!D12+'E Balans VL '!E12)/100/3.6*1000000</f>
        <v>0</v>
      </c>
      <c r="K6" s="33"/>
      <c r="L6" s="33"/>
      <c r="M6" s="33"/>
      <c r="N6" s="33">
        <f>$C$26*'E Balans VL '!Y12/100/3.6*1000000</f>
        <v>48.096527391421027</v>
      </c>
      <c r="O6" s="33"/>
      <c r="P6" s="33"/>
      <c r="R6" s="32"/>
    </row>
    <row r="7" spans="1:18">
      <c r="A7" s="32" t="s">
        <v>52</v>
      </c>
      <c r="B7" s="37">
        <f t="shared" ref="B7:B12" si="0">B27</f>
        <v>48944.964229999998</v>
      </c>
      <c r="C7" s="33"/>
      <c r="D7" s="37">
        <f>IF(ISERROR(TER_horeca_gas_kWh/1000),0,TER_horeca_gas_kWh/1000)*0.902</f>
        <v>73801.807519440001</v>
      </c>
      <c r="E7" s="33">
        <f>$C$27*'E Balans VL '!I9/100/3.6*1000000</f>
        <v>525.54872801027943</v>
      </c>
      <c r="F7" s="33">
        <f>$C$27*('E Balans VL '!L9+'E Balans VL '!N9)/100/3.6*1000000</f>
        <v>5886.8923454719088</v>
      </c>
      <c r="G7" s="34"/>
      <c r="H7" s="33"/>
      <c r="I7" s="33"/>
      <c r="J7" s="33">
        <f>$C$27*('E Balans VL '!D9+'E Balans VL '!E9)/100/3.6*1000000</f>
        <v>0</v>
      </c>
      <c r="K7" s="33"/>
      <c r="L7" s="33"/>
      <c r="M7" s="33"/>
      <c r="N7" s="33">
        <f>$C$27*'E Balans VL '!Y9/100/3.6*1000000</f>
        <v>7.3378421373322817</v>
      </c>
      <c r="O7" s="33"/>
      <c r="P7" s="33"/>
      <c r="R7" s="32"/>
    </row>
    <row r="8" spans="1:18">
      <c r="A8" s="6" t="s">
        <v>51</v>
      </c>
      <c r="B8" s="37">
        <f t="shared" si="0"/>
        <v>75053.714359999998</v>
      </c>
      <c r="C8" s="33"/>
      <c r="D8" s="37">
        <f>IF(ISERROR(TER_handel_gas_kWh/1000),0,TER_handel_gas_kWh/1000)*0.902</f>
        <v>45118.846820959996</v>
      </c>
      <c r="E8" s="33">
        <f>$C$28*'E Balans VL '!I13/100/3.6*1000000</f>
        <v>2014.2119187048841</v>
      </c>
      <c r="F8" s="33">
        <f>$C$28*('E Balans VL '!L13+'E Balans VL '!N13)/100/3.6*1000000</f>
        <v>7162.4375650662578</v>
      </c>
      <c r="G8" s="34"/>
      <c r="H8" s="33"/>
      <c r="I8" s="33"/>
      <c r="J8" s="33">
        <f>$C$28*('E Balans VL '!D13+'E Balans VL '!E13)/100/3.6*1000000</f>
        <v>0</v>
      </c>
      <c r="K8" s="33"/>
      <c r="L8" s="33"/>
      <c r="M8" s="33"/>
      <c r="N8" s="33">
        <f>$C$28*'E Balans VL '!Y13/100/3.6*1000000</f>
        <v>29.752145761968027</v>
      </c>
      <c r="O8" s="33"/>
      <c r="P8" s="33"/>
      <c r="R8" s="32"/>
    </row>
    <row r="9" spans="1:18">
      <c r="A9" s="32" t="s">
        <v>50</v>
      </c>
      <c r="B9" s="37">
        <f t="shared" si="0"/>
        <v>31513.08409</v>
      </c>
      <c r="C9" s="33"/>
      <c r="D9" s="37">
        <f>IF(ISERROR(TER_gezond_gas_kWh/1000),0,TER_gezond_gas_kWh/1000)*0.902</f>
        <v>43357.393583680001</v>
      </c>
      <c r="E9" s="33">
        <f>$C$29*'E Balans VL '!I10/100/3.6*1000000</f>
        <v>59.065780690415885</v>
      </c>
      <c r="F9" s="33">
        <f>$C$29*('E Balans VL '!L10+'E Balans VL '!N10)/100/3.6*1000000</f>
        <v>2590.6630469348161</v>
      </c>
      <c r="G9" s="34"/>
      <c r="H9" s="33"/>
      <c r="I9" s="33"/>
      <c r="J9" s="33">
        <f>$C$29*('E Balans VL '!D10+'E Balans VL '!E10)/100/3.6*1000000</f>
        <v>0</v>
      </c>
      <c r="K9" s="33"/>
      <c r="L9" s="33"/>
      <c r="M9" s="33"/>
      <c r="N9" s="33">
        <f>$C$29*'E Balans VL '!Y10/100/3.6*1000000</f>
        <v>245.19530635931875</v>
      </c>
      <c r="O9" s="33"/>
      <c r="P9" s="33"/>
      <c r="R9" s="32"/>
    </row>
    <row r="10" spans="1:18">
      <c r="A10" s="32" t="s">
        <v>49</v>
      </c>
      <c r="B10" s="37">
        <f t="shared" si="0"/>
        <v>34006.33006</v>
      </c>
      <c r="C10" s="33"/>
      <c r="D10" s="37">
        <f>IF(ISERROR(TER_ander_gas_kWh/1000),0,TER_ander_gas_kWh/1000)*0.902</f>
        <v>59571.649665000004</v>
      </c>
      <c r="E10" s="33">
        <f>$C$30*'E Balans VL '!I14/100/3.6*1000000</f>
        <v>52.421102368308283</v>
      </c>
      <c r="F10" s="33">
        <f>$C$30*('E Balans VL '!L14+'E Balans VL '!N14)/100/3.6*1000000</f>
        <v>5279.4921297785522</v>
      </c>
      <c r="G10" s="34"/>
      <c r="H10" s="33"/>
      <c r="I10" s="33"/>
      <c r="J10" s="33">
        <f>$C$30*('E Balans VL '!D14+'E Balans VL '!E14)/100/3.6*1000000</f>
        <v>0.57729331668753259</v>
      </c>
      <c r="K10" s="33"/>
      <c r="L10" s="33"/>
      <c r="M10" s="33"/>
      <c r="N10" s="33">
        <f>$C$30*'E Balans VL '!Y14/100/3.6*1000000</f>
        <v>22497.498072998733</v>
      </c>
      <c r="O10" s="33"/>
      <c r="P10" s="33"/>
      <c r="R10" s="32"/>
    </row>
    <row r="11" spans="1:18">
      <c r="A11" s="32" t="s">
        <v>54</v>
      </c>
      <c r="B11" s="37">
        <f t="shared" si="0"/>
        <v>16214.82432</v>
      </c>
      <c r="C11" s="33"/>
      <c r="D11" s="37">
        <f>IF(ISERROR(TER_onderwijs_gas_kWh/1000),0,TER_onderwijs_gas_kWh/1000)*0.902</f>
        <v>39226.109955560001</v>
      </c>
      <c r="E11" s="33">
        <f>$C$31*'E Balans VL '!I11/100/3.6*1000000</f>
        <v>413.58876832516245</v>
      </c>
      <c r="F11" s="33">
        <f>$C$31*('E Balans VL '!L11+'E Balans VL '!N11)/100/3.6*1000000</f>
        <v>1949.9852442184626</v>
      </c>
      <c r="G11" s="34"/>
      <c r="H11" s="33"/>
      <c r="I11" s="33"/>
      <c r="J11" s="33">
        <f>$C$31*('E Balans VL '!D11+'E Balans VL '!E11)/100/3.6*1000000</f>
        <v>0</v>
      </c>
      <c r="K11" s="33"/>
      <c r="L11" s="33"/>
      <c r="M11" s="33"/>
      <c r="N11" s="33">
        <f>$C$31*'E Balans VL '!Y11/100/3.6*1000000</f>
        <v>36.061373642557442</v>
      </c>
      <c r="O11" s="33"/>
      <c r="P11" s="33"/>
      <c r="R11" s="32"/>
    </row>
    <row r="12" spans="1:18">
      <c r="A12" s="32" t="s">
        <v>259</v>
      </c>
      <c r="B12" s="37">
        <f t="shared" si="0"/>
        <v>17714.88438</v>
      </c>
      <c r="C12" s="33"/>
      <c r="D12" s="37">
        <f>IF(ISERROR(TER_rest_gas_kWh/1000),0,TER_rest_gas_kWh/1000)*0.902</f>
        <v>31504.809772040007</v>
      </c>
      <c r="E12" s="33">
        <f>$C$32*'E Balans VL '!I8/100/3.6*1000000</f>
        <v>228.67059707066207</v>
      </c>
      <c r="F12" s="33">
        <f>$C$32*('E Balans VL '!L8+'E Balans VL '!N8)/100/3.6*1000000</f>
        <v>2035.1975053110014</v>
      </c>
      <c r="G12" s="34"/>
      <c r="H12" s="33"/>
      <c r="I12" s="33"/>
      <c r="J12" s="33">
        <f>$C$32*('E Balans VL '!D8+'E Balans VL '!E8)/100/3.6*1000000</f>
        <v>3.3949638647634617E-2</v>
      </c>
      <c r="K12" s="33"/>
      <c r="L12" s="33"/>
      <c r="M12" s="33"/>
      <c r="N12" s="33">
        <f>$C$32*'E Balans VL '!Y8/100/3.6*1000000</f>
        <v>1341.3149411816555</v>
      </c>
      <c r="O12" s="33"/>
      <c r="P12" s="33"/>
      <c r="R12" s="32"/>
    </row>
    <row r="13" spans="1:18">
      <c r="A13" s="16" t="s">
        <v>478</v>
      </c>
      <c r="B13" s="247">
        <f ca="1">'lokale energieproductie'!N40+'lokale energieproductie'!N33</f>
        <v>315.00000000000006</v>
      </c>
      <c r="C13" s="247">
        <f ca="1">'lokale energieproductie'!O40+'lokale energieproductie'!O33</f>
        <v>450.00000000000011</v>
      </c>
      <c r="D13" s="308">
        <f ca="1">('lokale energieproductie'!P33+'lokale energieproductie'!P40)*(-1)</f>
        <v>-900.00000000000023</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313252.91176999995</v>
      </c>
      <c r="C16" s="21">
        <f t="shared" ca="1" si="1"/>
        <v>450.00000000000011</v>
      </c>
      <c r="D16" s="21">
        <f t="shared" ca="1" si="1"/>
        <v>379041.03169396002</v>
      </c>
      <c r="E16" s="21">
        <f t="shared" si="1"/>
        <v>4013.6051202053636</v>
      </c>
      <c r="F16" s="21">
        <f t="shared" ca="1" si="1"/>
        <v>35845.775230444444</v>
      </c>
      <c r="G16" s="21">
        <f t="shared" si="1"/>
        <v>0</v>
      </c>
      <c r="H16" s="21">
        <f t="shared" si="1"/>
        <v>0</v>
      </c>
      <c r="I16" s="21">
        <f t="shared" si="1"/>
        <v>0</v>
      </c>
      <c r="J16" s="21">
        <f t="shared" si="1"/>
        <v>0.61124295533516726</v>
      </c>
      <c r="K16" s="21">
        <f t="shared" si="1"/>
        <v>0</v>
      </c>
      <c r="L16" s="21">
        <f t="shared" ca="1" si="1"/>
        <v>0</v>
      </c>
      <c r="M16" s="21">
        <f t="shared" si="1"/>
        <v>0</v>
      </c>
      <c r="N16" s="21">
        <f t="shared" ca="1" si="1"/>
        <v>24205.256209472987</v>
      </c>
      <c r="O16" s="21">
        <f>O5</f>
        <v>78.356172253458467</v>
      </c>
      <c r="P16" s="21">
        <f>P5</f>
        <v>1366.0175959688704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0.17034677035979001</v>
      </c>
      <c r="C18" s="25">
        <f ca="1">'EF ele_warmte'!B22</f>
        <v>0.23722871872249465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53361.62182581974</v>
      </c>
      <c r="C20" s="23">
        <f t="shared" ref="C20:P20" ca="1" si="2">C16*C18</f>
        <v>106.75292342512262</v>
      </c>
      <c r="D20" s="23">
        <f t="shared" ca="1" si="2"/>
        <v>76566.288402179925</v>
      </c>
      <c r="E20" s="23">
        <f t="shared" si="2"/>
        <v>911.08836228661755</v>
      </c>
      <c r="F20" s="23">
        <f t="shared" ca="1" si="2"/>
        <v>9570.8219865286665</v>
      </c>
      <c r="G20" s="23">
        <f t="shared" si="2"/>
        <v>0</v>
      </c>
      <c r="H20" s="23">
        <f t="shared" si="2"/>
        <v>0</v>
      </c>
      <c r="I20" s="23">
        <f t="shared" si="2"/>
        <v>0</v>
      </c>
      <c r="J20" s="23">
        <f t="shared" si="2"/>
        <v>0.21638000618864919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89490.110329999996</v>
      </c>
      <c r="C26" s="39">
        <f>IF(ISERROR(B26*3.6/1000000/'E Balans VL '!Z12*100),0,B26*3.6/1000000/'E Balans VL '!Z12*100)</f>
        <v>1.8984508166018952</v>
      </c>
      <c r="D26" s="237" t="s">
        <v>708</v>
      </c>
      <c r="F26" s="6"/>
    </row>
    <row r="27" spans="1:18">
      <c r="A27" s="231" t="s">
        <v>52</v>
      </c>
      <c r="B27" s="33">
        <f>IF(ISERROR(TER_horeca_ele_kWh/1000),0,TER_horeca_ele_kWh/1000)</f>
        <v>48944.964229999998</v>
      </c>
      <c r="C27" s="39">
        <f>IF(ISERROR(B27*3.6/1000000/'E Balans VL '!Z9*100),0,B27*3.6/1000000/'E Balans VL '!Z9*100)</f>
        <v>3.6859893858055921</v>
      </c>
      <c r="D27" s="237" t="s">
        <v>708</v>
      </c>
      <c r="F27" s="6"/>
    </row>
    <row r="28" spans="1:18">
      <c r="A28" s="171" t="s">
        <v>51</v>
      </c>
      <c r="B28" s="33">
        <f>IF(ISERROR(TER_handel_ele_kWh/1000),0,TER_handel_ele_kWh/1000)</f>
        <v>75053.714359999998</v>
      </c>
      <c r="C28" s="39">
        <f>IF(ISERROR(B28*3.6/1000000/'E Balans VL '!Z13*100),0,B28*3.6/1000000/'E Balans VL '!Z13*100)</f>
        <v>2.1785433918120116</v>
      </c>
      <c r="D28" s="237" t="s">
        <v>708</v>
      </c>
      <c r="F28" s="6"/>
    </row>
    <row r="29" spans="1:18">
      <c r="A29" s="231" t="s">
        <v>50</v>
      </c>
      <c r="B29" s="33">
        <f>IF(ISERROR(TER_gezond_ele_kWh/1000),0,TER_gezond_ele_kWh/1000)</f>
        <v>31513.08409</v>
      </c>
      <c r="C29" s="39">
        <f>IF(ISERROR(B29*3.6/1000000/'E Balans VL '!Z10*100),0,B29*3.6/1000000/'E Balans VL '!Z10*100)</f>
        <v>3.178132111359913</v>
      </c>
      <c r="D29" s="237" t="s">
        <v>708</v>
      </c>
      <c r="F29" s="6"/>
    </row>
    <row r="30" spans="1:18">
      <c r="A30" s="231" t="s">
        <v>49</v>
      </c>
      <c r="B30" s="33">
        <f>IF(ISERROR(TER_ander_ele_kWh/1000),0,TER_ander_ele_kWh/1000)</f>
        <v>34006.33006</v>
      </c>
      <c r="C30" s="39">
        <f>IF(ISERROR(B30*3.6/1000000/'E Balans VL '!Z14*100),0,B30*3.6/1000000/'E Balans VL '!Z14*100)</f>
        <v>2.4676231772592003</v>
      </c>
      <c r="D30" s="237" t="s">
        <v>708</v>
      </c>
      <c r="F30" s="6"/>
    </row>
    <row r="31" spans="1:18">
      <c r="A31" s="231" t="s">
        <v>54</v>
      </c>
      <c r="B31" s="33">
        <f>IF(ISERROR(TER_onderwijs_ele_kWh/1000),0,TER_onderwijs_ele_kWh/1000)</f>
        <v>16214.82432</v>
      </c>
      <c r="C31" s="39">
        <f>IF(ISERROR(B31*3.6/1000000/'E Balans VL '!Z11*100),0,B31*3.6/1000000/'E Balans VL '!Z11*100)</f>
        <v>4.6218852295921975</v>
      </c>
      <c r="D31" s="237" t="s">
        <v>708</v>
      </c>
    </row>
    <row r="32" spans="1:18">
      <c r="A32" s="231" t="s">
        <v>259</v>
      </c>
      <c r="B32" s="33">
        <f>IF(ISERROR(TER_rest_ele_kWh/1000),0,TER_rest_ele_kWh/1000)</f>
        <v>17714.88438</v>
      </c>
      <c r="C32" s="39">
        <f>IF(ISERROR(B32*3.6/1000000/'E Balans VL '!Z8*100),0,B32*3.6/1000000/'E Balans VL '!Z8*100)</f>
        <v>0.14511672448794713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106190.224252</v>
      </c>
      <c r="C5" s="17">
        <f>IF(ISERROR('Eigen informatie GS &amp; warmtenet'!B61),0,'Eigen informatie GS &amp; warmtenet'!B61)</f>
        <v>0</v>
      </c>
      <c r="D5" s="30">
        <f>SUM(D6:D15)</f>
        <v>167091.23279494801</v>
      </c>
      <c r="E5" s="17">
        <f>SUM(E6:E15)</f>
        <v>6307.3277878150275</v>
      </c>
      <c r="F5" s="17">
        <f>SUM(F6:F15)</f>
        <v>23122.448286533854</v>
      </c>
      <c r="G5" s="18"/>
      <c r="H5" s="17"/>
      <c r="I5" s="17"/>
      <c r="J5" s="17">
        <f>SUM(J6:J15)</f>
        <v>898.28413678438301</v>
      </c>
      <c r="K5" s="17"/>
      <c r="L5" s="17"/>
      <c r="M5" s="17"/>
      <c r="N5" s="17">
        <f>SUM(N6:N15)</f>
        <v>5046.6472215370304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7020.4437989999997</v>
      </c>
      <c r="C8" s="33"/>
      <c r="D8" s="37">
        <f>IF( ISERROR(IND_metaal_Gas_kWH/1000),0,IND_metaal_Gas_kWH/1000)*0.902</f>
        <v>1399.509459788</v>
      </c>
      <c r="E8" s="33">
        <f>C30*'E Balans VL '!I18/100/3.6*1000000</f>
        <v>50.647574601813467</v>
      </c>
      <c r="F8" s="33">
        <f>C30*'E Balans VL '!L18/100/3.6*1000000+C30*'E Balans VL '!N18/100/3.6*1000000</f>
        <v>664.00453546960046</v>
      </c>
      <c r="G8" s="34"/>
      <c r="H8" s="33"/>
      <c r="I8" s="33"/>
      <c r="J8" s="40">
        <f>C30*'E Balans VL '!D18/100/3.6*1000000+C30*'E Balans VL '!E18/100/3.6*1000000</f>
        <v>7.0612031702239868</v>
      </c>
      <c r="K8" s="33"/>
      <c r="L8" s="33"/>
      <c r="M8" s="33"/>
      <c r="N8" s="33">
        <f>C30*'E Balans VL '!Y18/100/3.6*1000000</f>
        <v>88.756983879881318</v>
      </c>
      <c r="O8" s="33"/>
      <c r="P8" s="33"/>
      <c r="R8" s="32"/>
    </row>
    <row r="9" spans="1:18">
      <c r="A9" s="6" t="s">
        <v>32</v>
      </c>
      <c r="B9" s="37">
        <f t="shared" si="0"/>
        <v>12667.68167</v>
      </c>
      <c r="C9" s="33"/>
      <c r="D9" s="37">
        <f>IF( ISERROR(IND_andere_gas_kWh/1000),0,IND_andere_gas_kWh/1000)*0.902</f>
        <v>9074.6420505400001</v>
      </c>
      <c r="E9" s="33">
        <f>C31*'E Balans VL '!I19/100/3.6*1000000</f>
        <v>3510.3839788822502</v>
      </c>
      <c r="F9" s="33">
        <f>C31*'E Balans VL '!L19/100/3.6*1000000+C31*'E Balans VL '!N19/100/3.6*1000000</f>
        <v>10499.001943167066</v>
      </c>
      <c r="G9" s="34"/>
      <c r="H9" s="33"/>
      <c r="I9" s="33"/>
      <c r="J9" s="40">
        <f>C31*'E Balans VL '!D19/100/3.6*1000000+C31*'E Balans VL '!E19/100/3.6*1000000</f>
        <v>0</v>
      </c>
      <c r="K9" s="33"/>
      <c r="L9" s="33"/>
      <c r="M9" s="33"/>
      <c r="N9" s="33">
        <f>C31*'E Balans VL '!Y19/100/3.6*1000000</f>
        <v>919.51874672136762</v>
      </c>
      <c r="O9" s="33"/>
      <c r="P9" s="33"/>
      <c r="R9" s="32"/>
    </row>
    <row r="10" spans="1:18">
      <c r="A10" s="6" t="s">
        <v>40</v>
      </c>
      <c r="B10" s="37">
        <f t="shared" si="0"/>
        <v>21575.233850000001</v>
      </c>
      <c r="C10" s="33"/>
      <c r="D10" s="37">
        <f>IF( ISERROR(IND_voed_gas_kWh/1000),0,IND_voed_gas_kWh/1000)*0.902</f>
        <v>7548.0799086880006</v>
      </c>
      <c r="E10" s="33">
        <f>C32*'E Balans VL '!I20/100/3.6*1000000</f>
        <v>38.195471914741823</v>
      </c>
      <c r="F10" s="33">
        <f>C32*'E Balans VL '!L20/100/3.6*1000000+C32*'E Balans VL '!N20/100/3.6*1000000</f>
        <v>1165.253847482345</v>
      </c>
      <c r="G10" s="34"/>
      <c r="H10" s="33"/>
      <c r="I10" s="33"/>
      <c r="J10" s="40">
        <f>C32*'E Balans VL '!D20/100/3.6*1000000+C32*'E Balans VL '!E20/100/3.6*1000000</f>
        <v>0</v>
      </c>
      <c r="K10" s="33"/>
      <c r="L10" s="33"/>
      <c r="M10" s="33"/>
      <c r="N10" s="33">
        <f>C32*'E Balans VL '!Y20/100/3.6*1000000</f>
        <v>1253.6858587991196</v>
      </c>
      <c r="O10" s="33"/>
      <c r="P10" s="33"/>
      <c r="R10" s="32"/>
    </row>
    <row r="11" spans="1:18">
      <c r="A11" s="6" t="s">
        <v>39</v>
      </c>
      <c r="B11" s="37">
        <f t="shared" si="0"/>
        <v>213.84511499999999</v>
      </c>
      <c r="C11" s="33"/>
      <c r="D11" s="37">
        <f>IF( ISERROR(IND_textiel_gas_kWh/1000),0,IND_textiel_gas_kWh/1000)*0.902</f>
        <v>236.75606882400001</v>
      </c>
      <c r="E11" s="33">
        <f>C33*'E Balans VL '!I21/100/3.6*1000000</f>
        <v>0.75382622642231645</v>
      </c>
      <c r="F11" s="33">
        <f>C33*'E Balans VL '!L21/100/3.6*1000000+C33*'E Balans VL '!N21/100/3.6*1000000</f>
        <v>6.2766739009678796</v>
      </c>
      <c r="G11" s="34"/>
      <c r="H11" s="33"/>
      <c r="I11" s="33"/>
      <c r="J11" s="40">
        <f>C33*'E Balans VL '!D21/100/3.6*1000000+C33*'E Balans VL '!E21/100/3.6*1000000</f>
        <v>0</v>
      </c>
      <c r="K11" s="33"/>
      <c r="L11" s="33"/>
      <c r="M11" s="33"/>
      <c r="N11" s="33">
        <f>C33*'E Balans VL '!Y21/100/3.6*1000000</f>
        <v>9.4219851557680308</v>
      </c>
      <c r="O11" s="33"/>
      <c r="P11" s="33"/>
      <c r="R11" s="32"/>
    </row>
    <row r="12" spans="1:18">
      <c r="A12" s="6" t="s">
        <v>36</v>
      </c>
      <c r="B12" s="37">
        <f t="shared" si="0"/>
        <v>2532.2886079999998</v>
      </c>
      <c r="C12" s="33"/>
      <c r="D12" s="37">
        <f>IF( ISERROR(IND_min_gas_kWh/1000),0,IND_min_gas_kWh/1000)*0.902</f>
        <v>82.375361068000004</v>
      </c>
      <c r="E12" s="33">
        <f>C34*'E Balans VL '!I22/100/3.6*1000000</f>
        <v>111.5129575367943</v>
      </c>
      <c r="F12" s="33">
        <f>C34*'E Balans VL '!L22/100/3.6*1000000+C34*'E Balans VL '!N22/100/3.6*1000000</f>
        <v>990.22711362045561</v>
      </c>
      <c r="G12" s="34"/>
      <c r="H12" s="33"/>
      <c r="I12" s="33"/>
      <c r="J12" s="40">
        <f>C34*'E Balans VL '!D22/100/3.6*1000000+C34*'E Balans VL '!E22/100/3.6*1000000</f>
        <v>0.76889280869797039</v>
      </c>
      <c r="K12" s="33"/>
      <c r="L12" s="33"/>
      <c r="M12" s="33"/>
      <c r="N12" s="33">
        <f>C34*'E Balans VL '!Y22/100/3.6*1000000</f>
        <v>626.41146041037325</v>
      </c>
      <c r="O12" s="33"/>
      <c r="P12" s="33"/>
      <c r="R12" s="32"/>
    </row>
    <row r="13" spans="1:18">
      <c r="A13" s="6" t="s">
        <v>38</v>
      </c>
      <c r="B13" s="37">
        <f t="shared" si="0"/>
        <v>4013.767934</v>
      </c>
      <c r="C13" s="33"/>
      <c r="D13" s="37">
        <f>IF( ISERROR(IND_papier_gas_kWh/1000),0,IND_papier_gas_kWh/1000)*0.902</f>
        <v>1401.8983941600002</v>
      </c>
      <c r="E13" s="33">
        <f>C35*'E Balans VL '!I23/100/3.6*1000000</f>
        <v>5.9056308792539394</v>
      </c>
      <c r="F13" s="33">
        <f>C35*'E Balans VL '!L23/100/3.6*1000000+C35*'E Balans VL '!N23/100/3.6*1000000</f>
        <v>42.976643599800241</v>
      </c>
      <c r="G13" s="34"/>
      <c r="H13" s="33"/>
      <c r="I13" s="33"/>
      <c r="J13" s="40">
        <f>C35*'E Balans VL '!D23/100/3.6*1000000+C35*'E Balans VL '!E23/100/3.6*1000000</f>
        <v>439.12872001234751</v>
      </c>
      <c r="K13" s="33"/>
      <c r="L13" s="33"/>
      <c r="M13" s="33"/>
      <c r="N13" s="33">
        <f>C35*'E Balans VL '!Y23/100/3.6*1000000</f>
        <v>0</v>
      </c>
      <c r="O13" s="33"/>
      <c r="P13" s="33"/>
      <c r="R13" s="32"/>
    </row>
    <row r="14" spans="1:18">
      <c r="A14" s="6" t="s">
        <v>33</v>
      </c>
      <c r="B14" s="37">
        <f t="shared" si="0"/>
        <v>3535.1200759999997</v>
      </c>
      <c r="C14" s="33"/>
      <c r="D14" s="37">
        <f>IF( ISERROR(IND_chemie_gas_kWh/1000),0,IND_chemie_gas_kWh/1000)*0.902</f>
        <v>49058.79297748</v>
      </c>
      <c r="E14" s="33">
        <f>C36*'E Balans VL '!I24/100/3.6*1000000</f>
        <v>7.9957295713817782</v>
      </c>
      <c r="F14" s="33">
        <f>C36*'E Balans VL '!L24/100/3.6*1000000+C36*'E Balans VL '!N24/100/3.6*1000000</f>
        <v>41.739060949800233</v>
      </c>
      <c r="G14" s="34"/>
      <c r="H14" s="33"/>
      <c r="I14" s="33"/>
      <c r="J14" s="40">
        <f>C36*'E Balans VL '!D24/100/3.6*1000000+C36*'E Balans VL '!E24/100/3.6*1000000</f>
        <v>0</v>
      </c>
      <c r="K14" s="33"/>
      <c r="L14" s="33"/>
      <c r="M14" s="33"/>
      <c r="N14" s="33">
        <f>C36*'E Balans VL '!Y24/100/3.6*1000000</f>
        <v>1.9417885452498704</v>
      </c>
      <c r="O14" s="33"/>
      <c r="P14" s="33"/>
      <c r="R14" s="32"/>
    </row>
    <row r="15" spans="1:18">
      <c r="A15" s="6" t="s">
        <v>269</v>
      </c>
      <c r="B15" s="37">
        <f t="shared" si="0"/>
        <v>54631.843200000003</v>
      </c>
      <c r="C15" s="33"/>
      <c r="D15" s="37">
        <f>IF( ISERROR(IND_rest_gas_kWh/1000),0,IND_rest_gas_kWh/1000)*0.902</f>
        <v>98289.178574400008</v>
      </c>
      <c r="E15" s="33">
        <f>C37*'E Balans VL '!I15/100/3.6*1000000</f>
        <v>2581.9326182023701</v>
      </c>
      <c r="F15" s="33">
        <f>C37*'E Balans VL '!L15/100/3.6*1000000+C37*'E Balans VL '!N15/100/3.6*1000000</f>
        <v>9712.9684683438172</v>
      </c>
      <c r="G15" s="34"/>
      <c r="H15" s="33"/>
      <c r="I15" s="33"/>
      <c r="J15" s="40">
        <f>C37*'E Balans VL '!D15/100/3.6*1000000+C37*'E Balans VL '!E15/100/3.6*1000000</f>
        <v>451.32532079311346</v>
      </c>
      <c r="K15" s="33"/>
      <c r="L15" s="33"/>
      <c r="M15" s="33"/>
      <c r="N15" s="33">
        <f>C37*'E Balans VL '!Y15/100/3.6*1000000</f>
        <v>2146.9103980252708</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106190.224252</v>
      </c>
      <c r="C18" s="21">
        <f>C5+C16</f>
        <v>0</v>
      </c>
      <c r="D18" s="21">
        <f>MAX((D5+D16),0)</f>
        <v>167091.23279494801</v>
      </c>
      <c r="E18" s="21">
        <f>MAX((E5+E16),0)</f>
        <v>6307.3277878150275</v>
      </c>
      <c r="F18" s="21">
        <f>MAX((F5+F16),0)</f>
        <v>23122.448286533854</v>
      </c>
      <c r="G18" s="21"/>
      <c r="H18" s="21"/>
      <c r="I18" s="21"/>
      <c r="J18" s="21">
        <f>MAX((J5+J16),0)</f>
        <v>898.28413678438301</v>
      </c>
      <c r="K18" s="21"/>
      <c r="L18" s="21">
        <f>MAX((L5+L16),0)</f>
        <v>0</v>
      </c>
      <c r="M18" s="21"/>
      <c r="N18" s="21">
        <f>MAX((N5+N16),0)</f>
        <v>5046.6472215370304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0.17034677035979001</v>
      </c>
      <c r="C20" s="25">
        <f ca="1">'EF ele_warmte'!B22</f>
        <v>0.23722871872249465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18089.161745110046</v>
      </c>
      <c r="C22" s="23">
        <f ca="1">C18*C20</f>
        <v>0</v>
      </c>
      <c r="D22" s="23">
        <f>D18*D20</f>
        <v>33752.429024579498</v>
      </c>
      <c r="E22" s="23">
        <f>E18*E20</f>
        <v>1431.7634078340113</v>
      </c>
      <c r="F22" s="23">
        <f>F18*F20</f>
        <v>6173.6936925045393</v>
      </c>
      <c r="G22" s="23"/>
      <c r="H22" s="23"/>
      <c r="I22" s="23"/>
      <c r="J22" s="23">
        <f>J18*J20</f>
        <v>317.99258442167155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7020.4437989999997</v>
      </c>
      <c r="C30" s="39">
        <f>IF(ISERROR(B30*3.6/1000000/'E Balans VL '!Z18*100),0,B30*3.6/1000000/'E Balans VL '!Z18*100)</f>
        <v>0.40527926618316135</v>
      </c>
      <c r="D30" s="237" t="s">
        <v>708</v>
      </c>
    </row>
    <row r="31" spans="1:18">
      <c r="A31" s="6" t="s">
        <v>32</v>
      </c>
      <c r="B31" s="37">
        <f>IF( ISERROR(IND_ander_ele_kWh/1000),0,IND_ander_ele_kWh/1000)</f>
        <v>12667.68167</v>
      </c>
      <c r="C31" s="39">
        <f>IF(ISERROR(B31*3.6/1000000/'E Balans VL '!Z19*100),0,B31*3.6/1000000/'E Balans VL '!Z19*100)</f>
        <v>0.63714332730077705</v>
      </c>
      <c r="D31" s="237" t="s">
        <v>708</v>
      </c>
    </row>
    <row r="32" spans="1:18">
      <c r="A32" s="171" t="s">
        <v>40</v>
      </c>
      <c r="B32" s="37">
        <f>IF( ISERROR(IND_voed_ele_kWh/1000),0,IND_voed_ele_kWh/1000)</f>
        <v>21575.233850000001</v>
      </c>
      <c r="C32" s="39">
        <f>IF(ISERROR(B32*3.6/1000000/'E Balans VL '!Z20*100),0,B32*3.6/1000000/'E Balans VL '!Z20*100)</f>
        <v>0.71858340629610118</v>
      </c>
      <c r="D32" s="237" t="s">
        <v>708</v>
      </c>
    </row>
    <row r="33" spans="1:5">
      <c r="A33" s="171" t="s">
        <v>39</v>
      </c>
      <c r="B33" s="37">
        <f>IF( ISERROR(IND_textiel_ele_kWh/1000),0,IND_textiel_ele_kWh/1000)</f>
        <v>213.84511499999999</v>
      </c>
      <c r="C33" s="39">
        <f>IF(ISERROR(B33*3.6/1000000/'E Balans VL '!Z21*100),0,B33*3.6/1000000/'E Balans VL '!Z21*100)</f>
        <v>3.3341175127558104E-2</v>
      </c>
      <c r="D33" s="237" t="s">
        <v>708</v>
      </c>
    </row>
    <row r="34" spans="1:5">
      <c r="A34" s="171" t="s">
        <v>36</v>
      </c>
      <c r="B34" s="37">
        <f>IF( ISERROR(IND_min_ele_kWh/1000),0,IND_min_ele_kWh/1000)</f>
        <v>2532.2886079999998</v>
      </c>
      <c r="C34" s="39">
        <f>IF(ISERROR(B34*3.6/1000000/'E Balans VL '!Z22*100),0,B34*3.6/1000000/'E Balans VL '!Z22*100)</f>
        <v>0.47235735687927427</v>
      </c>
      <c r="D34" s="237" t="s">
        <v>708</v>
      </c>
    </row>
    <row r="35" spans="1:5">
      <c r="A35" s="171" t="s">
        <v>38</v>
      </c>
      <c r="B35" s="37">
        <f>IF( ISERROR(IND_papier_ele_kWh/1000),0,IND_papier_ele_kWh/1000)</f>
        <v>4013.767934</v>
      </c>
      <c r="C35" s="39">
        <f>IF(ISERROR(B35*3.6/1000000/'E Balans VL '!Z22*100),0,B35*3.6/1000000/'E Balans VL '!Z22*100)</f>
        <v>0.74870329015476345</v>
      </c>
      <c r="D35" s="237" t="s">
        <v>708</v>
      </c>
    </row>
    <row r="36" spans="1:5">
      <c r="A36" s="171" t="s">
        <v>33</v>
      </c>
      <c r="B36" s="37">
        <f>IF( ISERROR(IND_chemie_ele_kWh/1000),0,IND_chemie_ele_kWh/1000)</f>
        <v>3535.1200759999997</v>
      </c>
      <c r="C36" s="39">
        <f>IF(ISERROR(B36*3.6/1000000/'E Balans VL '!Z24*100),0,B36*3.6/1000000/'E Balans VL '!Z24*100)</f>
        <v>9.3243147430966122E-2</v>
      </c>
      <c r="D36" s="237" t="s">
        <v>708</v>
      </c>
    </row>
    <row r="37" spans="1:5">
      <c r="A37" s="171" t="s">
        <v>269</v>
      </c>
      <c r="B37" s="37">
        <f>IF( ISERROR(IND_rest_ele_kWh/1000),0,IND_rest_ele_kWh/1000)</f>
        <v>54631.843200000003</v>
      </c>
      <c r="C37" s="39">
        <f>IF(ISERROR(B37*3.6/1000000/'E Balans VL '!Z15*100),0,B37*3.6/1000000/'E Balans VL '!Z15*100)</f>
        <v>0.42627777490255186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4330.9916210000001</v>
      </c>
      <c r="C5" s="17">
        <f>'Eigen informatie GS &amp; warmtenet'!B62</f>
        <v>0</v>
      </c>
      <c r="D5" s="30">
        <f>IF(ISERROR(SUM(LB_lb_gas_kWh,LB_rest_gas_kWh)/1000),0,SUM(LB_lb_gas_kWh,LB_rest_gas_kWh)/1000)*0.902</f>
        <v>5877.7056767220001</v>
      </c>
      <c r="E5" s="17">
        <f>B17*'E Balans VL '!I25/3.6*1000000/100</f>
        <v>135.16882030656555</v>
      </c>
      <c r="F5" s="17">
        <f>B17*('E Balans VL '!L25/3.6*1000000+'E Balans VL '!N25/3.6*1000000)/100</f>
        <v>15306.204162923385</v>
      </c>
      <c r="G5" s="18"/>
      <c r="H5" s="17"/>
      <c r="I5" s="17"/>
      <c r="J5" s="17">
        <f>('E Balans VL '!D25+'E Balans VL '!E25)/3.6*1000000*landbouw!B17/100</f>
        <v>1193.2182267491655</v>
      </c>
      <c r="K5" s="17"/>
      <c r="L5" s="17">
        <f>L6*(-1)</f>
        <v>0</v>
      </c>
      <c r="M5" s="17"/>
      <c r="N5" s="17">
        <f>N6*(-1)</f>
        <v>0</v>
      </c>
      <c r="O5" s="17"/>
      <c r="P5" s="17"/>
      <c r="R5" s="32"/>
    </row>
    <row r="6" spans="1:18">
      <c r="A6" s="16" t="s">
        <v>478</v>
      </c>
      <c r="B6" s="17" t="s">
        <v>210</v>
      </c>
      <c r="C6" s="17">
        <f>'lokale energieproductie'!O41+'lokale energieproductie'!O34</f>
        <v>57.857142857142861</v>
      </c>
      <c r="D6" s="308">
        <f>('lokale energieproductie'!P34+'lokale energieproductie'!P41)*(-1)</f>
        <v>-100.71428571428572</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4330.9916210000001</v>
      </c>
      <c r="C8" s="21">
        <f>C5+C6</f>
        <v>57.857142857142861</v>
      </c>
      <c r="D8" s="21">
        <f>MAX((D5+D6),0)</f>
        <v>5776.9913910077148</v>
      </c>
      <c r="E8" s="21">
        <f>MAX((E5+E6),0)</f>
        <v>135.16882030656555</v>
      </c>
      <c r="F8" s="21">
        <f>MAX((F5+F6),0)</f>
        <v>15306.204162923385</v>
      </c>
      <c r="G8" s="21"/>
      <c r="H8" s="21"/>
      <c r="I8" s="21"/>
      <c r="J8" s="21">
        <f>MAX((J5+J6),0)</f>
        <v>1193.2182267491655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0.17034677035979001</v>
      </c>
      <c r="C10" s="31">
        <f ca="1">'EF ele_warmte'!B22</f>
        <v>0.23722871872249465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737.77043509266173</v>
      </c>
      <c r="C12" s="23">
        <f ca="1">C8*C10</f>
        <v>13.725375868944335</v>
      </c>
      <c r="D12" s="23">
        <f>D8*D10</f>
        <v>1166.9522609835585</v>
      </c>
      <c r="E12" s="23">
        <f>E8*E10</f>
        <v>30.683322209590379</v>
      </c>
      <c r="F12" s="23">
        <f>F8*F10</f>
        <v>4086.7565115005441</v>
      </c>
      <c r="G12" s="23"/>
      <c r="H12" s="23"/>
      <c r="I12" s="23"/>
      <c r="J12" s="23">
        <f>J8*J10</f>
        <v>422.39925226920457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0.64383295195047507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560.97497520105048</v>
      </c>
      <c r="C26" s="247">
        <f>B26*'GWP N2O_CH4'!B5</f>
        <v>11780.474479222061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159.78185235349355</v>
      </c>
      <c r="C27" s="247">
        <f>B27*'GWP N2O_CH4'!B5</f>
        <v>3355.4188994233646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8.2366637224568837</v>
      </c>
      <c r="C28" s="247">
        <f>B28*'GWP N2O_CH4'!B4</f>
        <v>2553.3657539616338</v>
      </c>
      <c r="D28" s="50"/>
    </row>
    <row r="29" spans="1:4">
      <c r="A29" s="41" t="s">
        <v>276</v>
      </c>
      <c r="B29" s="247">
        <f>B34*'ha_N2O bodem landbouw'!B4</f>
        <v>29.793656503465922</v>
      </c>
      <c r="C29" s="247">
        <f>B29*'GWP N2O_CH4'!B4</f>
        <v>9236.0335160744362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6.5332124484860981E-3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1.3642545730092829E-3</v>
      </c>
      <c r="C5" s="437" t="s">
        <v>210</v>
      </c>
      <c r="D5" s="422">
        <f>SUM(D6:D11)</f>
        <v>4.9591023629340196E-3</v>
      </c>
      <c r="E5" s="422">
        <f>SUM(E6:E11)</f>
        <v>4.2919624907953643E-3</v>
      </c>
      <c r="F5" s="435" t="s">
        <v>210</v>
      </c>
      <c r="G5" s="422">
        <f>SUM(G6:G11)</f>
        <v>2.0753970875786361</v>
      </c>
      <c r="H5" s="422">
        <f>SUM(H6:H11)</f>
        <v>0.46454467454014481</v>
      </c>
      <c r="I5" s="437" t="s">
        <v>210</v>
      </c>
      <c r="J5" s="437" t="s">
        <v>210</v>
      </c>
      <c r="K5" s="437" t="s">
        <v>210</v>
      </c>
      <c r="L5" s="437" t="s">
        <v>210</v>
      </c>
      <c r="M5" s="422">
        <f>SUM(M6:M11)</f>
        <v>0.15038723295742923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9.511712795644739E-4</v>
      </c>
      <c r="C6" s="423"/>
      <c r="D6" s="890">
        <f>vkm_GW_PW*SUMIFS(TableVerdeelsleutelVkm[CNG],TableVerdeelsleutelVkm[Voertuigtype],"Lichte voertuigen")*SUMIFS(TableECFTransport[EnergieConsumptieFactor (PJ per km)],TableECFTransport[Index],CONCATENATE($A6,"_CNG_CNG"))</f>
        <v>3.0641054471052466E-3</v>
      </c>
      <c r="E6" s="890">
        <f>vkm_GW_PW*SUMIFS(TableVerdeelsleutelVkm[LPG],TableVerdeelsleutelVkm[Voertuigtype],"Lichte voertuigen")*SUMIFS(TableECFTransport[EnergieConsumptieFactor (PJ per km)],TableECFTransport[Index],CONCATENATE($A6,"_LPG_LPG"))</f>
        <v>2.6203513009458563E-3</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0.84650301865490751</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0.28704398201262721</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6.7799353781256955E-2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0.52529872318627513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7.5113000826522252E-6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3.0279482438014982E-2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2.5175289376422138E-4</v>
      </c>
      <c r="C8" s="423"/>
      <c r="D8" s="425">
        <f>vkm_NGW_PW*SUMIFS(TableVerdeelsleutelVkm[CNG],TableVerdeelsleutelVkm[Voertuigtype],"Lichte voertuigen")*SUMIFS(TableECFTransport[EnergieConsumptieFactor (PJ per km)],TableECFTransport[Index],CONCATENATE($A8,"_CNG_CNG"))</f>
        <v>1.3740586978180337E-3</v>
      </c>
      <c r="E8" s="425">
        <f>vkm_NGW_PW*SUMIFS(TableVerdeelsleutelVkm[LPG],TableVerdeelsleutelVkm[Voertuigtype],"Lichte voertuigen")*SUMIFS(TableECFTransport[EnergieConsumptieFactor (PJ per km)],TableECFTransport[Index],CONCATENATE($A8,"_LPG_LPG"))</f>
        <v>1.1165035895989862E-3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0.33703906364261993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0.12656982606631006</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2.7807833189300121E-2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7.2756947733346594E-2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1.3190730560161346E-6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4.1939039975399193E-3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1.6133039968058759E-4</v>
      </c>
      <c r="C10" s="423"/>
      <c r="D10" s="425">
        <f>vkm_SW_PW*SUMIFS(TableVerdeelsleutelVkm[CNG],TableVerdeelsleutelVkm[Voertuigtype],"Lichte voertuigen")*SUMIFS(TableECFTransport[EnergieConsumptieFactor (PJ per km)],TableECFTransport[Index],CONCATENATE($A10,"_CNG_CNG"))</f>
        <v>5.2093821801073878E-4</v>
      </c>
      <c r="E10" s="425">
        <f>vkm_SW_PW*SUMIFS(TableVerdeelsleutelVkm[LPG],TableVerdeelsleutelVkm[Voertuigtype],"Lichte voertuigen")*SUMIFS(TableECFTransport[EnergieConsumptieFactor (PJ per km)],TableECFTransport[Index],CONCATENATE($A10,"_LPG_LPG"))</f>
        <v>5.551076002505217E-4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0.1597793760968608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5.0919988447700994E-2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1.2581417970904094E-2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0.13401995826462587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2.047640367884693E-6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7.7252415804131419E-3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378.95960361368969</v>
      </c>
      <c r="C14" s="21"/>
      <c r="D14" s="21">
        <f t="shared" ref="D14:M14" si="0">((D5)*10^9/3600)+D12</f>
        <v>1377.5284341483386</v>
      </c>
      <c r="E14" s="21">
        <f t="shared" si="0"/>
        <v>1192.2118029987123</v>
      </c>
      <c r="F14" s="21"/>
      <c r="G14" s="21">
        <f t="shared" si="0"/>
        <v>576499.1909940656</v>
      </c>
      <c r="H14" s="21">
        <f t="shared" si="0"/>
        <v>129040.18737226244</v>
      </c>
      <c r="I14" s="21"/>
      <c r="J14" s="21"/>
      <c r="K14" s="21"/>
      <c r="L14" s="21"/>
      <c r="M14" s="21">
        <f t="shared" si="0"/>
        <v>41774.231377063676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0.17034677035979001</v>
      </c>
      <c r="C16" s="56">
        <f ca="1">'EF ele_warmte'!B22</f>
        <v>0.23722871872249465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64.554544572418251</v>
      </c>
      <c r="C18" s="23"/>
      <c r="D18" s="23">
        <f t="shared" ref="D18:M18" si="1">D14*D16</f>
        <v>278.26074369796441</v>
      </c>
      <c r="E18" s="23">
        <f t="shared" si="1"/>
        <v>270.63207928070773</v>
      </c>
      <c r="F18" s="23"/>
      <c r="G18" s="23">
        <f t="shared" si="1"/>
        <v>153925.28399541552</v>
      </c>
      <c r="H18" s="23">
        <f t="shared" si="1"/>
        <v>32131.006655693349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2.9630515499999999E-3</v>
      </c>
      <c r="C50" s="319">
        <f t="shared" ref="C50:P50" si="2">SUM(C51:C52)</f>
        <v>0</v>
      </c>
      <c r="D50" s="319">
        <f t="shared" si="2"/>
        <v>0</v>
      </c>
      <c r="E50" s="319">
        <f t="shared" si="2"/>
        <v>0</v>
      </c>
      <c r="F50" s="319">
        <f t="shared" si="2"/>
        <v>0</v>
      </c>
      <c r="G50" s="319">
        <f t="shared" si="2"/>
        <v>7.6910767342609584E-2</v>
      </c>
      <c r="H50" s="319">
        <f t="shared" si="2"/>
        <v>0</v>
      </c>
      <c r="I50" s="319">
        <f t="shared" si="2"/>
        <v>0</v>
      </c>
      <c r="J50" s="319">
        <f t="shared" si="2"/>
        <v>0</v>
      </c>
      <c r="K50" s="319">
        <f t="shared" si="2"/>
        <v>0</v>
      </c>
      <c r="L50" s="319">
        <f t="shared" si="2"/>
        <v>0</v>
      </c>
      <c r="M50" s="319">
        <f t="shared" si="2"/>
        <v>4.2740364202068937E-3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7.6910767342609584E-2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4.2740364202068937E-3</v>
      </c>
      <c r="N51" s="321"/>
      <c r="O51" s="321"/>
      <c r="P51" s="324"/>
    </row>
    <row r="52" spans="1:18">
      <c r="A52" s="4" t="s">
        <v>329</v>
      </c>
      <c r="B52" s="891">
        <f>vkm_tram*SUMIFS(TableECFTransport[EnergieConsumptieFactor (PJ per km)],TableECFTransport[Index],"Tram_gemiddeld_Electric_Electric")</f>
        <v>2.9630515499999999E-3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823.06987499999991</v>
      </c>
      <c r="C54" s="21">
        <f t="shared" ref="C54:P54" si="3">(C50)*10^9/3600</f>
        <v>0</v>
      </c>
      <c r="D54" s="21">
        <f t="shared" si="3"/>
        <v>0</v>
      </c>
      <c r="E54" s="21">
        <f t="shared" si="3"/>
        <v>0</v>
      </c>
      <c r="F54" s="21">
        <f t="shared" si="3"/>
        <v>0</v>
      </c>
      <c r="G54" s="21">
        <f t="shared" si="3"/>
        <v>21364.102039613772</v>
      </c>
      <c r="H54" s="21">
        <f t="shared" si="3"/>
        <v>0</v>
      </c>
      <c r="I54" s="21">
        <f t="shared" si="3"/>
        <v>0</v>
      </c>
      <c r="J54" s="21">
        <f t="shared" si="3"/>
        <v>0</v>
      </c>
      <c r="K54" s="21">
        <f t="shared" si="3"/>
        <v>0</v>
      </c>
      <c r="L54" s="21">
        <f t="shared" si="3"/>
        <v>0</v>
      </c>
      <c r="M54" s="21">
        <f t="shared" si="3"/>
        <v>1187.2323389463595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0.17034677035979001</v>
      </c>
      <c r="C56" s="56">
        <f ca="1">'EF ele_warmte'!B22</f>
        <v>0.23722871872249465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140.20729498668607</v>
      </c>
      <c r="C58" s="23">
        <f t="shared" ref="C58:P58" ca="1" si="4">C54*C56</f>
        <v>0</v>
      </c>
      <c r="D58" s="23">
        <f t="shared" si="4"/>
        <v>0</v>
      </c>
      <c r="E58" s="23">
        <f t="shared" si="4"/>
        <v>0</v>
      </c>
      <c r="F58" s="23">
        <f t="shared" si="4"/>
        <v>0</v>
      </c>
      <c r="G58" s="23">
        <f t="shared" si="4"/>
        <v>5704.215244576877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321100.10664999997</v>
      </c>
      <c r="D10" s="686">
        <f ca="1">tertiair!C16</f>
        <v>450.00000000000011</v>
      </c>
      <c r="E10" s="686">
        <f ca="1">tertiair!D16</f>
        <v>379041.03169396002</v>
      </c>
      <c r="F10" s="686">
        <f>tertiair!E16</f>
        <v>4013.6051202053636</v>
      </c>
      <c r="G10" s="686">
        <f ca="1">tertiair!F16</f>
        <v>35845.775230444444</v>
      </c>
      <c r="H10" s="686">
        <f>tertiair!G16</f>
        <v>0</v>
      </c>
      <c r="I10" s="686">
        <f>tertiair!H16</f>
        <v>0</v>
      </c>
      <c r="J10" s="686">
        <f>tertiair!I16</f>
        <v>0</v>
      </c>
      <c r="K10" s="686">
        <f>tertiair!J16</f>
        <v>0.61124295533516726</v>
      </c>
      <c r="L10" s="686">
        <f>tertiair!K16</f>
        <v>0</v>
      </c>
      <c r="M10" s="686">
        <f ca="1">tertiair!L16</f>
        <v>0</v>
      </c>
      <c r="N10" s="686">
        <f>tertiair!M16</f>
        <v>0</v>
      </c>
      <c r="O10" s="686">
        <f ca="1">tertiair!N16</f>
        <v>24205.256209472987</v>
      </c>
      <c r="P10" s="686">
        <f>tertiair!O16</f>
        <v>78.356172253458467</v>
      </c>
      <c r="Q10" s="687">
        <f>tertiair!P16</f>
        <v>1366.0175959688704</v>
      </c>
      <c r="R10" s="689">
        <f ca="1">SUM(C10:Q10)</f>
        <v>766100.7599152606</v>
      </c>
      <c r="S10" s="67"/>
    </row>
    <row r="11" spans="1:19" s="448" customFormat="1">
      <c r="A11" s="808" t="s">
        <v>224</v>
      </c>
      <c r="B11" s="813"/>
      <c r="C11" s="686">
        <f>huishoudens!B8</f>
        <v>185845.60019636891</v>
      </c>
      <c r="D11" s="686">
        <f>huishoudens!C8</f>
        <v>0</v>
      </c>
      <c r="E11" s="686">
        <f>huishoudens!D8</f>
        <v>576720.47469740012</v>
      </c>
      <c r="F11" s="686">
        <f>huishoudens!E8</f>
        <v>20422.44393186743</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47493.812867290886</v>
      </c>
      <c r="P11" s="686">
        <f>huishoudens!O8</f>
        <v>1801.434063203425</v>
      </c>
      <c r="Q11" s="687">
        <f>huishoudens!P8</f>
        <v>1190.3374017684077</v>
      </c>
      <c r="R11" s="689">
        <f>SUM(C11:Q11)</f>
        <v>833474.10315789923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106190.224252</v>
      </c>
      <c r="D13" s="686">
        <f>industrie!C18</f>
        <v>0</v>
      </c>
      <c r="E13" s="686">
        <f>industrie!D18</f>
        <v>167091.23279494801</v>
      </c>
      <c r="F13" s="686">
        <f>industrie!E18</f>
        <v>6307.3277878150275</v>
      </c>
      <c r="G13" s="686">
        <f>industrie!F18</f>
        <v>23122.448286533854</v>
      </c>
      <c r="H13" s="686">
        <f>industrie!G18</f>
        <v>0</v>
      </c>
      <c r="I13" s="686">
        <f>industrie!H18</f>
        <v>0</v>
      </c>
      <c r="J13" s="686">
        <f>industrie!I18</f>
        <v>0</v>
      </c>
      <c r="K13" s="686">
        <f>industrie!J18</f>
        <v>898.28413678438301</v>
      </c>
      <c r="L13" s="686">
        <f>industrie!K18</f>
        <v>0</v>
      </c>
      <c r="M13" s="686">
        <f>industrie!L18</f>
        <v>0</v>
      </c>
      <c r="N13" s="686">
        <f>industrie!M18</f>
        <v>0</v>
      </c>
      <c r="O13" s="686">
        <f>industrie!N18</f>
        <v>5046.6472215370304</v>
      </c>
      <c r="P13" s="686">
        <f>industrie!O18</f>
        <v>0</v>
      </c>
      <c r="Q13" s="687">
        <f>industrie!P18</f>
        <v>0</v>
      </c>
      <c r="R13" s="689">
        <f>SUM(C13:Q13)</f>
        <v>308656.16447961831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613135.93109836883</v>
      </c>
      <c r="D16" s="722">
        <f t="shared" ref="D16:R16" ca="1" si="0">SUM(D9:D15)</f>
        <v>450.00000000000011</v>
      </c>
      <c r="E16" s="722">
        <f t="shared" ca="1" si="0"/>
        <v>1122852.7391863081</v>
      </c>
      <c r="F16" s="722">
        <f t="shared" si="0"/>
        <v>30743.376839887824</v>
      </c>
      <c r="G16" s="722">
        <f t="shared" ca="1" si="0"/>
        <v>58968.223516978294</v>
      </c>
      <c r="H16" s="722">
        <f t="shared" si="0"/>
        <v>0</v>
      </c>
      <c r="I16" s="722">
        <f t="shared" si="0"/>
        <v>0</v>
      </c>
      <c r="J16" s="722">
        <f t="shared" si="0"/>
        <v>0</v>
      </c>
      <c r="K16" s="722">
        <f t="shared" si="0"/>
        <v>898.89537973971812</v>
      </c>
      <c r="L16" s="722">
        <f t="shared" si="0"/>
        <v>0</v>
      </c>
      <c r="M16" s="722">
        <f t="shared" ca="1" si="0"/>
        <v>0</v>
      </c>
      <c r="N16" s="722">
        <f t="shared" si="0"/>
        <v>0</v>
      </c>
      <c r="O16" s="722">
        <f t="shared" ca="1" si="0"/>
        <v>76745.716298300904</v>
      </c>
      <c r="P16" s="722">
        <f t="shared" si="0"/>
        <v>1879.7902354568835</v>
      </c>
      <c r="Q16" s="722">
        <f t="shared" si="0"/>
        <v>2556.3549977372782</v>
      </c>
      <c r="R16" s="722">
        <f t="shared" ca="1" si="0"/>
        <v>1908231.0275527784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823.06987499999991</v>
      </c>
      <c r="D19" s="686">
        <f>transport!C54</f>
        <v>0</v>
      </c>
      <c r="E19" s="686">
        <f>transport!D54</f>
        <v>0</v>
      </c>
      <c r="F19" s="686">
        <f>transport!E54</f>
        <v>0</v>
      </c>
      <c r="G19" s="686">
        <f>transport!F54</f>
        <v>0</v>
      </c>
      <c r="H19" s="686">
        <f>transport!G54</f>
        <v>21364.102039613772</v>
      </c>
      <c r="I19" s="686">
        <f>transport!H54</f>
        <v>0</v>
      </c>
      <c r="J19" s="686">
        <f>transport!I54</f>
        <v>0</v>
      </c>
      <c r="K19" s="686">
        <f>transport!J54</f>
        <v>0</v>
      </c>
      <c r="L19" s="686">
        <f>transport!K54</f>
        <v>0</v>
      </c>
      <c r="M19" s="686">
        <f>transport!L54</f>
        <v>0</v>
      </c>
      <c r="N19" s="686">
        <f>transport!M54</f>
        <v>1187.2323389463595</v>
      </c>
      <c r="O19" s="686">
        <f>transport!N54</f>
        <v>0</v>
      </c>
      <c r="P19" s="686">
        <f>transport!O54</f>
        <v>0</v>
      </c>
      <c r="Q19" s="687">
        <f>transport!P54</f>
        <v>0</v>
      </c>
      <c r="R19" s="689">
        <f>SUM(C19:Q19)</f>
        <v>23374.404253560133</v>
      </c>
      <c r="S19" s="67"/>
    </row>
    <row r="20" spans="1:19" s="448" customFormat="1">
      <c r="A20" s="808" t="s">
        <v>306</v>
      </c>
      <c r="B20" s="813"/>
      <c r="C20" s="686">
        <f>transport!B14</f>
        <v>378.95960361368969</v>
      </c>
      <c r="D20" s="686">
        <f>transport!C14</f>
        <v>0</v>
      </c>
      <c r="E20" s="686">
        <f>transport!D14</f>
        <v>1377.5284341483386</v>
      </c>
      <c r="F20" s="686">
        <f>transport!E14</f>
        <v>1192.2118029987123</v>
      </c>
      <c r="G20" s="686">
        <f>transport!F14</f>
        <v>0</v>
      </c>
      <c r="H20" s="686">
        <f>transport!G14</f>
        <v>576499.1909940656</v>
      </c>
      <c r="I20" s="686">
        <f>transport!H14</f>
        <v>129040.18737226244</v>
      </c>
      <c r="J20" s="686">
        <f>transport!I14</f>
        <v>0</v>
      </c>
      <c r="K20" s="686">
        <f>transport!J14</f>
        <v>0</v>
      </c>
      <c r="L20" s="686">
        <f>transport!K14</f>
        <v>0</v>
      </c>
      <c r="M20" s="686">
        <f>transport!L14</f>
        <v>0</v>
      </c>
      <c r="N20" s="686">
        <f>transport!M14</f>
        <v>41774.231377063676</v>
      </c>
      <c r="O20" s="686">
        <f>transport!N14</f>
        <v>0</v>
      </c>
      <c r="P20" s="686">
        <f>transport!O14</f>
        <v>0</v>
      </c>
      <c r="Q20" s="687">
        <f>transport!P14</f>
        <v>0</v>
      </c>
      <c r="R20" s="689">
        <f>SUM(C20:Q20)</f>
        <v>750262.30958415254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1202.0294786136897</v>
      </c>
      <c r="D22" s="811">
        <f t="shared" ref="D22:R22" si="1">SUM(D18:D21)</f>
        <v>0</v>
      </c>
      <c r="E22" s="811">
        <f t="shared" si="1"/>
        <v>1377.5284341483386</v>
      </c>
      <c r="F22" s="811">
        <f t="shared" si="1"/>
        <v>1192.2118029987123</v>
      </c>
      <c r="G22" s="811">
        <f t="shared" si="1"/>
        <v>0</v>
      </c>
      <c r="H22" s="811">
        <f t="shared" si="1"/>
        <v>597863.29303367937</v>
      </c>
      <c r="I22" s="811">
        <f t="shared" si="1"/>
        <v>129040.18737226244</v>
      </c>
      <c r="J22" s="811">
        <f t="shared" si="1"/>
        <v>0</v>
      </c>
      <c r="K22" s="811">
        <f t="shared" si="1"/>
        <v>0</v>
      </c>
      <c r="L22" s="811">
        <f t="shared" si="1"/>
        <v>0</v>
      </c>
      <c r="M22" s="811">
        <f t="shared" si="1"/>
        <v>0</v>
      </c>
      <c r="N22" s="811">
        <f t="shared" si="1"/>
        <v>42961.463716010032</v>
      </c>
      <c r="O22" s="811">
        <f t="shared" si="1"/>
        <v>0</v>
      </c>
      <c r="P22" s="811">
        <f t="shared" si="1"/>
        <v>0</v>
      </c>
      <c r="Q22" s="811">
        <f t="shared" si="1"/>
        <v>0</v>
      </c>
      <c r="R22" s="811">
        <f t="shared" si="1"/>
        <v>773636.71383771265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4330.9916210000001</v>
      </c>
      <c r="D24" s="686">
        <f>+landbouw!C8</f>
        <v>57.857142857142861</v>
      </c>
      <c r="E24" s="686">
        <f>+landbouw!D8</f>
        <v>5776.9913910077148</v>
      </c>
      <c r="F24" s="686">
        <f>+landbouw!E8</f>
        <v>135.16882030656555</v>
      </c>
      <c r="G24" s="686">
        <f>+landbouw!F8</f>
        <v>15306.204162923385</v>
      </c>
      <c r="H24" s="686">
        <f>+landbouw!G8</f>
        <v>0</v>
      </c>
      <c r="I24" s="686">
        <f>+landbouw!H8</f>
        <v>0</v>
      </c>
      <c r="J24" s="686">
        <f>+landbouw!I8</f>
        <v>0</v>
      </c>
      <c r="K24" s="686">
        <f>+landbouw!J8</f>
        <v>1193.2182267491655</v>
      </c>
      <c r="L24" s="686">
        <f>+landbouw!K8</f>
        <v>0</v>
      </c>
      <c r="M24" s="686">
        <f>+landbouw!L8</f>
        <v>0</v>
      </c>
      <c r="N24" s="686">
        <f>+landbouw!M8</f>
        <v>0</v>
      </c>
      <c r="O24" s="686">
        <f>+landbouw!N8</f>
        <v>0</v>
      </c>
      <c r="P24" s="686">
        <f>+landbouw!O8</f>
        <v>0</v>
      </c>
      <c r="Q24" s="687">
        <f>+landbouw!P8</f>
        <v>0</v>
      </c>
      <c r="R24" s="689">
        <f>SUM(C24:Q24)</f>
        <v>26800.431364843975</v>
      </c>
      <c r="S24" s="67"/>
    </row>
    <row r="25" spans="1:19" s="448" customFormat="1" ht="15" thickBot="1">
      <c r="A25" s="830" t="s">
        <v>724</v>
      </c>
      <c r="B25" s="949"/>
      <c r="C25" s="950">
        <f>IF(Onbekend_ele_kWh="---",0,Onbekend_ele_kWh)/1000+IF(REST_rest_ele_kWh="---",0,REST_rest_ele_kWh)/1000</f>
        <v>10752.08719</v>
      </c>
      <c r="D25" s="950"/>
      <c r="E25" s="950">
        <f>IF(onbekend_gas_kWh="---",0,onbekend_gas_kWh)/1000+IF(REST_rest_gas_kWh="---",0,REST_rest_gas_kWh)/1000</f>
        <v>35304.500329999995</v>
      </c>
      <c r="F25" s="950"/>
      <c r="G25" s="950"/>
      <c r="H25" s="950"/>
      <c r="I25" s="950"/>
      <c r="J25" s="950"/>
      <c r="K25" s="950"/>
      <c r="L25" s="950"/>
      <c r="M25" s="950"/>
      <c r="N25" s="950"/>
      <c r="O25" s="950"/>
      <c r="P25" s="950"/>
      <c r="Q25" s="951"/>
      <c r="R25" s="689">
        <f>SUM(C25:Q25)</f>
        <v>46056.587519999994</v>
      </c>
      <c r="S25" s="67"/>
    </row>
    <row r="26" spans="1:19" s="448" customFormat="1" ht="15.75" thickBot="1">
      <c r="A26" s="694" t="s">
        <v>725</v>
      </c>
      <c r="B26" s="816"/>
      <c r="C26" s="811">
        <f>SUM(C24:C25)</f>
        <v>15083.078810999999</v>
      </c>
      <c r="D26" s="811">
        <f t="shared" ref="D26:R26" si="2">SUM(D24:D25)</f>
        <v>57.857142857142861</v>
      </c>
      <c r="E26" s="811">
        <f t="shared" si="2"/>
        <v>41081.491721007711</v>
      </c>
      <c r="F26" s="811">
        <f t="shared" si="2"/>
        <v>135.16882030656555</v>
      </c>
      <c r="G26" s="811">
        <f t="shared" si="2"/>
        <v>15306.204162923385</v>
      </c>
      <c r="H26" s="811">
        <f t="shared" si="2"/>
        <v>0</v>
      </c>
      <c r="I26" s="811">
        <f t="shared" si="2"/>
        <v>0</v>
      </c>
      <c r="J26" s="811">
        <f t="shared" si="2"/>
        <v>0</v>
      </c>
      <c r="K26" s="811">
        <f t="shared" si="2"/>
        <v>1193.2182267491655</v>
      </c>
      <c r="L26" s="811">
        <f t="shared" si="2"/>
        <v>0</v>
      </c>
      <c r="M26" s="811">
        <f t="shared" si="2"/>
        <v>0</v>
      </c>
      <c r="N26" s="811">
        <f t="shared" si="2"/>
        <v>0</v>
      </c>
      <c r="O26" s="811">
        <f t="shared" si="2"/>
        <v>0</v>
      </c>
      <c r="P26" s="811">
        <f t="shared" si="2"/>
        <v>0</v>
      </c>
      <c r="Q26" s="811">
        <f t="shared" si="2"/>
        <v>0</v>
      </c>
      <c r="R26" s="811">
        <f t="shared" si="2"/>
        <v>72857.018884843972</v>
      </c>
      <c r="S26" s="67"/>
    </row>
    <row r="27" spans="1:19" s="448" customFormat="1" ht="17.25" thickTop="1" thickBot="1">
      <c r="A27" s="695" t="s">
        <v>115</v>
      </c>
      <c r="B27" s="803"/>
      <c r="C27" s="696">
        <f ca="1">C22+C16+C26</f>
        <v>629421.03938798246</v>
      </c>
      <c r="D27" s="696">
        <f t="shared" ref="D27:R27" ca="1" si="3">D22+D16+D26</f>
        <v>507.857142857143</v>
      </c>
      <c r="E27" s="696">
        <f t="shared" ca="1" si="3"/>
        <v>1165311.7593414641</v>
      </c>
      <c r="F27" s="696">
        <f t="shared" si="3"/>
        <v>32070.757463193098</v>
      </c>
      <c r="G27" s="696">
        <f t="shared" ca="1" si="3"/>
        <v>74274.427679901681</v>
      </c>
      <c r="H27" s="696">
        <f t="shared" si="3"/>
        <v>597863.29303367937</v>
      </c>
      <c r="I27" s="696">
        <f t="shared" si="3"/>
        <v>129040.18737226244</v>
      </c>
      <c r="J27" s="696">
        <f t="shared" si="3"/>
        <v>0</v>
      </c>
      <c r="K27" s="696">
        <f t="shared" si="3"/>
        <v>2092.1136064888838</v>
      </c>
      <c r="L27" s="696">
        <f t="shared" si="3"/>
        <v>0</v>
      </c>
      <c r="M27" s="696">
        <f t="shared" ca="1" si="3"/>
        <v>0</v>
      </c>
      <c r="N27" s="696">
        <f t="shared" si="3"/>
        <v>42961.463716010032</v>
      </c>
      <c r="O27" s="696">
        <f t="shared" ca="1" si="3"/>
        <v>76745.716298300904</v>
      </c>
      <c r="P27" s="696">
        <f t="shared" si="3"/>
        <v>1879.7902354568835</v>
      </c>
      <c r="Q27" s="696">
        <f t="shared" si="3"/>
        <v>2556.3549977372782</v>
      </c>
      <c r="R27" s="696">
        <f t="shared" ca="1" si="3"/>
        <v>2754724.7602753351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54698.366130011622</v>
      </c>
      <c r="D40" s="686">
        <f ca="1">tertiair!C20</f>
        <v>106.75292342512262</v>
      </c>
      <c r="E40" s="686">
        <f ca="1">tertiair!D20</f>
        <v>76566.288402179925</v>
      </c>
      <c r="F40" s="686">
        <f>tertiair!E20</f>
        <v>911.08836228661755</v>
      </c>
      <c r="G40" s="686">
        <f ca="1">tertiair!F20</f>
        <v>9570.8219865286665</v>
      </c>
      <c r="H40" s="686">
        <f>tertiair!G20</f>
        <v>0</v>
      </c>
      <c r="I40" s="686">
        <f>tertiair!H20</f>
        <v>0</v>
      </c>
      <c r="J40" s="686">
        <f>tertiair!I20</f>
        <v>0</v>
      </c>
      <c r="K40" s="686">
        <f>tertiair!J20</f>
        <v>0.21638000618864919</v>
      </c>
      <c r="L40" s="686">
        <f>tertiair!K20</f>
        <v>0</v>
      </c>
      <c r="M40" s="686">
        <f ca="1">tertiair!L20</f>
        <v>0</v>
      </c>
      <c r="N40" s="686">
        <f>tertiair!M20</f>
        <v>0</v>
      </c>
      <c r="O40" s="686">
        <f ca="1">tertiair!N20</f>
        <v>0</v>
      </c>
      <c r="P40" s="686">
        <f>tertiair!O20</f>
        <v>0</v>
      </c>
      <c r="Q40" s="769">
        <f>tertiair!P20</f>
        <v>0</v>
      </c>
      <c r="R40" s="849">
        <f t="shared" ca="1" si="4"/>
        <v>141853.53418443815</v>
      </c>
    </row>
    <row r="41" spans="1:18">
      <c r="A41" s="821" t="s">
        <v>224</v>
      </c>
      <c r="B41" s="828"/>
      <c r="C41" s="686">
        <f ca="1">huishoudens!B12</f>
        <v>31658.1977790282</v>
      </c>
      <c r="D41" s="686">
        <f ca="1">huishoudens!C12</f>
        <v>0</v>
      </c>
      <c r="E41" s="686">
        <f>huishoudens!D12</f>
        <v>116497.53588887483</v>
      </c>
      <c r="F41" s="686">
        <f>huishoudens!E12</f>
        <v>4635.8947725339067</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152791.62844043694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18089.161745110046</v>
      </c>
      <c r="D43" s="686">
        <f ca="1">industrie!C22</f>
        <v>0</v>
      </c>
      <c r="E43" s="686">
        <f>industrie!D22</f>
        <v>33752.429024579498</v>
      </c>
      <c r="F43" s="686">
        <f>industrie!E22</f>
        <v>1431.7634078340113</v>
      </c>
      <c r="G43" s="686">
        <f>industrie!F22</f>
        <v>6173.6936925045393</v>
      </c>
      <c r="H43" s="686">
        <f>industrie!G22</f>
        <v>0</v>
      </c>
      <c r="I43" s="686">
        <f>industrie!H22</f>
        <v>0</v>
      </c>
      <c r="J43" s="686">
        <f>industrie!I22</f>
        <v>0</v>
      </c>
      <c r="K43" s="686">
        <f>industrie!J22</f>
        <v>317.99258442167155</v>
      </c>
      <c r="L43" s="686">
        <f>industrie!K22</f>
        <v>0</v>
      </c>
      <c r="M43" s="686">
        <f>industrie!L22</f>
        <v>0</v>
      </c>
      <c r="N43" s="686">
        <f>industrie!M22</f>
        <v>0</v>
      </c>
      <c r="O43" s="686">
        <f>industrie!N22</f>
        <v>0</v>
      </c>
      <c r="P43" s="686">
        <f>industrie!O22</f>
        <v>0</v>
      </c>
      <c r="Q43" s="769">
        <f>industrie!P22</f>
        <v>0</v>
      </c>
      <c r="R43" s="848">
        <f t="shared" ca="1" si="4"/>
        <v>59765.040454449765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104445.72565414986</v>
      </c>
      <c r="D46" s="722">
        <f t="shared" ref="D46:Q46" ca="1" si="5">SUM(D39:D45)</f>
        <v>106.75292342512262</v>
      </c>
      <c r="E46" s="722">
        <f t="shared" ca="1" si="5"/>
        <v>226816.25331563424</v>
      </c>
      <c r="F46" s="722">
        <f t="shared" si="5"/>
        <v>6978.7465426545359</v>
      </c>
      <c r="G46" s="722">
        <f t="shared" ca="1" si="5"/>
        <v>15744.515679033206</v>
      </c>
      <c r="H46" s="722">
        <f t="shared" si="5"/>
        <v>0</v>
      </c>
      <c r="I46" s="722">
        <f t="shared" si="5"/>
        <v>0</v>
      </c>
      <c r="J46" s="722">
        <f t="shared" si="5"/>
        <v>0</v>
      </c>
      <c r="K46" s="722">
        <f t="shared" si="5"/>
        <v>318.20896442786022</v>
      </c>
      <c r="L46" s="722">
        <f t="shared" si="5"/>
        <v>0</v>
      </c>
      <c r="M46" s="722">
        <f t="shared" ca="1" si="5"/>
        <v>0</v>
      </c>
      <c r="N46" s="722">
        <f t="shared" si="5"/>
        <v>0</v>
      </c>
      <c r="O46" s="722">
        <f t="shared" ca="1" si="5"/>
        <v>0</v>
      </c>
      <c r="P46" s="722">
        <f t="shared" si="5"/>
        <v>0</v>
      </c>
      <c r="Q46" s="722">
        <f t="shared" si="5"/>
        <v>0</v>
      </c>
      <c r="R46" s="722">
        <f ca="1">SUM(R39:R45)</f>
        <v>354410.20307932486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140.20729498668607</v>
      </c>
      <c r="D49" s="686">
        <f ca="1">transport!C58</f>
        <v>0</v>
      </c>
      <c r="E49" s="686">
        <f>transport!D58</f>
        <v>0</v>
      </c>
      <c r="F49" s="686">
        <f>transport!E58</f>
        <v>0</v>
      </c>
      <c r="G49" s="686">
        <f>transport!F58</f>
        <v>0</v>
      </c>
      <c r="H49" s="686">
        <f>transport!G58</f>
        <v>5704.215244576877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5844.4225395635631</v>
      </c>
    </row>
    <row r="50" spans="1:18">
      <c r="A50" s="824" t="s">
        <v>306</v>
      </c>
      <c r="B50" s="834"/>
      <c r="C50" s="692">
        <f ca="1">transport!B18</f>
        <v>64.554544572418251</v>
      </c>
      <c r="D50" s="692">
        <f>transport!C18</f>
        <v>0</v>
      </c>
      <c r="E50" s="692">
        <f>transport!D18</f>
        <v>278.26074369796441</v>
      </c>
      <c r="F50" s="692">
        <f>transport!E18</f>
        <v>270.63207928070773</v>
      </c>
      <c r="G50" s="692">
        <f>transport!F18</f>
        <v>0</v>
      </c>
      <c r="H50" s="692">
        <f>transport!G18</f>
        <v>153925.28399541552</v>
      </c>
      <c r="I50" s="692">
        <f>transport!H18</f>
        <v>32131.006655693349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186669.73801865996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204.76183955910432</v>
      </c>
      <c r="D52" s="722">
        <f t="shared" ref="D52:Q52" ca="1" si="6">SUM(D48:D51)</f>
        <v>0</v>
      </c>
      <c r="E52" s="722">
        <f t="shared" si="6"/>
        <v>278.26074369796441</v>
      </c>
      <c r="F52" s="722">
        <f t="shared" si="6"/>
        <v>270.63207928070773</v>
      </c>
      <c r="G52" s="722">
        <f t="shared" si="6"/>
        <v>0</v>
      </c>
      <c r="H52" s="722">
        <f t="shared" si="6"/>
        <v>159629.49923999241</v>
      </c>
      <c r="I52" s="722">
        <f t="shared" si="6"/>
        <v>32131.006655693349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192514.16055822352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737.77043509266173</v>
      </c>
      <c r="D54" s="692">
        <f ca="1">+landbouw!C12</f>
        <v>13.725375868944335</v>
      </c>
      <c r="E54" s="692">
        <f>+landbouw!D12</f>
        <v>1166.9522609835585</v>
      </c>
      <c r="F54" s="692">
        <f>+landbouw!E12</f>
        <v>30.683322209590379</v>
      </c>
      <c r="G54" s="692">
        <f>+landbouw!F12</f>
        <v>4086.7565115005441</v>
      </c>
      <c r="H54" s="692">
        <f>+landbouw!G12</f>
        <v>0</v>
      </c>
      <c r="I54" s="692">
        <f>+landbouw!H12</f>
        <v>0</v>
      </c>
      <c r="J54" s="692">
        <f>+landbouw!I12</f>
        <v>0</v>
      </c>
      <c r="K54" s="692">
        <f>+landbouw!J12</f>
        <v>422.39925226920457</v>
      </c>
      <c r="L54" s="692">
        <f>+landbouw!K12</f>
        <v>0</v>
      </c>
      <c r="M54" s="692">
        <f>+landbouw!L12</f>
        <v>0</v>
      </c>
      <c r="N54" s="692">
        <f>+landbouw!M12</f>
        <v>0</v>
      </c>
      <c r="O54" s="692">
        <f>+landbouw!N12</f>
        <v>0</v>
      </c>
      <c r="P54" s="692">
        <f>+landbouw!O12</f>
        <v>0</v>
      </c>
      <c r="Q54" s="693">
        <f>+landbouw!P12</f>
        <v>0</v>
      </c>
      <c r="R54" s="721">
        <f ca="1">SUM(C54:Q54)</f>
        <v>6458.2871579245029</v>
      </c>
    </row>
    <row r="55" spans="1:18" ht="15" thickBot="1">
      <c r="A55" s="824" t="s">
        <v>724</v>
      </c>
      <c r="B55" s="834"/>
      <c r="C55" s="692">
        <f ca="1">C25*'EF ele_warmte'!B12</f>
        <v>1831.5833274433699</v>
      </c>
      <c r="D55" s="692"/>
      <c r="E55" s="692">
        <f>E25*EF_CO2_aardgas</f>
        <v>7131.5090666599999</v>
      </c>
      <c r="F55" s="692"/>
      <c r="G55" s="692"/>
      <c r="H55" s="692"/>
      <c r="I55" s="692"/>
      <c r="J55" s="692"/>
      <c r="K55" s="692"/>
      <c r="L55" s="692"/>
      <c r="M55" s="692"/>
      <c r="N55" s="692"/>
      <c r="O55" s="692"/>
      <c r="P55" s="692"/>
      <c r="Q55" s="693"/>
      <c r="R55" s="721">
        <f ca="1">SUM(C55:Q55)</f>
        <v>8963.0923941033689</v>
      </c>
    </row>
    <row r="56" spans="1:18" ht="15.75" thickBot="1">
      <c r="A56" s="822" t="s">
        <v>725</v>
      </c>
      <c r="B56" s="835"/>
      <c r="C56" s="722">
        <f ca="1">SUM(C54:C55)</f>
        <v>2569.3537625360314</v>
      </c>
      <c r="D56" s="722">
        <f t="shared" ref="D56:Q56" ca="1" si="7">SUM(D54:D55)</f>
        <v>13.725375868944335</v>
      </c>
      <c r="E56" s="722">
        <f t="shared" si="7"/>
        <v>8298.4613276435593</v>
      </c>
      <c r="F56" s="722">
        <f t="shared" si="7"/>
        <v>30.683322209590379</v>
      </c>
      <c r="G56" s="722">
        <f t="shared" si="7"/>
        <v>4086.7565115005441</v>
      </c>
      <c r="H56" s="722">
        <f t="shared" si="7"/>
        <v>0</v>
      </c>
      <c r="I56" s="722">
        <f t="shared" si="7"/>
        <v>0</v>
      </c>
      <c r="J56" s="722">
        <f t="shared" si="7"/>
        <v>0</v>
      </c>
      <c r="K56" s="722">
        <f t="shared" si="7"/>
        <v>422.39925226920457</v>
      </c>
      <c r="L56" s="722">
        <f t="shared" si="7"/>
        <v>0</v>
      </c>
      <c r="M56" s="722">
        <f t="shared" si="7"/>
        <v>0</v>
      </c>
      <c r="N56" s="722">
        <f t="shared" si="7"/>
        <v>0</v>
      </c>
      <c r="O56" s="722">
        <f t="shared" si="7"/>
        <v>0</v>
      </c>
      <c r="P56" s="722">
        <f t="shared" si="7"/>
        <v>0</v>
      </c>
      <c r="Q56" s="723">
        <f t="shared" si="7"/>
        <v>0</v>
      </c>
      <c r="R56" s="724">
        <f ca="1">SUM(R54:R55)</f>
        <v>15421.379552027873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107219.841256245</v>
      </c>
      <c r="D61" s="730">
        <f t="shared" ref="D61:Q61" ca="1" si="8">D46+D52+D56</f>
        <v>120.47829929406696</v>
      </c>
      <c r="E61" s="730">
        <f t="shared" ca="1" si="8"/>
        <v>235392.97538697577</v>
      </c>
      <c r="F61" s="730">
        <f t="shared" si="8"/>
        <v>7280.0619441448334</v>
      </c>
      <c r="G61" s="730">
        <f t="shared" ca="1" si="8"/>
        <v>19831.272190533749</v>
      </c>
      <c r="H61" s="730">
        <f t="shared" si="8"/>
        <v>159629.49923999241</v>
      </c>
      <c r="I61" s="730">
        <f t="shared" si="8"/>
        <v>32131.006655693349</v>
      </c>
      <c r="J61" s="730">
        <f t="shared" si="8"/>
        <v>0</v>
      </c>
      <c r="K61" s="730">
        <f t="shared" si="8"/>
        <v>740.60821669706479</v>
      </c>
      <c r="L61" s="730">
        <f t="shared" si="8"/>
        <v>0</v>
      </c>
      <c r="M61" s="730">
        <f t="shared" ca="1" si="8"/>
        <v>0</v>
      </c>
      <c r="N61" s="730">
        <f t="shared" si="8"/>
        <v>0</v>
      </c>
      <c r="O61" s="730">
        <f t="shared" ca="1" si="8"/>
        <v>0</v>
      </c>
      <c r="P61" s="730">
        <f t="shared" si="8"/>
        <v>0</v>
      </c>
      <c r="Q61" s="730">
        <f t="shared" si="8"/>
        <v>0</v>
      </c>
      <c r="R61" s="730">
        <f ca="1">R46+R52+R56</f>
        <v>562345.74318957631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0.17034677035979001</v>
      </c>
      <c r="D63" s="776">
        <f t="shared" ca="1" si="9"/>
        <v>0.23722871872249465</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110555.08254452127</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33733.5834505889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344.25000000000006</v>
      </c>
      <c r="D76" s="958">
        <f>'lokale energieproductie'!C8</f>
        <v>404.28706148623166</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81.6659864202188</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144288.66599511018</v>
      </c>
      <c r="C78" s="748">
        <f>SUM(C72:C77)</f>
        <v>344.25000000000006</v>
      </c>
      <c r="D78" s="749">
        <f t="shared" ref="D78:H78" si="10">SUM(D76:D77)</f>
        <v>404.28706148623166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81.6659864202188</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507.857142857143</v>
      </c>
      <c r="D87" s="772">
        <f>'lokale energieproductie'!C17</f>
        <v>596.42722422805423</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120.47829929406696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507.857142857143</v>
      </c>
      <c r="D90" s="748">
        <f t="shared" ref="D90:H90" si="12">SUM(D87:D89)</f>
        <v>596.42722422805423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120.47829929406696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110555.08254452127</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33733.5834505889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344.25000000000006</v>
      </c>
      <c r="C8" s="548">
        <f>B50</f>
        <v>404.28706148623166</v>
      </c>
      <c r="D8" s="549"/>
      <c r="E8" s="549">
        <f>E50</f>
        <v>0</v>
      </c>
      <c r="F8" s="550"/>
      <c r="G8" s="551"/>
      <c r="H8" s="549">
        <f>I50</f>
        <v>0</v>
      </c>
      <c r="I8" s="549">
        <f>G50+F50</f>
        <v>0</v>
      </c>
      <c r="J8" s="549">
        <f>H50+D50+C50</f>
        <v>0</v>
      </c>
      <c r="K8" s="549"/>
      <c r="L8" s="549"/>
      <c r="M8" s="549"/>
      <c r="N8" s="552"/>
      <c r="O8" s="553">
        <f>C8*$C$12+D8*$D$12+E8*$E$12+F8*$F$12+G8*$G$12+H8*$H$12+I8*$I$12+J8*$J$12</f>
        <v>81.6659864202188</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144632.91599511018</v>
      </c>
      <c r="C10" s="563">
        <f t="shared" ref="C10:L10" si="0">SUM(C8:C9)</f>
        <v>404.28706148623166</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81.6659864202188</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507.857142857143</v>
      </c>
      <c r="C17" s="579">
        <f>B51</f>
        <v>596.42722422805423</v>
      </c>
      <c r="D17" s="580"/>
      <c r="E17" s="580">
        <f>E51</f>
        <v>0</v>
      </c>
      <c r="F17" s="581"/>
      <c r="G17" s="582"/>
      <c r="H17" s="579">
        <f>I51</f>
        <v>0</v>
      </c>
      <c r="I17" s="580">
        <f>G51+F51</f>
        <v>0</v>
      </c>
      <c r="J17" s="580">
        <f>H51+D51+C51</f>
        <v>0</v>
      </c>
      <c r="K17" s="580"/>
      <c r="L17" s="580"/>
      <c r="M17" s="580"/>
      <c r="N17" s="972"/>
      <c r="O17" s="583">
        <f>C17*$C$22+E17*$E$22+H17*$H$22+I17*$I$22+J17*$J$22+D17*$D$22+F17*$F$22+G17*$G$22+K17*$K$22+L17*$L$22</f>
        <v>120.47829929406696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507.857142857143</v>
      </c>
      <c r="C20" s="562">
        <f>SUM(C17:C19)</f>
        <v>596.42722422805423</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120.47829929406696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31005</v>
      </c>
      <c r="C28" s="791">
        <v>8000</v>
      </c>
      <c r="D28" s="640" t="s">
        <v>888</v>
      </c>
      <c r="E28" s="639" t="s">
        <v>889</v>
      </c>
      <c r="F28" s="639" t="s">
        <v>890</v>
      </c>
      <c r="G28" s="639" t="s">
        <v>891</v>
      </c>
      <c r="H28" s="639" t="s">
        <v>892</v>
      </c>
      <c r="I28" s="639" t="s">
        <v>889</v>
      </c>
      <c r="J28" s="790">
        <v>41207</v>
      </c>
      <c r="K28" s="790">
        <v>41306</v>
      </c>
      <c r="L28" s="639" t="s">
        <v>893</v>
      </c>
      <c r="M28" s="639">
        <v>5.5</v>
      </c>
      <c r="N28" s="639">
        <v>24.75</v>
      </c>
      <c r="O28" s="639">
        <v>35.357142857142861</v>
      </c>
      <c r="P28" s="639">
        <v>70.714285714285722</v>
      </c>
      <c r="Q28" s="639">
        <v>0</v>
      </c>
      <c r="R28" s="639">
        <v>0</v>
      </c>
      <c r="S28" s="639">
        <v>0</v>
      </c>
      <c r="T28" s="639">
        <v>0</v>
      </c>
      <c r="U28" s="639">
        <v>0</v>
      </c>
      <c r="V28" s="639">
        <v>0</v>
      </c>
      <c r="W28" s="639">
        <v>0</v>
      </c>
      <c r="X28" s="639">
        <v>10</v>
      </c>
      <c r="Y28" s="639" t="s">
        <v>111</v>
      </c>
      <c r="Z28" s="641" t="s">
        <v>111</v>
      </c>
    </row>
    <row r="29" spans="1:26" s="593" customFormat="1" ht="12.75">
      <c r="A29" s="592"/>
      <c r="B29" s="791">
        <v>31005</v>
      </c>
      <c r="C29" s="791">
        <v>8000</v>
      </c>
      <c r="D29" s="640" t="s">
        <v>894</v>
      </c>
      <c r="E29" s="639" t="s">
        <v>895</v>
      </c>
      <c r="F29" s="639" t="s">
        <v>896</v>
      </c>
      <c r="G29" s="639" t="s">
        <v>897</v>
      </c>
      <c r="H29" s="639" t="s">
        <v>897</v>
      </c>
      <c r="I29" s="639" t="s">
        <v>895</v>
      </c>
      <c r="J29" s="790">
        <v>41624</v>
      </c>
      <c r="K29" s="790">
        <v>41619</v>
      </c>
      <c r="L29" s="639" t="s">
        <v>893</v>
      </c>
      <c r="M29" s="639">
        <v>1</v>
      </c>
      <c r="N29" s="639">
        <v>4.5</v>
      </c>
      <c r="O29" s="639">
        <v>22.5</v>
      </c>
      <c r="P29" s="639">
        <v>30</v>
      </c>
      <c r="Q29" s="639">
        <v>0</v>
      </c>
      <c r="R29" s="639">
        <v>0</v>
      </c>
      <c r="S29" s="639">
        <v>0</v>
      </c>
      <c r="T29" s="639">
        <v>0</v>
      </c>
      <c r="U29" s="639">
        <v>0</v>
      </c>
      <c r="V29" s="639">
        <v>0</v>
      </c>
      <c r="W29" s="639">
        <v>0</v>
      </c>
      <c r="X29" s="639">
        <v>10</v>
      </c>
      <c r="Y29" s="639" t="s">
        <v>111</v>
      </c>
      <c r="Z29" s="641" t="s">
        <v>111</v>
      </c>
    </row>
    <row r="30" spans="1:26" s="593" customFormat="1" ht="63.75">
      <c r="A30" s="592"/>
      <c r="B30" s="791">
        <v>31005</v>
      </c>
      <c r="C30" s="791">
        <v>8000</v>
      </c>
      <c r="D30" s="640" t="s">
        <v>898</v>
      </c>
      <c r="E30" s="639" t="s">
        <v>899</v>
      </c>
      <c r="F30" s="639" t="s">
        <v>900</v>
      </c>
      <c r="G30" s="639" t="s">
        <v>891</v>
      </c>
      <c r="H30" s="639" t="s">
        <v>892</v>
      </c>
      <c r="I30" s="639" t="s">
        <v>899</v>
      </c>
      <c r="J30" s="790">
        <v>42137</v>
      </c>
      <c r="K30" s="790">
        <v>42107</v>
      </c>
      <c r="L30" s="639" t="s">
        <v>893</v>
      </c>
      <c r="M30" s="639">
        <v>70</v>
      </c>
      <c r="N30" s="639">
        <v>315.00000000000006</v>
      </c>
      <c r="O30" s="639">
        <v>450.00000000000011</v>
      </c>
      <c r="P30" s="639">
        <v>900.00000000000023</v>
      </c>
      <c r="Q30" s="639">
        <v>0</v>
      </c>
      <c r="R30" s="639">
        <v>0</v>
      </c>
      <c r="S30" s="639">
        <v>0</v>
      </c>
      <c r="T30" s="639">
        <v>0</v>
      </c>
      <c r="U30" s="639">
        <v>0</v>
      </c>
      <c r="V30" s="639">
        <v>0</v>
      </c>
      <c r="W30" s="639">
        <v>0</v>
      </c>
      <c r="X30" s="639">
        <v>1600</v>
      </c>
      <c r="Y30" s="639" t="s">
        <v>49</v>
      </c>
      <c r="Z30" s="641" t="s">
        <v>155</v>
      </c>
    </row>
    <row r="31" spans="1:26" s="573" customFormat="1">
      <c r="A31" s="595" t="s">
        <v>279</v>
      </c>
      <c r="B31" s="596"/>
      <c r="C31" s="596"/>
      <c r="D31" s="596"/>
      <c r="E31" s="596"/>
      <c r="F31" s="596"/>
      <c r="G31" s="596"/>
      <c r="H31" s="596"/>
      <c r="I31" s="596"/>
      <c r="J31" s="596"/>
      <c r="K31" s="596"/>
      <c r="L31" s="597"/>
      <c r="M31" s="597">
        <f>SUM(M28:M30)</f>
        <v>76.5</v>
      </c>
      <c r="N31" s="597">
        <f>SUM(N28:N30)</f>
        <v>344.25000000000006</v>
      </c>
      <c r="O31" s="597">
        <f>SUM(O28:O30)</f>
        <v>507.857142857143</v>
      </c>
      <c r="P31" s="597">
        <f>SUM(P28:P30)</f>
        <v>1000.714285714286</v>
      </c>
      <c r="Q31" s="597">
        <f>SUM(Q28:Q30)</f>
        <v>0</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70</v>
      </c>
      <c r="N33" s="597">
        <f ca="1">SUMIF($Z$28:AD30,"tertiair",N28:N30)</f>
        <v>315.00000000000006</v>
      </c>
      <c r="O33" s="597">
        <f ca="1">SUMIF($Z$28:AE30,"tertiair",O28:O30)</f>
        <v>450.00000000000011</v>
      </c>
      <c r="P33" s="597">
        <f ca="1">SUMIF($Z$28:AF30,"tertiair",P28:P30)</f>
        <v>900.00000000000023</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6.5</v>
      </c>
      <c r="N34" s="602">
        <f>SUMIF($Z$28:$Z$30,"landbouw",N28:N30)</f>
        <v>29.25</v>
      </c>
      <c r="O34" s="602">
        <f>SUMIF($Z$28:$Z$30,"landbouw",O28:O30)</f>
        <v>57.857142857142861</v>
      </c>
      <c r="P34" s="602">
        <f>SUMIF($Z$28:$Z$30,"landbouw",P28:P30)</f>
        <v>100.71428571428572</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0.59600150886457937</v>
      </c>
      <c r="C47" s="622">
        <f>IF(ISERROR(N31/(O31+N31)),0,N31/(N31+O31))</f>
        <v>0.40399849113542052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404.28706148623166</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596.42722422805423</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185845.60019636891</v>
      </c>
      <c r="C4" s="452">
        <f>huishoudens!C8</f>
        <v>0</v>
      </c>
      <c r="D4" s="452">
        <f>huishoudens!D8</f>
        <v>576720.47469740012</v>
      </c>
      <c r="E4" s="452">
        <f>huishoudens!E8</f>
        <v>20422.44393186743</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47493.812867290886</v>
      </c>
      <c r="O4" s="452">
        <f>huishoudens!O8</f>
        <v>1801.434063203425</v>
      </c>
      <c r="P4" s="453">
        <f>huishoudens!P8</f>
        <v>1190.3374017684077</v>
      </c>
      <c r="Q4" s="454">
        <f>SUM(B4:P4)</f>
        <v>833474.10315789923</v>
      </c>
    </row>
    <row r="5" spans="1:17">
      <c r="A5" s="451" t="s">
        <v>155</v>
      </c>
      <c r="B5" s="452">
        <f ca="1">tertiair!B16</f>
        <v>313252.91176999995</v>
      </c>
      <c r="C5" s="452">
        <f ca="1">tertiair!C16</f>
        <v>450.00000000000011</v>
      </c>
      <c r="D5" s="452">
        <f ca="1">tertiair!D16</f>
        <v>379041.03169396002</v>
      </c>
      <c r="E5" s="452">
        <f>tertiair!E16</f>
        <v>4013.6051202053636</v>
      </c>
      <c r="F5" s="452">
        <f ca="1">tertiair!F16</f>
        <v>35845.775230444444</v>
      </c>
      <c r="G5" s="452">
        <f>tertiair!G16</f>
        <v>0</v>
      </c>
      <c r="H5" s="452">
        <f>tertiair!H16</f>
        <v>0</v>
      </c>
      <c r="I5" s="452">
        <f>tertiair!I16</f>
        <v>0</v>
      </c>
      <c r="J5" s="452">
        <f>tertiair!J16</f>
        <v>0.61124295533516726</v>
      </c>
      <c r="K5" s="452">
        <f>tertiair!K16</f>
        <v>0</v>
      </c>
      <c r="L5" s="452">
        <f ca="1">tertiair!L16</f>
        <v>0</v>
      </c>
      <c r="M5" s="452">
        <f>tertiair!M16</f>
        <v>0</v>
      </c>
      <c r="N5" s="452">
        <f ca="1">tertiair!N16</f>
        <v>24205.256209472987</v>
      </c>
      <c r="O5" s="452">
        <f>tertiair!O16</f>
        <v>78.356172253458467</v>
      </c>
      <c r="P5" s="453">
        <f>tertiair!P16</f>
        <v>1366.0175959688704</v>
      </c>
      <c r="Q5" s="451">
        <f t="shared" ref="Q5:Q14" ca="1" si="0">SUM(B5:P5)</f>
        <v>758253.56503526052</v>
      </c>
    </row>
    <row r="6" spans="1:17">
      <c r="A6" s="451" t="s">
        <v>193</v>
      </c>
      <c r="B6" s="452">
        <f>'openbare verlichting'!B8</f>
        <v>7847.19488</v>
      </c>
      <c r="C6" s="452"/>
      <c r="D6" s="452"/>
      <c r="E6" s="452"/>
      <c r="F6" s="452"/>
      <c r="G6" s="452"/>
      <c r="H6" s="452"/>
      <c r="I6" s="452"/>
      <c r="J6" s="452"/>
      <c r="K6" s="452"/>
      <c r="L6" s="452"/>
      <c r="M6" s="452"/>
      <c r="N6" s="452"/>
      <c r="O6" s="452"/>
      <c r="P6" s="453"/>
      <c r="Q6" s="451">
        <f t="shared" si="0"/>
        <v>7847.19488</v>
      </c>
    </row>
    <row r="7" spans="1:17">
      <c r="A7" s="451" t="s">
        <v>111</v>
      </c>
      <c r="B7" s="452">
        <f>landbouw!B8</f>
        <v>4330.9916210000001</v>
      </c>
      <c r="C7" s="452">
        <f>landbouw!C8</f>
        <v>57.857142857142861</v>
      </c>
      <c r="D7" s="452">
        <f>landbouw!D8</f>
        <v>5776.9913910077148</v>
      </c>
      <c r="E7" s="452">
        <f>landbouw!E8</f>
        <v>135.16882030656555</v>
      </c>
      <c r="F7" s="452">
        <f>landbouw!F8</f>
        <v>15306.204162923385</v>
      </c>
      <c r="G7" s="452">
        <f>landbouw!G8</f>
        <v>0</v>
      </c>
      <c r="H7" s="452">
        <f>landbouw!H8</f>
        <v>0</v>
      </c>
      <c r="I7" s="452">
        <f>landbouw!I8</f>
        <v>0</v>
      </c>
      <c r="J7" s="452">
        <f>landbouw!J8</f>
        <v>1193.2182267491655</v>
      </c>
      <c r="K7" s="452">
        <f>landbouw!K8</f>
        <v>0</v>
      </c>
      <c r="L7" s="452">
        <f>landbouw!L8</f>
        <v>0</v>
      </c>
      <c r="M7" s="452">
        <f>landbouw!M8</f>
        <v>0</v>
      </c>
      <c r="N7" s="452">
        <f>landbouw!N8</f>
        <v>0</v>
      </c>
      <c r="O7" s="452">
        <f>landbouw!O8</f>
        <v>0</v>
      </c>
      <c r="P7" s="453">
        <f>landbouw!P8</f>
        <v>0</v>
      </c>
      <c r="Q7" s="451">
        <f t="shared" si="0"/>
        <v>26800.431364843975</v>
      </c>
    </row>
    <row r="8" spans="1:17">
      <c r="A8" s="451" t="s">
        <v>625</v>
      </c>
      <c r="B8" s="452">
        <f>industrie!B18</f>
        <v>106190.224252</v>
      </c>
      <c r="C8" s="452">
        <f>industrie!C18</f>
        <v>0</v>
      </c>
      <c r="D8" s="452">
        <f>industrie!D18</f>
        <v>167091.23279494801</v>
      </c>
      <c r="E8" s="452">
        <f>industrie!E18</f>
        <v>6307.3277878150275</v>
      </c>
      <c r="F8" s="452">
        <f>industrie!F18</f>
        <v>23122.448286533854</v>
      </c>
      <c r="G8" s="452">
        <f>industrie!G18</f>
        <v>0</v>
      </c>
      <c r="H8" s="452">
        <f>industrie!H18</f>
        <v>0</v>
      </c>
      <c r="I8" s="452">
        <f>industrie!I18</f>
        <v>0</v>
      </c>
      <c r="J8" s="452">
        <f>industrie!J18</f>
        <v>898.28413678438301</v>
      </c>
      <c r="K8" s="452">
        <f>industrie!K18</f>
        <v>0</v>
      </c>
      <c r="L8" s="452">
        <f>industrie!L18</f>
        <v>0</v>
      </c>
      <c r="M8" s="452">
        <f>industrie!M18</f>
        <v>0</v>
      </c>
      <c r="N8" s="452">
        <f>industrie!N18</f>
        <v>5046.6472215370304</v>
      </c>
      <c r="O8" s="452">
        <f>industrie!O18</f>
        <v>0</v>
      </c>
      <c r="P8" s="453">
        <f>industrie!P18</f>
        <v>0</v>
      </c>
      <c r="Q8" s="451">
        <f t="shared" si="0"/>
        <v>308656.16447961831</v>
      </c>
    </row>
    <row r="9" spans="1:17" s="457" customFormat="1">
      <c r="A9" s="455" t="s">
        <v>551</v>
      </c>
      <c r="B9" s="456">
        <f>transport!B14</f>
        <v>378.95960361368969</v>
      </c>
      <c r="C9" s="456">
        <f>transport!C14</f>
        <v>0</v>
      </c>
      <c r="D9" s="456">
        <f>transport!D14</f>
        <v>1377.5284341483386</v>
      </c>
      <c r="E9" s="456">
        <f>transport!E14</f>
        <v>1192.2118029987123</v>
      </c>
      <c r="F9" s="456">
        <f>transport!F14</f>
        <v>0</v>
      </c>
      <c r="G9" s="456">
        <f>transport!G14</f>
        <v>576499.1909940656</v>
      </c>
      <c r="H9" s="456">
        <f>transport!H14</f>
        <v>129040.18737226244</v>
      </c>
      <c r="I9" s="456">
        <f>transport!I14</f>
        <v>0</v>
      </c>
      <c r="J9" s="456">
        <f>transport!J14</f>
        <v>0</v>
      </c>
      <c r="K9" s="456">
        <f>transport!K14</f>
        <v>0</v>
      </c>
      <c r="L9" s="456">
        <f>transport!L14</f>
        <v>0</v>
      </c>
      <c r="M9" s="456">
        <f>transport!M14</f>
        <v>41774.231377063676</v>
      </c>
      <c r="N9" s="456">
        <f>transport!N14</f>
        <v>0</v>
      </c>
      <c r="O9" s="456">
        <f>transport!O14</f>
        <v>0</v>
      </c>
      <c r="P9" s="456">
        <f>transport!P14</f>
        <v>0</v>
      </c>
      <c r="Q9" s="455">
        <f>SUM(B9:P9)</f>
        <v>750262.30958415254</v>
      </c>
    </row>
    <row r="10" spans="1:17">
      <c r="A10" s="451" t="s">
        <v>541</v>
      </c>
      <c r="B10" s="452">
        <f>transport!B54</f>
        <v>823.06987499999991</v>
      </c>
      <c r="C10" s="452">
        <f>transport!C54</f>
        <v>0</v>
      </c>
      <c r="D10" s="452">
        <f>transport!D54</f>
        <v>0</v>
      </c>
      <c r="E10" s="452">
        <f>transport!E54</f>
        <v>0</v>
      </c>
      <c r="F10" s="452">
        <f>transport!F54</f>
        <v>0</v>
      </c>
      <c r="G10" s="452">
        <f>transport!G54</f>
        <v>21364.102039613772</v>
      </c>
      <c r="H10" s="452">
        <f>transport!H54</f>
        <v>0</v>
      </c>
      <c r="I10" s="452">
        <f>transport!I54</f>
        <v>0</v>
      </c>
      <c r="J10" s="452">
        <f>transport!J54</f>
        <v>0</v>
      </c>
      <c r="K10" s="452">
        <f>transport!K54</f>
        <v>0</v>
      </c>
      <c r="L10" s="452">
        <f>transport!L54</f>
        <v>0</v>
      </c>
      <c r="M10" s="452">
        <f>transport!M54</f>
        <v>1187.2323389463595</v>
      </c>
      <c r="N10" s="452">
        <f>transport!N54</f>
        <v>0</v>
      </c>
      <c r="O10" s="452">
        <f>transport!O54</f>
        <v>0</v>
      </c>
      <c r="P10" s="453">
        <f>transport!P54</f>
        <v>0</v>
      </c>
      <c r="Q10" s="451">
        <f t="shared" si="0"/>
        <v>23374.404253560133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10752.08719</v>
      </c>
      <c r="C14" s="459"/>
      <c r="D14" s="459">
        <f>'SEAP template'!E25</f>
        <v>35304.500329999995</v>
      </c>
      <c r="E14" s="459"/>
      <c r="F14" s="459"/>
      <c r="G14" s="459"/>
      <c r="H14" s="459"/>
      <c r="I14" s="459"/>
      <c r="J14" s="459"/>
      <c r="K14" s="459"/>
      <c r="L14" s="459"/>
      <c r="M14" s="459"/>
      <c r="N14" s="459"/>
      <c r="O14" s="459"/>
      <c r="P14" s="460"/>
      <c r="Q14" s="451">
        <f t="shared" si="0"/>
        <v>46056.587519999994</v>
      </c>
    </row>
    <row r="15" spans="1:17" s="463" customFormat="1">
      <c r="A15" s="461" t="s">
        <v>545</v>
      </c>
      <c r="B15" s="462">
        <f ca="1">SUM(B4:B14)</f>
        <v>629421.03938798269</v>
      </c>
      <c r="C15" s="462">
        <f t="shared" ref="C15:Q15" ca="1" si="1">SUM(C4:C14)</f>
        <v>507.857142857143</v>
      </c>
      <c r="D15" s="462">
        <f t="shared" ca="1" si="1"/>
        <v>1165311.7593414641</v>
      </c>
      <c r="E15" s="462">
        <f t="shared" si="1"/>
        <v>32070.757463193098</v>
      </c>
      <c r="F15" s="462">
        <f t="shared" ca="1" si="1"/>
        <v>74274.427679901681</v>
      </c>
      <c r="G15" s="462">
        <f t="shared" si="1"/>
        <v>597863.29303367937</v>
      </c>
      <c r="H15" s="462">
        <f t="shared" si="1"/>
        <v>129040.18737226244</v>
      </c>
      <c r="I15" s="462">
        <f t="shared" si="1"/>
        <v>0</v>
      </c>
      <c r="J15" s="462">
        <f t="shared" si="1"/>
        <v>2092.1136064888838</v>
      </c>
      <c r="K15" s="462">
        <f t="shared" si="1"/>
        <v>0</v>
      </c>
      <c r="L15" s="462">
        <f t="shared" ca="1" si="1"/>
        <v>0</v>
      </c>
      <c r="M15" s="462">
        <f t="shared" si="1"/>
        <v>42961.463716010032</v>
      </c>
      <c r="N15" s="462">
        <f t="shared" ca="1" si="1"/>
        <v>76745.716298300904</v>
      </c>
      <c r="O15" s="462">
        <f t="shared" si="1"/>
        <v>1879.7902354568835</v>
      </c>
      <c r="P15" s="462">
        <f t="shared" si="1"/>
        <v>2556.3549977372782</v>
      </c>
      <c r="Q15" s="462">
        <f t="shared" ca="1" si="1"/>
        <v>2754724.7602753346</v>
      </c>
    </row>
    <row r="17" spans="1:17">
      <c r="A17" s="464" t="s">
        <v>546</v>
      </c>
      <c r="B17" s="781">
        <f ca="1">huishoudens!B10</f>
        <v>0.17034677035979001</v>
      </c>
      <c r="C17" s="781">
        <f ca="1">huishoudens!C10</f>
        <v>0.23722871872249465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31658.1977790282</v>
      </c>
      <c r="C22" s="452">
        <f t="shared" ref="C22:C32" ca="1" si="3">C4*$C$17</f>
        <v>0</v>
      </c>
      <c r="D22" s="452">
        <f t="shared" ref="D22:D32" si="4">D4*$D$17</f>
        <v>116497.53588887483</v>
      </c>
      <c r="E22" s="452">
        <f t="shared" ref="E22:E32" si="5">E4*$E$17</f>
        <v>4635.8947725339067</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152791.62844043694</v>
      </c>
    </row>
    <row r="23" spans="1:17">
      <c r="A23" s="451" t="s">
        <v>155</v>
      </c>
      <c r="B23" s="452">
        <f t="shared" ca="1" si="2"/>
        <v>53361.62182581974</v>
      </c>
      <c r="C23" s="452">
        <f t="shared" ca="1" si="3"/>
        <v>106.75292342512262</v>
      </c>
      <c r="D23" s="452">
        <f t="shared" ca="1" si="4"/>
        <v>76566.288402179925</v>
      </c>
      <c r="E23" s="452">
        <f t="shared" si="5"/>
        <v>911.08836228661755</v>
      </c>
      <c r="F23" s="452">
        <f t="shared" ca="1" si="6"/>
        <v>9570.8219865286665</v>
      </c>
      <c r="G23" s="452">
        <f t="shared" si="7"/>
        <v>0</v>
      </c>
      <c r="H23" s="452">
        <f t="shared" si="8"/>
        <v>0</v>
      </c>
      <c r="I23" s="452">
        <f t="shared" si="9"/>
        <v>0</v>
      </c>
      <c r="J23" s="452">
        <f t="shared" si="10"/>
        <v>0.21638000618864919</v>
      </c>
      <c r="K23" s="452">
        <f t="shared" si="11"/>
        <v>0</v>
      </c>
      <c r="L23" s="452">
        <f t="shared" ca="1" si="12"/>
        <v>0</v>
      </c>
      <c r="M23" s="452">
        <f t="shared" si="13"/>
        <v>0</v>
      </c>
      <c r="N23" s="452">
        <f t="shared" ca="1" si="14"/>
        <v>0</v>
      </c>
      <c r="O23" s="452">
        <f t="shared" si="15"/>
        <v>0</v>
      </c>
      <c r="P23" s="453">
        <f t="shared" si="16"/>
        <v>0</v>
      </c>
      <c r="Q23" s="451">
        <f t="shared" ref="Q23:Q31" ca="1" si="17">SUM(B23:P23)</f>
        <v>140516.78988024627</v>
      </c>
    </row>
    <row r="24" spans="1:17">
      <c r="A24" s="451" t="s">
        <v>193</v>
      </c>
      <c r="B24" s="452">
        <f t="shared" ca="1" si="2"/>
        <v>1336.74430419188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1336.74430419188</v>
      </c>
    </row>
    <row r="25" spans="1:17">
      <c r="A25" s="451" t="s">
        <v>111</v>
      </c>
      <c r="B25" s="452">
        <f t="shared" ca="1" si="2"/>
        <v>737.77043509266173</v>
      </c>
      <c r="C25" s="452">
        <f t="shared" ca="1" si="3"/>
        <v>13.725375868944335</v>
      </c>
      <c r="D25" s="452">
        <f t="shared" si="4"/>
        <v>1166.9522609835585</v>
      </c>
      <c r="E25" s="452">
        <f t="shared" si="5"/>
        <v>30.683322209590379</v>
      </c>
      <c r="F25" s="452">
        <f t="shared" si="6"/>
        <v>4086.7565115005441</v>
      </c>
      <c r="G25" s="452">
        <f t="shared" si="7"/>
        <v>0</v>
      </c>
      <c r="H25" s="452">
        <f t="shared" si="8"/>
        <v>0</v>
      </c>
      <c r="I25" s="452">
        <f t="shared" si="9"/>
        <v>0</v>
      </c>
      <c r="J25" s="452">
        <f t="shared" si="10"/>
        <v>422.39925226920457</v>
      </c>
      <c r="K25" s="452">
        <f t="shared" si="11"/>
        <v>0</v>
      </c>
      <c r="L25" s="452">
        <f t="shared" si="12"/>
        <v>0</v>
      </c>
      <c r="M25" s="452">
        <f t="shared" si="13"/>
        <v>0</v>
      </c>
      <c r="N25" s="452">
        <f t="shared" si="14"/>
        <v>0</v>
      </c>
      <c r="O25" s="452">
        <f t="shared" si="15"/>
        <v>0</v>
      </c>
      <c r="P25" s="453">
        <f t="shared" si="16"/>
        <v>0</v>
      </c>
      <c r="Q25" s="451">
        <f t="shared" ca="1" si="17"/>
        <v>6458.2871579245029</v>
      </c>
    </row>
    <row r="26" spans="1:17">
      <c r="A26" s="451" t="s">
        <v>625</v>
      </c>
      <c r="B26" s="452">
        <f t="shared" ca="1" si="2"/>
        <v>18089.161745110046</v>
      </c>
      <c r="C26" s="452">
        <f t="shared" ca="1" si="3"/>
        <v>0</v>
      </c>
      <c r="D26" s="452">
        <f t="shared" si="4"/>
        <v>33752.429024579498</v>
      </c>
      <c r="E26" s="452">
        <f t="shared" si="5"/>
        <v>1431.7634078340113</v>
      </c>
      <c r="F26" s="452">
        <f t="shared" si="6"/>
        <v>6173.6936925045393</v>
      </c>
      <c r="G26" s="452">
        <f t="shared" si="7"/>
        <v>0</v>
      </c>
      <c r="H26" s="452">
        <f t="shared" si="8"/>
        <v>0</v>
      </c>
      <c r="I26" s="452">
        <f t="shared" si="9"/>
        <v>0</v>
      </c>
      <c r="J26" s="452">
        <f t="shared" si="10"/>
        <v>317.99258442167155</v>
      </c>
      <c r="K26" s="452">
        <f t="shared" si="11"/>
        <v>0</v>
      </c>
      <c r="L26" s="452">
        <f t="shared" si="12"/>
        <v>0</v>
      </c>
      <c r="M26" s="452">
        <f t="shared" si="13"/>
        <v>0</v>
      </c>
      <c r="N26" s="452">
        <f t="shared" si="14"/>
        <v>0</v>
      </c>
      <c r="O26" s="452">
        <f t="shared" si="15"/>
        <v>0</v>
      </c>
      <c r="P26" s="453">
        <f t="shared" si="16"/>
        <v>0</v>
      </c>
      <c r="Q26" s="451">
        <f t="shared" ca="1" si="17"/>
        <v>59765.040454449765</v>
      </c>
    </row>
    <row r="27" spans="1:17" s="457" customFormat="1">
      <c r="A27" s="455" t="s">
        <v>551</v>
      </c>
      <c r="B27" s="775">
        <f t="shared" ca="1" si="2"/>
        <v>64.554544572418251</v>
      </c>
      <c r="C27" s="456">
        <f t="shared" ca="1" si="3"/>
        <v>0</v>
      </c>
      <c r="D27" s="456">
        <f t="shared" si="4"/>
        <v>278.26074369796441</v>
      </c>
      <c r="E27" s="456">
        <f t="shared" si="5"/>
        <v>270.63207928070773</v>
      </c>
      <c r="F27" s="456">
        <f t="shared" si="6"/>
        <v>0</v>
      </c>
      <c r="G27" s="456">
        <f t="shared" si="7"/>
        <v>153925.28399541552</v>
      </c>
      <c r="H27" s="456">
        <f t="shared" si="8"/>
        <v>32131.006655693349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186669.73801865996</v>
      </c>
    </row>
    <row r="28" spans="1:17" ht="16.5" customHeight="1">
      <c r="A28" s="451" t="s">
        <v>541</v>
      </c>
      <c r="B28" s="452">
        <f t="shared" ca="1" si="2"/>
        <v>140.20729498668607</v>
      </c>
      <c r="C28" s="452">
        <f t="shared" ca="1" si="3"/>
        <v>0</v>
      </c>
      <c r="D28" s="452">
        <f t="shared" si="4"/>
        <v>0</v>
      </c>
      <c r="E28" s="452">
        <f t="shared" si="5"/>
        <v>0</v>
      </c>
      <c r="F28" s="452">
        <f t="shared" si="6"/>
        <v>0</v>
      </c>
      <c r="G28" s="452">
        <f t="shared" si="7"/>
        <v>5704.215244576877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5844.4225395635631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1831.5833274433699</v>
      </c>
      <c r="C32" s="452">
        <f t="shared" ca="1" si="3"/>
        <v>0</v>
      </c>
      <c r="D32" s="452">
        <f t="shared" si="4"/>
        <v>7131.5090666599999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8963.0923941033689</v>
      </c>
    </row>
    <row r="33" spans="1:17" s="463" customFormat="1">
      <c r="A33" s="461" t="s">
        <v>545</v>
      </c>
      <c r="B33" s="462">
        <f ca="1">SUM(B22:B32)</f>
        <v>107219.841256245</v>
      </c>
      <c r="C33" s="462">
        <f t="shared" ref="C33:Q33" ca="1" si="19">SUM(C22:C32)</f>
        <v>120.47829929406696</v>
      </c>
      <c r="D33" s="462">
        <f t="shared" ca="1" si="19"/>
        <v>235392.97538697574</v>
      </c>
      <c r="E33" s="462">
        <f t="shared" si="19"/>
        <v>7280.0619441448334</v>
      </c>
      <c r="F33" s="462">
        <f t="shared" ca="1" si="19"/>
        <v>19831.272190533749</v>
      </c>
      <c r="G33" s="462">
        <f t="shared" si="19"/>
        <v>159629.49923999241</v>
      </c>
      <c r="H33" s="462">
        <f t="shared" si="19"/>
        <v>32131.006655693349</v>
      </c>
      <c r="I33" s="462">
        <f t="shared" si="19"/>
        <v>0</v>
      </c>
      <c r="J33" s="462">
        <f t="shared" si="19"/>
        <v>740.60821669706479</v>
      </c>
      <c r="K33" s="462">
        <f t="shared" si="19"/>
        <v>0</v>
      </c>
      <c r="L33" s="462">
        <f t="shared" ca="1" si="19"/>
        <v>0</v>
      </c>
      <c r="M33" s="462">
        <f t="shared" si="19"/>
        <v>0</v>
      </c>
      <c r="N33" s="462">
        <f t="shared" ca="1" si="19"/>
        <v>0</v>
      </c>
      <c r="O33" s="462">
        <f t="shared" si="19"/>
        <v>0</v>
      </c>
      <c r="P33" s="462">
        <f t="shared" si="19"/>
        <v>0</v>
      </c>
      <c r="Q33" s="462">
        <f t="shared" ca="1" si="19"/>
        <v>562345.74318957631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110555.08254452127</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33733.5834505889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344.25000000000006</v>
      </c>
      <c r="D8" s="1029">
        <f>'SEAP template'!D76</f>
        <v>404.28706148623166</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81.6659864202188</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144288.66599511018</v>
      </c>
      <c r="C10" s="1031">
        <f>SUM(C4:C9)</f>
        <v>344.25000000000006</v>
      </c>
      <c r="D10" s="1031">
        <f t="shared" ref="D10:H10" si="0">SUM(D8:D9)</f>
        <v>404.28706148623166</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81.6659864202188</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0.17034677035979001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507.857142857143</v>
      </c>
      <c r="D17" s="1030">
        <f>'SEAP template'!D87</f>
        <v>596.42722422805423</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120.47829929406696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507.857142857143</v>
      </c>
      <c r="D20" s="1031">
        <f t="shared" ref="D20:H20" si="2">SUM(D17:D19)</f>
        <v>596.42722422805423</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120.47829929406696</v>
      </c>
    </row>
    <row r="21" spans="1:16">
      <c r="B21" s="887"/>
    </row>
    <row r="22" spans="1:16">
      <c r="A22" s="464" t="s">
        <v>797</v>
      </c>
      <c r="B22" s="781" t="s">
        <v>795</v>
      </c>
      <c r="C22" s="781">
        <f ca="1">'EF ele_warmte'!B22</f>
        <v>0.23722871872249465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0.17034677035979001</v>
      </c>
      <c r="C17" s="501">
        <f ca="1">'EF ele_warmte'!B22</f>
        <v>0.23722871872249465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4</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6.2533333333333339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2020-06-20T15:32:24Z</dcterms:modified>
</cp:coreProperties>
</file>