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22" i="59"/>
  <c r="C29" i="20"/>
  <c r="C56" i="22"/>
  <c r="C58" i="22" s="1"/>
  <c r="D49" i="14" s="1"/>
  <c r="D52" i="14" s="1"/>
  <c r="C10" i="17"/>
  <c r="C12" i="17" s="1"/>
  <c r="D54" i="14" s="1"/>
  <c r="D56" i="14" s="1"/>
  <c r="C18" i="15"/>
  <c r="C20" i="15" s="1"/>
  <c r="D40" i="14" s="1"/>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<sst xmlns="http://schemas.openxmlformats.org/spreadsheetml/2006/main" count="2429" uniqueCount="900">
  <si>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</si>
  <si>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</si>
  <si>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</si>
  <si>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</si>
  <si>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</si>
  <si>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</si>
  <si>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</si>
  <si>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</si>
  <si>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</si>
  <si>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</si>
  <si>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</si>
  <si>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</si>
  <si>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</si>
  <si>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</si>
  <si>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</si>
  <si>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</si>
  <si>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</si>
  <si>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</si>
  <si>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</si>
  <si>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</si>
  <si>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</si>
  <si>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</si>
  <si>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</si>
  <si>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</si>
  <si>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</si>
  <si>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</si>
  <si>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</si>
  <si>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</si>
  <si>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</si>
  <si>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</si>
  <si>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</si>
  <si>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</si>
  <si>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</si>
  <si>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</si>
  <si>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</si>
  <si>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</si>
  <si>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</si>
  <si>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</si>
  <si>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</si>
  <si>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</si>
  <si>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</si>
  <si>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</si>
  <si>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</si>
  <si>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</si>
  <si>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</si>
  <si>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</si>
  <si>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</si>
  <si>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</si>
  <si>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</si>
  <si>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</si>
  <si>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</si>
  <si>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</si>
  <si>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</si>
  <si>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</si>
  <si>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</si>
  <si>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</si>
  <si>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</si>
  <si>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</si>
  <si>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</si>
  <si>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</si>
  <si>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</si>
  <si>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</si>
  <si>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</si>
  <si>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</si>
  <si>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</si>
  <si>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</si>
  <si>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</si>
  <si>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</si>
  <si>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</si>
  <si>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</si>
  <si>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</si>
  <si>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</si>
  <si>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</si>
  <si>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</si>
  <si>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</si>
  <si>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</si>
  <si>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</si>
  <si>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</si>
  <si>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</si>
  <si>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</si>
  <si>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</si>
  <si>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</si>
  <si>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</si>
  <si>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</si>
  <si>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</si>
  <si>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</si>
  <si>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</si>
  <si>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</si>
  <si>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</si>
  <si>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</si>
  <si>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</si>
  <si>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</si>
  <si>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</si>
  <si>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</si>
  <si>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</si>
  <si>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</si>
  <si>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</si>
  <si>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</si>
  <si>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</si>
  <si>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</si>
  <si>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</si>
  <si>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</si>
  <si>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</si>
  <si>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</si>
  <si>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</si>
  <si>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</si>
  <si>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</si>
  <si>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</si>
  <si>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</si>
  <si>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</si>
  <si>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</si>
  <si>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</si>
  <si>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</si>
  <si>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</si>
  <si>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</si>
  <si>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</si>
  <si>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</si>
  <si>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</si>
  <si>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</si>
  <si>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</si>
  <si>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</si>
  <si>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</si>
  <si>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</si>
  <si>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</si>
  <si>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</si>
  <si>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</si>
  <si>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</si>
  <si>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</si>
  <si>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</si>
  <si>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</si>
  <si>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</si>
  <si>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</si>
  <si>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</si>
  <si>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</si>
  <si>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</si>
  <si>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</si>
  <si>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</si>
  <si>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</si>
  <si>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</si>
  <si>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</si>
  <si>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</si>
  <si>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</si>
  <si>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</si>
  <si>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</si>
  <si>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</si>
  <si>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</si>
  <si>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</si>
  <si>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</si>
  <si>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</si>
  <si>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</si>
  <si>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</si>
  <si>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</si>
  <si>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</si>
  <si>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</si>
  <si>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</si>
  <si>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</si>
  <si>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</si>
  <si>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</si>
  <si>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</si>
  <si>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</si>
  <si>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</si>
  <si>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</si>
  <si>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</si>
  <si>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</si>
  <si>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</si>
  <si>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</si>
  <si>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</si>
  <si>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</si>
  <si>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</si>
  <si>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</si>
  <si>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</si>
  <si>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</si>
  <si>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</si>
  <si>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</si>
  <si>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</si>
  <si>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</si>
  <si>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</si>
  <si>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</si>
  <si>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</si>
  <si>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</si>
  <si>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</si>
  <si>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</si>
  <si>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</si>
  <si>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</si>
  <si>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</si>
  <si>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</si>
  <si>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</si>
  <si>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</si>
  <si>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</si>
  <si>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</si>
  <si>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</si>
  <si>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</si>
  <si>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</si>
  <si>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</si>
  <si>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</si>
  <si>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</si>
  <si>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</si>
  <si>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</si>
  <si>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</si>
  <si>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</si>
  <si>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</si>
  <si>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</si>
  <si>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</si>
  <si>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</si>
  <si>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</si>
  <si>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</si>
  <si>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</si>
  <si>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</si>
  <si>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</si>
  <si>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</si>
  <si>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</si>
  <si>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</si>
  <si>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</si>
  <si>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</si>
  <si>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</si>
  <si>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</si>
  <si>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</si>
  <si>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</si>
  <si>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</si>
  <si>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</si>
  <si>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</si>
  <si>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</si>
  <si>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</si>
  <si>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</si>
  <si>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</si>
  <si>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</si>
  <si>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</si>
  <si>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</si>
  <si>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</si>
  <si>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</si>
  <si>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</si>
  <si>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</si>
  <si>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</si>
  <si>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</si>
  <si>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</si>
  <si>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</si>
  <si>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</si>
  <si>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</si>
  <si>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</si>
  <si>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</si>
  <si>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</si>
  <si>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</si>
  <si>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</si>
  <si>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</si>
  <si>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</si>
  <si>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</si>
  <si>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</si>
  <si>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</si>
  <si>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</si>
  <si>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</si>
  <si>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</si>
  <si>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</si>
  <si>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</si>
  <si>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</si>
  <si>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</si>
  <si>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</si>
  <si>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</si>
  <si>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</si>
  <si>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</si>
  <si>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</si>
  <si>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</si>
  <si>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</si>
  <si>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</si>
  <si>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</si>
  <si>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</si>
  <si>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</si>
  <si>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</si>
  <si>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</si>
  <si>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</si>
  <si>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</si>
  <si>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</si>
  <si>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</si>
  <si>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</si>
  <si>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</si>
  <si>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</si>
  <si>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</si>
  <si>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</si>
  <si>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</si>
  <si>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</si>
  <si>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</si>
  <si>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</si>
  <si>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</si>
  <si>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</si>
  <si>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</si>
  <si>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</si>
  <si>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</si>
  <si>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</si>
  <si>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</si>
  <si>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</si>
  <si>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</si>
  <si>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</si>
  <si>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</si>
  <si>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</si>
  <si>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</si>
  <si>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</si>
  <si>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</si>
  <si>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</si>
  <si>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</si>
  <si>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</si>
  <si>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</si>
  <si>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</si>
  <si>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</si>
  <si>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</si>
  <si>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</si>
  <si>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</si>
  <si>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</si>
  <si>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</si>
  <si>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</si>
  <si>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</si>
  <si>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</si>
  <si>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</si>
  <si>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</si>
  <si>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</si>
  <si>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</si>
  <si>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</si>
  <si>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</si>
  <si>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</si>
  <si>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</si>
  <si>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</si>
  <si>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</si>
  <si>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</si>
  <si>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</si>
  <si>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</si>
  <si>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</si>
  <si>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</si>
  <si>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</si>
  <si>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</si>
  <si>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</si>
  <si>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</si>
  <si>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</si>
  <si>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</si>
  <si>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</si>
  <si>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</si>
  <si>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</si>
  <si>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</si>
  <si>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</si>
  <si>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</si>
  <si>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</si>
  <si>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</si>
  <si>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</si>
  <si>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</si>
  <si>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</si>
  <si>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</si>
  <si>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</si>
  <si>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</si>
  <si>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</si>
  <si>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</si>
  <si>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</si>
  <si>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</si>
  <si>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</si>
  <si>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</si>
  <si>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</si>
  <si>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</si>
  <si>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</si>
  <si>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</si>
  <si>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</si>
  <si>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</si>
  <si>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</si>
  <si>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</si>
  <si>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</si>
  <si>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</si>
  <si>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</si>
  <si>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</si>
  <si>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</si>
  <si>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</si>
  <si>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</si>
  <si>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</si>
  <si>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</si>
  <si>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</si>
  <si>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</si>
  <si>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</si>
  <si>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</si>
  <si>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</si>
  <si>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</si>
  <si>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</si>
  <si>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</si>
  <si>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</si>
  <si>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</si>
  <si>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</si>
  <si>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</si>
  <si>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</si>
  <si>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</si>
  <si>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</si>
  <si>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</si>
  <si>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</si>
  <si>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</si>
  <si>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</si>
  <si>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</si>
  <si>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</si>
  <si>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</si>
  <si>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</si>
  <si>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</si>
  <si>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</si>
  <si>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</si>
  <si>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</si>
  <si>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</si>
  <si>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</si>
  <si>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</si>
  <si>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</si>
  <si>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</si>
  <si>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</si>
  <si>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</si>
  <si>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</si>
  <si>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</si>
  <si>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</si>
  <si>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</si>
  <si>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</si>
  <si>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</si>
  <si>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</si>
  <si>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</si>
  <si>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</si>
  <si>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</si>
  <si>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</si>
  <si>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</si>
  <si>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</si>
  <si>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</si>
  <si>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</si>
  <si>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</si>
  <si>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</si>
  <si>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</si>
  <si>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</si>
  <si>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</si>
  <si>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</si>
  <si>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</si>
  <si>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</si>
  <si>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</si>
  <si>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</si>
  <si>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</si>
  <si>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</si>
  <si>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</si>
  <si>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</si>
  <si>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</si>
  <si>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</si>
  <si>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</si>
  <si>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</si>
  <si>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</si>
  <si>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</si>
  <si>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</si>
  <si>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</si>
  <si>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</si>
  <si>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</si>
  <si>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</si>
  <si>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</si>
  <si>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</si>
  <si>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</si>
  <si>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</si>
  <si>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</si>
  <si>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</si>
  <si>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</si>
  <si>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</si>
  <si>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</si>
  <si>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</si>
  <si>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</si>
  <si>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</si>
  <si>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</si>
  <si>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</si>
  <si>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</si>
  <si>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</si>
  <si>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</si>
  <si>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</si>
  <si>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</si>
  <si>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</si>
  <si>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</si>
  <si>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</si>
  <si>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</si>
  <si>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</si>
  <si>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</si>
  <si>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</si>
  <si>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</si>
  <si>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</si>
  <si>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</si>
  <si>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</si>
  <si>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</si>
  <si>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</si>
  <si>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</si>
  <si>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</si>
  <si>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</si>
  <si>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</si>
  <si>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</si>
  <si>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</si>
  <si>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</si>
  <si>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</si>
  <si>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</si>
  <si>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</si>
  <si>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</si>
  <si>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</si>
  <si>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</si>
  <si>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</si>
  <si>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</si>
  <si>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</si>
  <si>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</si>
  <si>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</si>
  <si>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</si>
  <si>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</si>
  <si>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</si>
  <si>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</si>
  <si>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</si>
  <si>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</si>
  <si>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</si>
  <si>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</si>
  <si>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</si>
  <si>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</si>
  <si>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</si>
  <si>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</si>
  <si>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</si>
  <si>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</si>
  <si>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</si>
  <si>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</si>
  <si>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</si>
  <si>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</si>
  <si>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</si>
  <si>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</si>
  <si>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</si>
  <si>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</si>
  <si>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</si>
  <si>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</si>
  <si>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</si>
  <si>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</si>
  <si>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</si>
  <si>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</si>
  <si>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</si>
  <si>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</si>
  <si>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</si>
  <si>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</si>
  <si>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</si>
  <si>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</si>
  <si>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</si>
  <si>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</si>
  <si>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</si>
  <si>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</si>
  <si>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</si>
  <si>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</si>
  <si>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</si>
  <si>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</si>
  <si>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</si>
  <si>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</si>
  <si>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</si>
  <si>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</si>
  <si>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</si>
  <si>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</si>
  <si>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</si>
  <si>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</si>
  <si>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</si>
  <si>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</si>
  <si>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</si>
  <si>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</si>
  <si>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</si>
  <si>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</si>
  <si>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</si>
  <si>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</si>
  <si>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</si>
  <si>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</si>
  <si>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</si>
  <si>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</si>
  <si>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</si>
  <si>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</si>
  <si>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</si>
  <si>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</si>
  <si>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</si>
  <si>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</si>
  <si>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</si>
  <si>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</si>
  <si>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</si>
  <si>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</si>
  <si>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</si>
  <si>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</si>
  <si>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</si>
  <si>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</si>
  <si>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</si>
  <si>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</si>
  <si>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</si>
  <si>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</si>
  <si>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</si>
  <si>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</si>
  <si>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</si>
  <si>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</si>
  <si>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</si>
  <si>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</si>
  <si>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</si>
  <si>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</si>
  <si>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</si>
  <si>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</si>
  <si>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</si>
  <si>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</si>
  <si>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</si>
  <si>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</si>
  <si>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</si>
  <si>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</si>
  <si>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</si>
  <si>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</si>
  <si>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</si>
  <si>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</si>
  <si>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</si>
  <si>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</si>
  <si>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</si>
  <si>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</si>
  <si>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</si>
  <si>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</si>
  <si>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</si>
  <si>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</si>
  <si>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</si>
  <si>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</si>
  <si>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</si>
  <si>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</si>
  <si>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</si>
  <si>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</si>
  <si>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</si>
  <si>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</si>
  <si>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</si>
  <si>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</si>
  <si>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</si>
  <si>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</si>
  <si>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</si>
  <si>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</si>
  <si>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</si>
  <si>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</si>
  <si>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</si>
  <si>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</si>
  <si>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</si>
  <si>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</si>
  <si>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</si>
  <si>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</si>
  <si>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</si>
  <si>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</si>
  <si>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</si>
  <si>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</si>
  <si>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</si>
  <si>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</si>
  <si>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</si>
  <si>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</si>
  <si>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</si>
  <si>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</si>
  <si>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</si>
  <si>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</si>
  <si>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</si>
  <si>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</si>
  <si>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</si>
  <si>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</si>
  <si>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</si>
  <si>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</si>
  <si>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</si>
  <si>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</si>
  <si>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</si>
  <si>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</si>
  <si>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</si>
  <si>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</si>
  <si>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</si>
  <si>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</si>
  <si>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</si>
  <si>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</si>
  <si>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</si>
  <si>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</si>
  <si>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</si>
  <si>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</si>
  <si>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</si>
  <si>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</si>
  <si>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</si>
  <si>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</si>
  <si>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</si>
  <si>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</si>
  <si>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</si>
  <si>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</si>
  <si>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</si>
  <si>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</si>
  <si>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</si>
  <si>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</si>
  <si>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</si>
  <si>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</si>
  <si>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</si>
  <si>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</si>
  <si>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</si>
  <si>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</si>
  <si>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</si>
  <si>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</si>
  <si>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</si>
  <si>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</si>
  <si>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</si>
  <si>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</si>
  <si>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</si>
  <si>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</si>
  <si>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</si>
  <si>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</si>
  <si>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</si>
  <si>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</si>
  <si>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</si>
  <si>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</si>
  <si>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</si>
  <si>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</si>
  <si>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</si>
  <si>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</si>
  <si>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</si>
  <si>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</si>
  <si>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</si>
  <si>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</si>
  <si>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</si>
  <si>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</si>
  <si>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</si>
  <si>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</si>
  <si>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</si>
  <si>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</si>
  <si>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</si>
  <si>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</si>
  <si>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</si>
  <si>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</si>
  <si>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</si>
  <si>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</si>
  <si>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</si>
  <si>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</si>
  <si>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</si>
  <si>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</si>
  <si>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</si>
  <si>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</si>
  <si>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</si>
  <si>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</si>
  <si>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</si>
  <si>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</si>
  <si>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</si>
  <si>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</si>
  <si>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</si>
  <si>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</si>
  <si>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</si>
  <si>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</si>
  <si>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</si>
  <si>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</si>
  <si>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</si>
  <si>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</si>
  <si>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</si>
  <si>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</si>
  <si>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</si>
  <si>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</si>
  <si>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</si>
  <si>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</si>
  <si>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</si>
  <si>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</si>
  <si>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</si>
  <si>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</si>
  <si>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</si>
  <si>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</si>
  <si>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</si>
  <si>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</si>
  <si>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</si>
  <si>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</si>
  <si>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</si>
  <si>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</si>
  <si>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</si>
  <si>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</si>
  <si>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</si>
  <si>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</si>
  <si>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</si>
  <si>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</si>
  <si>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</si>
  <si>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</si>
  <si>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</si>
  <si>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</si>
  <si>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</si>
  <si>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</si>
  <si>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</si>
  <si>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</si>
  <si>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</si>
  <si>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</si>
  <si>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</si>
  <si>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</si>
  <si>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</si>
  <si>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</si>
  <si>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</si>
  <si>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</si>
  <si>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</si>
  <si>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</si>
  <si>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</si>
  <si>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</si>
  <si>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</si>
  <si>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</si>
  <si>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</si>
  <si>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</si>
  <si>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</si>
  <si>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</si>
  <si>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</si>
  <si>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</si>
  <si>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</si>
  <si>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</si>
  <si>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</si>
  <si>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</si>
  <si>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</si>
  <si>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</si>
  <si>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</si>
  <si>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</si>
  <si>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</si>
  <si>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</si>
  <si>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</si>
  <si>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</si>
  <si>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</si>
  <si>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</si>
  <si>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</si>
  <si>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</si>
  <si>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</si>
  <si>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</si>
  <si>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</si>
  <si>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</si>
  <si>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</si>
  <si>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</si>
  <si>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</si>
  <si>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</si>
  <si>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</si>
  <si>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</si>
  <si>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</si>
  <si>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</si>
  <si>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</si>
  <si>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</si>
  <si>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</si>
  <si>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</si>
  <si>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</si>
  <si>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</si>
  <si>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</si>
  <si>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</si>
  <si>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</si>
  <si>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</si>
  <si>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</si>
  <si>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</si>
  <si>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</si>
  <si>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</si>
  <si>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</si>
  <si>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</si>
  <si>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</si>
  <si>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</si>
  <si>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</si>
  <si>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</si>
  <si>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</si>
  <si>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</si>
  <si>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</si>
  <si>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</si>
  <si>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</si>
  <si>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</si>
  <si>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</si>
  <si>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</si>
  <si>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</si>
  <si>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</si>
  <si>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</si>
  <si>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</si>
  <si>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</si>
  <si>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</si>
  <si>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</si>
  <si>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</si>
  <si>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</si>
  <si>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</si>
  <si>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</si>
  <si>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</si>
  <si>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</si>
  <si>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</si>
  <si>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</si>
  <si>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</si>
  <si>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</si>
  <si>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</si>
  <si>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</si>
  <si>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</si>
  <si>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</si>
  <si>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</si>
  <si>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</si>
  <si>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</si>
  <si>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</si>
  <si>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</si>
  <si>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</si>
  <si>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</si>
  <si>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</si>
  <si>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</si>
  <si>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</si>
  <si>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</si>
  <si>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</si>
  <si>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</si>
  <si>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</si>
  <si>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</si>
  <si>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</si>
  <si>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</si>
  <si>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</si>
  <si>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</si>
  <si>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</si>
  <si>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</si>
  <si>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</si>
  <si>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</si>
  <si>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</si>
  <si>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</si>
  <si>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</si>
  <si>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</si>
  <si>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</si>
  <si>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</si>
  <si>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</si>
  <si>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31003</t>
  </si>
  <si>
    <t>BEERNEM</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</si>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</sst>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141396.98875841885</c:v>
                </c:pt>
                <c:pt idx="1">
                  <c:v>69988.729719001902</c:v>
                </c:pt>
                <c:pt idx="2">
                  <c:v>900.88499999999999</c:v>
                </c:pt>
                <c:pt idx="3">
                  <c:v>35862.198564894541</c:v>
                </c:pt>
                <c:pt idx="4">
                  <c:v>42589.873867023423</c:v>
                </c:pt>
                <c:pt idx="5">
                  <c:v>270843.7058287664</c:v>
                </c:pt>
                <c:pt idx="6">
                  <c:v>1016.5677735001145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141396.98875841885</c:v>
                </c:pt>
                <c:pt idx="1">
                  <c:v>69988.729719001902</c:v>
                </c:pt>
                <c:pt idx="2">
                  <c:v>900.88499999999999</c:v>
                </c:pt>
                <c:pt idx="3">
                  <c:v>35862.198564894541</c:v>
                </c:pt>
                <c:pt idx="4">
                  <c:v>42589.873867023423</c:v>
                </c:pt>
                <c:pt idx="5">
                  <c:v>270843.7058287664</c:v>
                </c:pt>
                <c:pt idx="6">
                  <c:v>1016.5677735001145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22789.541835395994</c:v>
                </c:pt>
                <c:pt idx="1">
                  <c:v>12811.860463704563</c:v>
                </c:pt>
                <c:pt idx="2">
                  <c:v>147.36685078916739</c:v>
                </c:pt>
                <c:pt idx="3">
                  <c:v>4979.6368730002614</c:v>
                </c:pt>
                <c:pt idx="4">
                  <c:v>8185.9047339325634</c:v>
                </c:pt>
                <c:pt idx="5">
                  <c:v>67535.45618973927</c:v>
                </c:pt>
                <c:pt idx="6">
                  <c:v>257.1342916301154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22789.541835395994</c:v>
                </c:pt>
                <c:pt idx="1">
                  <c:v>12811.860463704563</c:v>
                </c:pt>
                <c:pt idx="2">
                  <c:v>147.36685078916739</c:v>
                </c:pt>
                <c:pt idx="3">
                  <c:v>4979.6368730002614</c:v>
                </c:pt>
                <c:pt idx="4">
                  <c:v>8185.9047339325634</c:v>
                </c:pt>
                <c:pt idx="5">
                  <c:v>67535.45618973927</c:v>
                </c:pt>
                <c:pt idx="6">
                  <c:v>257.1342916301154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31003</v>
      </c>
      <c r="B6" s="390"/>
      <c r="C6" s="391"/>
    </row>
    <row r="7" spans="1:7" s="388" customFormat="1" ht="15.75" customHeight="1">
      <c r="A7" s="392" t="str">
        <f>txtMunicipality</f>
        <v>BEERNEM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0.16358009156459191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0.16358009156459191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6309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4676.4399999999996</v>
      </c>
      <c r="C14" s="330"/>
      <c r="D14" s="330"/>
      <c r="E14" s="330"/>
      <c r="F14" s="330"/>
    </row>
    <row r="15" spans="1:6">
      <c r="A15" s="1298" t="s">
        <v>183</v>
      </c>
      <c r="B15" s="1299">
        <v>94</v>
      </c>
      <c r="C15" s="330"/>
      <c r="D15" s="330"/>
      <c r="E15" s="330"/>
      <c r="F15" s="330"/>
    </row>
    <row r="16" spans="1:6">
      <c r="A16" s="1298" t="s">
        <v>6</v>
      </c>
      <c r="B16" s="1299">
        <v>4251</v>
      </c>
      <c r="C16" s="330"/>
      <c r="D16" s="330"/>
      <c r="E16" s="330"/>
      <c r="F16" s="330"/>
    </row>
    <row r="17" spans="1:6">
      <c r="A17" s="1298" t="s">
        <v>7</v>
      </c>
      <c r="B17" s="1299">
        <v>1262</v>
      </c>
      <c r="C17" s="330"/>
      <c r="D17" s="330"/>
      <c r="E17" s="330"/>
      <c r="F17" s="330"/>
    </row>
    <row r="18" spans="1:6">
      <c r="A18" s="1298" t="s">
        <v>8</v>
      </c>
      <c r="B18" s="1299">
        <v>3022</v>
      </c>
      <c r="C18" s="330"/>
      <c r="D18" s="330"/>
      <c r="E18" s="330"/>
      <c r="F18" s="330"/>
    </row>
    <row r="19" spans="1:6">
      <c r="A19" s="1298" t="s">
        <v>9</v>
      </c>
      <c r="B19" s="1299">
        <v>3154</v>
      </c>
      <c r="C19" s="330"/>
      <c r="D19" s="330"/>
      <c r="E19" s="330"/>
      <c r="F19" s="330"/>
    </row>
    <row r="20" spans="1:6">
      <c r="A20" s="1298" t="s">
        <v>10</v>
      </c>
      <c r="B20" s="1299">
        <v>1800</v>
      </c>
      <c r="C20" s="330"/>
      <c r="D20" s="330"/>
      <c r="E20" s="330"/>
      <c r="F20" s="330"/>
    </row>
    <row r="21" spans="1:6">
      <c r="A21" s="1298" t="s">
        <v>11</v>
      </c>
      <c r="B21" s="1299">
        <v>15789</v>
      </c>
      <c r="C21" s="330"/>
      <c r="D21" s="330"/>
      <c r="E21" s="330"/>
      <c r="F21" s="330"/>
    </row>
    <row r="22" spans="1:6">
      <c r="A22" s="1298" t="s">
        <v>12</v>
      </c>
      <c r="B22" s="1299">
        <v>37627</v>
      </c>
      <c r="C22" s="330"/>
      <c r="D22" s="330"/>
      <c r="E22" s="330"/>
      <c r="F22" s="330"/>
    </row>
    <row r="23" spans="1:6">
      <c r="A23" s="1298" t="s">
        <v>13</v>
      </c>
      <c r="B23" s="1299">
        <v>605</v>
      </c>
      <c r="C23" s="330"/>
      <c r="D23" s="330"/>
      <c r="E23" s="330"/>
      <c r="F23" s="330"/>
    </row>
    <row r="24" spans="1:6">
      <c r="A24" s="1298" t="s">
        <v>14</v>
      </c>
      <c r="B24" s="1299">
        <v>20</v>
      </c>
      <c r="C24" s="330"/>
      <c r="D24" s="330"/>
      <c r="E24" s="330"/>
      <c r="F24" s="330"/>
    </row>
    <row r="25" spans="1:6">
      <c r="A25" s="1298" t="s">
        <v>15</v>
      </c>
      <c r="B25" s="1299">
        <v>3616</v>
      </c>
      <c r="C25" s="330"/>
      <c r="D25" s="330"/>
      <c r="E25" s="330"/>
      <c r="F25" s="330"/>
    </row>
    <row r="26" spans="1:6">
      <c r="A26" s="1298" t="s">
        <v>16</v>
      </c>
      <c r="B26" s="1299">
        <v>669</v>
      </c>
      <c r="C26" s="330"/>
      <c r="D26" s="330"/>
      <c r="E26" s="330"/>
      <c r="F26" s="330"/>
    </row>
    <row r="27" spans="1:6">
      <c r="A27" s="1298" t="s">
        <v>17</v>
      </c>
      <c r="B27" s="1299">
        <v>5</v>
      </c>
      <c r="C27" s="330"/>
      <c r="D27" s="330"/>
      <c r="E27" s="330"/>
      <c r="F27" s="330"/>
    </row>
    <row r="28" spans="1:6" s="43" customFormat="1">
      <c r="A28" s="1300" t="s">
        <v>18</v>
      </c>
      <c r="B28" s="1301">
        <v>125231</v>
      </c>
      <c r="C28" s="336"/>
      <c r="D28" s="336"/>
      <c r="E28" s="336"/>
      <c r="F28" s="336"/>
    </row>
    <row r="29" spans="1:6">
      <c r="A29" s="1300" t="s">
        <v>705</v>
      </c>
      <c r="B29" s="1301">
        <v>254</v>
      </c>
      <c r="C29" s="336"/>
      <c r="D29" s="336"/>
      <c r="E29" s="336"/>
      <c r="F29" s="336"/>
    </row>
    <row r="30" spans="1:6">
      <c r="A30" s="1293" t="s">
        <v>706</v>
      </c>
      <c r="B30" s="1302">
        <v>66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6335</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9255</v>
      </c>
    </row>
    <row r="39" spans="1:6">
      <c r="A39" s="1298" t="s">
        <v>29</v>
      </c>
      <c r="B39" s="1298" t="s">
        <v>30</v>
      </c>
      <c r="C39" s="1299">
        <v>3653</v>
      </c>
      <c r="D39" s="1299">
        <v>52195093.009999998</v>
      </c>
      <c r="E39" s="1299">
        <v>5873</v>
      </c>
      <c r="F39" s="1299">
        <v>24004634.309999999</v>
      </c>
    </row>
    <row r="40" spans="1:6">
      <c r="A40" s="1298" t="s">
        <v>29</v>
      </c>
      <c r="B40" s="1298" t="s">
        <v>28</v>
      </c>
      <c r="C40" s="1299">
        <v>0</v>
      </c>
      <c r="D40" s="1299">
        <v>0</v>
      </c>
      <c r="E40" s="1299">
        <v>0</v>
      </c>
      <c r="F40" s="1299">
        <v>0</v>
      </c>
    </row>
    <row r="41" spans="1:6">
      <c r="A41" s="1298" t="s">
        <v>31</v>
      </c>
      <c r="B41" s="1298" t="s">
        <v>32</v>
      </c>
      <c r="C41" s="1299">
        <v>79</v>
      </c>
      <c r="D41" s="1299">
        <v>1485415.7139999999</v>
      </c>
      <c r="E41" s="1299">
        <v>184</v>
      </c>
      <c r="F41" s="1299">
        <v>4807137.9270000001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9</v>
      </c>
      <c r="D44" s="1299">
        <v>336088.95</v>
      </c>
      <c r="E44" s="1299">
        <v>21</v>
      </c>
      <c r="F44" s="1299">
        <v>3197850.0290000001</v>
      </c>
    </row>
    <row r="45" spans="1:6">
      <c r="A45" s="1298" t="s">
        <v>31</v>
      </c>
      <c r="B45" s="1298" t="s">
        <v>36</v>
      </c>
      <c r="C45" s="1299">
        <v>3</v>
      </c>
      <c r="D45" s="1299">
        <v>67493.216</v>
      </c>
      <c r="E45" s="1299">
        <v>4</v>
      </c>
      <c r="F45" s="1299">
        <v>22368.588</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53682.646999999997</v>
      </c>
    </row>
    <row r="48" spans="1:6">
      <c r="A48" s="1298" t="s">
        <v>31</v>
      </c>
      <c r="B48" s="1298" t="s">
        <v>28</v>
      </c>
      <c r="C48" s="1299">
        <v>27</v>
      </c>
      <c r="D48" s="1299">
        <v>16919084.210000001</v>
      </c>
      <c r="E48" s="1299">
        <v>37</v>
      </c>
      <c r="F48" s="1299">
        <v>4269381.9970000004</v>
      </c>
    </row>
    <row r="49" spans="1:6">
      <c r="A49" s="1298" t="s">
        <v>31</v>
      </c>
      <c r="B49" s="1298" t="s">
        <v>39</v>
      </c>
      <c r="C49" s="1299">
        <v>0</v>
      </c>
      <c r="D49" s="1299">
        <v>0</v>
      </c>
      <c r="E49" s="1299">
        <v>3</v>
      </c>
      <c r="F49" s="1299">
        <v>20019.977999999999</v>
      </c>
    </row>
    <row r="50" spans="1:6">
      <c r="A50" s="1298" t="s">
        <v>31</v>
      </c>
      <c r="B50" s="1298" t="s">
        <v>40</v>
      </c>
      <c r="C50" s="1299">
        <v>8</v>
      </c>
      <c r="D50" s="1299">
        <v>1323798.7590000001</v>
      </c>
      <c r="E50" s="1299">
        <v>19</v>
      </c>
      <c r="F50" s="1299">
        <v>4344124.3650000002</v>
      </c>
    </row>
    <row r="51" spans="1:6">
      <c r="A51" s="1298" t="s">
        <v>41</v>
      </c>
      <c r="B51" s="1298" t="s">
        <v>42</v>
      </c>
      <c r="C51" s="1299">
        <v>9</v>
      </c>
      <c r="D51" s="1299">
        <v>173909.06</v>
      </c>
      <c r="E51" s="1299">
        <v>189</v>
      </c>
      <c r="F51" s="1299">
        <v>4048846.5090000001</v>
      </c>
    </row>
    <row r="52" spans="1:6">
      <c r="A52" s="1298" t="s">
        <v>41</v>
      </c>
      <c r="B52" s="1298" t="s">
        <v>28</v>
      </c>
      <c r="C52" s="1299">
        <v>3</v>
      </c>
      <c r="D52" s="1299">
        <v>66093.384999999995</v>
      </c>
      <c r="E52" s="1299">
        <v>3</v>
      </c>
      <c r="F52" s="1299">
        <v>24350.772000000001</v>
      </c>
    </row>
    <row r="53" spans="1:6">
      <c r="A53" s="1298" t="s">
        <v>43</v>
      </c>
      <c r="B53" s="1298" t="s">
        <v>44</v>
      </c>
      <c r="C53" s="1299">
        <v>99</v>
      </c>
      <c r="D53" s="1299">
        <v>1721315.4210000001</v>
      </c>
      <c r="E53" s="1299">
        <v>211</v>
      </c>
      <c r="F53" s="1299">
        <v>1039752.058</v>
      </c>
    </row>
    <row r="54" spans="1:6">
      <c r="A54" s="1298" t="s">
        <v>45</v>
      </c>
      <c r="B54" s="1298" t="s">
        <v>46</v>
      </c>
      <c r="C54" s="1299">
        <v>0</v>
      </c>
      <c r="D54" s="1299">
        <v>0</v>
      </c>
      <c r="E54" s="1299">
        <v>1</v>
      </c>
      <c r="F54" s="1299">
        <v>900885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50</v>
      </c>
      <c r="D57" s="1299">
        <v>22347605.140000001</v>
      </c>
      <c r="E57" s="1299">
        <v>136</v>
      </c>
      <c r="F57" s="1299">
        <v>5111721.8540000003</v>
      </c>
    </row>
    <row r="58" spans="1:6">
      <c r="A58" s="1298" t="s">
        <v>48</v>
      </c>
      <c r="B58" s="1298" t="s">
        <v>50</v>
      </c>
      <c r="C58" s="1299">
        <v>49</v>
      </c>
      <c r="D58" s="1299">
        <v>2601079.0720000002</v>
      </c>
      <c r="E58" s="1299">
        <v>68</v>
      </c>
      <c r="F58" s="1299">
        <v>776516.60400000005</v>
      </c>
    </row>
    <row r="59" spans="1:6">
      <c r="A59" s="1298" t="s">
        <v>48</v>
      </c>
      <c r="B59" s="1298" t="s">
        <v>51</v>
      </c>
      <c r="C59" s="1299">
        <v>65</v>
      </c>
      <c r="D59" s="1299">
        <v>2466501.199</v>
      </c>
      <c r="E59" s="1299">
        <v>157</v>
      </c>
      <c r="F59" s="1299">
        <v>5645045.0710000005</v>
      </c>
    </row>
    <row r="60" spans="1:6">
      <c r="A60" s="1298" t="s">
        <v>48</v>
      </c>
      <c r="B60" s="1298" t="s">
        <v>52</v>
      </c>
      <c r="C60" s="1299">
        <v>31</v>
      </c>
      <c r="D60" s="1299">
        <v>1281909.304</v>
      </c>
      <c r="E60" s="1299">
        <v>67</v>
      </c>
      <c r="F60" s="1299">
        <v>3677317.8450000002</v>
      </c>
    </row>
    <row r="61" spans="1:6">
      <c r="A61" s="1298" t="s">
        <v>48</v>
      </c>
      <c r="B61" s="1298" t="s">
        <v>53</v>
      </c>
      <c r="C61" s="1299">
        <v>126</v>
      </c>
      <c r="D61" s="1299">
        <v>3643542.3229999999</v>
      </c>
      <c r="E61" s="1299">
        <v>249</v>
      </c>
      <c r="F61" s="1299">
        <v>2703443.6519999998</v>
      </c>
    </row>
    <row r="62" spans="1:6">
      <c r="A62" s="1298" t="s">
        <v>48</v>
      </c>
      <c r="B62" s="1298" t="s">
        <v>54</v>
      </c>
      <c r="C62" s="1299">
        <v>8</v>
      </c>
      <c r="D62" s="1299">
        <v>559346.73600000003</v>
      </c>
      <c r="E62" s="1299">
        <v>11</v>
      </c>
      <c r="F62" s="1299">
        <v>177482.28099999999</v>
      </c>
    </row>
    <row r="63" spans="1:6">
      <c r="A63" s="1298" t="s">
        <v>48</v>
      </c>
      <c r="B63" s="1298" t="s">
        <v>28</v>
      </c>
      <c r="C63" s="1299">
        <v>85</v>
      </c>
      <c r="D63" s="1299">
        <v>16163384.460000001</v>
      </c>
      <c r="E63" s="1299">
        <v>91</v>
      </c>
      <c r="F63" s="1299">
        <v>1402867.027</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17</v>
      </c>
      <c r="F66" s="1299">
        <v>344221.95299999998</v>
      </c>
    </row>
    <row r="67" spans="1:6">
      <c r="A67" s="1300" t="s">
        <v>55</v>
      </c>
      <c r="B67" s="1300" t="s">
        <v>58</v>
      </c>
      <c r="C67" s="1299">
        <v>0</v>
      </c>
      <c r="D67" s="1299">
        <v>0</v>
      </c>
      <c r="E67" s="1299">
        <v>0</v>
      </c>
      <c r="F67" s="1299">
        <v>0</v>
      </c>
    </row>
    <row r="68" spans="1:6">
      <c r="A68" s="1293" t="s">
        <v>55</v>
      </c>
      <c r="B68" s="1293" t="s">
        <v>59</v>
      </c>
      <c r="C68" s="1302">
        <v>8</v>
      </c>
      <c r="D68" s="1302">
        <v>148082.40400000001</v>
      </c>
      <c r="E68" s="1302">
        <v>20</v>
      </c>
      <c r="F68" s="1302">
        <v>135184.68599999999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57951100</v>
      </c>
      <c r="E73" s="450"/>
      <c r="F73" s="330"/>
    </row>
    <row r="74" spans="1:6">
      <c r="A74" s="1298" t="s">
        <v>63</v>
      </c>
      <c r="B74" s="1298" t="s">
        <v>647</v>
      </c>
      <c r="C74" s="1312" t="s">
        <v>649</v>
      </c>
      <c r="D74" s="1313">
        <v>5248706</v>
      </c>
      <c r="E74" s="450"/>
      <c r="F74" s="330"/>
    </row>
    <row r="75" spans="1:6">
      <c r="A75" s="1298" t="s">
        <v>64</v>
      </c>
      <c r="B75" s="1298" t="s">
        <v>646</v>
      </c>
      <c r="C75" s="1312" t="s">
        <v>650</v>
      </c>
      <c r="D75" s="1313">
        <v>25782934</v>
      </c>
      <c r="E75" s="450"/>
      <c r="F75" s="330"/>
    </row>
    <row r="76" spans="1:6">
      <c r="A76" s="1298" t="s">
        <v>64</v>
      </c>
      <c r="B76" s="1298" t="s">
        <v>647</v>
      </c>
      <c r="C76" s="1312" t="s">
        <v>651</v>
      </c>
      <c r="D76" s="1313">
        <v>2553165</v>
      </c>
      <c r="E76" s="450"/>
      <c r="F76" s="330"/>
    </row>
    <row r="77" spans="1:6">
      <c r="A77" s="1298" t="s">
        <v>65</v>
      </c>
      <c r="B77" s="1298" t="s">
        <v>646</v>
      </c>
      <c r="C77" s="1312" t="s">
        <v>652</v>
      </c>
      <c r="D77" s="1313">
        <v>165363399</v>
      </c>
      <c r="E77" s="450"/>
      <c r="F77" s="330"/>
    </row>
    <row r="78" spans="1:6">
      <c r="A78" s="1293" t="s">
        <v>65</v>
      </c>
      <c r="B78" s="1293" t="s">
        <v>647</v>
      </c>
      <c r="C78" s="1293" t="s">
        <v>653</v>
      </c>
      <c r="D78" s="1314">
        <v>29332210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279056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4706.6707348770096</v>
      </c>
      <c r="C91" s="330"/>
      <c r="D91" s="330"/>
      <c r="E91" s="330"/>
      <c r="F91" s="330"/>
    </row>
    <row r="92" spans="1:6">
      <c r="A92" s="1293" t="s">
        <v>68</v>
      </c>
      <c r="B92" s="1294">
        <v>2604.6300654674237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1822</v>
      </c>
      <c r="C97" s="330"/>
      <c r="D97" s="330"/>
      <c r="E97" s="330"/>
      <c r="F97" s="330"/>
    </row>
    <row r="98" spans="1:6">
      <c r="A98" s="1298" t="s">
        <v>71</v>
      </c>
      <c r="B98" s="1299">
        <v>0</v>
      </c>
      <c r="C98" s="330"/>
      <c r="D98" s="330"/>
      <c r="E98" s="330"/>
      <c r="F98" s="330"/>
    </row>
    <row r="99" spans="1:6">
      <c r="A99" s="1298" t="s">
        <v>72</v>
      </c>
      <c r="B99" s="1299">
        <v>231</v>
      </c>
      <c r="C99" s="330"/>
      <c r="D99" s="330"/>
      <c r="E99" s="330"/>
      <c r="F99" s="330"/>
    </row>
    <row r="100" spans="1:6">
      <c r="A100" s="1298" t="s">
        <v>73</v>
      </c>
      <c r="B100" s="1299">
        <v>578</v>
      </c>
      <c r="C100" s="330"/>
      <c r="D100" s="330"/>
      <c r="E100" s="330"/>
      <c r="F100" s="330"/>
    </row>
    <row r="101" spans="1:6">
      <c r="A101" s="1298" t="s">
        <v>74</v>
      </c>
      <c r="B101" s="1299">
        <v>208</v>
      </c>
      <c r="C101" s="330"/>
      <c r="D101" s="330"/>
      <c r="E101" s="330"/>
      <c r="F101" s="330"/>
    </row>
    <row r="102" spans="1:6">
      <c r="A102" s="1298" t="s">
        <v>75</v>
      </c>
      <c r="B102" s="1299">
        <v>118</v>
      </c>
      <c r="C102" s="330"/>
      <c r="D102" s="330"/>
      <c r="E102" s="330"/>
      <c r="F102" s="330"/>
    </row>
    <row r="103" spans="1:6">
      <c r="A103" s="1298" t="s">
        <v>76</v>
      </c>
      <c r="B103" s="1299">
        <v>262</v>
      </c>
      <c r="C103" s="330"/>
      <c r="D103" s="330"/>
      <c r="E103" s="330"/>
      <c r="F103" s="330"/>
    </row>
    <row r="104" spans="1:6">
      <c r="A104" s="1298" t="s">
        <v>77</v>
      </c>
      <c r="B104" s="1299">
        <v>2094</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38</v>
      </c>
      <c r="C123" s="1299">
        <v>36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332</v>
      </c>
      <c r="C129" s="330"/>
      <c r="D129" s="330"/>
      <c r="E129" s="330"/>
      <c r="F129" s="330"/>
    </row>
    <row r="130" spans="1:6">
      <c r="A130" s="1298" t="s">
        <v>294</v>
      </c>
      <c r="B130" s="1299">
        <v>8</v>
      </c>
      <c r="C130" s="330"/>
      <c r="D130" s="330"/>
      <c r="E130" s="330"/>
      <c r="F130" s="330"/>
    </row>
    <row r="131" spans="1:6">
      <c r="A131" s="1298" t="s">
        <v>295</v>
      </c>
      <c r="B131" s="1299">
        <v>2</v>
      </c>
      <c r="C131" s="330"/>
      <c r="D131" s="330"/>
      <c r="E131" s="330"/>
      <c r="F131" s="330"/>
    </row>
    <row r="132" spans="1:6">
      <c r="A132" s="1293" t="s">
        <v>296</v>
      </c>
      <c r="B132" s="1294">
        <v>42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71053.232895095702</v>
      </c>
      <c r="C3" s="43" t="s">
        <v>169</v>
      </c>
      <c r="D3" s="43"/>
      <c r="E3" s="154"/>
      <c r="F3" s="43"/>
      <c r="G3" s="43"/>
      <c r="H3" s="43"/>
      <c r="I3" s="43"/>
      <c r="J3" s="43"/>
      <c r="K3" s="96"/>
    </row>
    <row r="4" spans="1:11">
      <c r="A4" s="358" t="s">
        <v>170</v>
      </c>
      <c r="B4" s="49">
        <f>IF(ISERROR('SEAP template'!B78+'SEAP template'!C78),0,'SEAP template'!B78+'SEAP template'!C78)</f>
        <v>18460.950800344435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0.16358009156459191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15928.071428571429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900.88499999999999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900.88499999999999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0.16358009156459191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147.36685078916739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24004.634309999998</v>
      </c>
      <c r="C5" s="17">
        <f>IF(ISERROR('Eigen informatie GS &amp; warmtenet'!B59),0,'Eigen informatie GS &amp; warmtenet'!B59)</f>
        <v>0</v>
      </c>
      <c r="D5" s="30">
        <f>(SUM(HH_hh_gas_kWh,HH_rest_gas_kWh)/1000)*0.902</f>
        <v>47079.973895019997</v>
      </c>
      <c r="E5" s="17">
        <f>B46*B57</f>
        <v>25299.563081159984</v>
      </c>
      <c r="F5" s="17">
        <f>B51*B62</f>
        <v>9258.3049205704865</v>
      </c>
      <c r="G5" s="18"/>
      <c r="H5" s="17"/>
      <c r="I5" s="17"/>
      <c r="J5" s="17">
        <f>B50*B61+C50*C61</f>
        <v>1039.0422802440744</v>
      </c>
      <c r="K5" s="17"/>
      <c r="L5" s="17"/>
      <c r="M5" s="17"/>
      <c r="N5" s="17">
        <f>B48*B59+C48*C59</f>
        <v>28423.468249671016</v>
      </c>
      <c r="O5" s="17">
        <f>B69*B70*B71</f>
        <v>732.08058295381477</v>
      </c>
      <c r="P5" s="17">
        <f>B77*B78*B79/1000-B77*B78*B79/1000/B80</f>
        <v>853.25070392248676</v>
      </c>
    </row>
    <row r="6" spans="1:16">
      <c r="A6" s="16" t="s">
        <v>611</v>
      </c>
      <c r="B6" s="783">
        <f>kWh_PV_kleiner_dan_10kW</f>
        <v>4706.6707348770096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28711.305044877008</v>
      </c>
      <c r="C8" s="21">
        <f>C5</f>
        <v>0</v>
      </c>
      <c r="D8" s="21">
        <f>D5</f>
        <v>47079.973895019997</v>
      </c>
      <c r="E8" s="21">
        <f>E5</f>
        <v>25299.563081159984</v>
      </c>
      <c r="F8" s="21">
        <f>F5</f>
        <v>9258.3049205704865</v>
      </c>
      <c r="G8" s="21"/>
      <c r="H8" s="21"/>
      <c r="I8" s="21"/>
      <c r="J8" s="21">
        <f>J5</f>
        <v>1039.0422802440744</v>
      </c>
      <c r="K8" s="21"/>
      <c r="L8" s="21">
        <f>L5</f>
        <v>0</v>
      </c>
      <c r="M8" s="21">
        <f>M5</f>
        <v>0</v>
      </c>
      <c r="N8" s="21">
        <f>N5</f>
        <v>28423.468249671016</v>
      </c>
      <c r="O8" s="21">
        <f>O5</f>
        <v>732.08058295381477</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0.16358009156459191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4696.5979081799105</v>
      </c>
      <c r="C12" s="23">
        <f ca="1">C10*C8</f>
        <v>0</v>
      </c>
      <c r="D12" s="23">
        <f>D8*D10</f>
        <v>9510.1547267940405</v>
      </c>
      <c r="E12" s="23">
        <f>E10*E8</f>
        <v>5743.0008194233169</v>
      </c>
      <c r="F12" s="23">
        <f>F10*F8</f>
        <v>2471.9674137923203</v>
      </c>
      <c r="G12" s="23"/>
      <c r="H12" s="23"/>
      <c r="I12" s="23"/>
      <c r="J12" s="23">
        <f>J10*J8</f>
        <v>367.82096720640232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6309</v>
      </c>
      <c r="C28" s="36"/>
      <c r="D28" s="228"/>
    </row>
    <row r="29" spans="1:7" s="15" customFormat="1">
      <c r="A29" s="230" t="s">
        <v>819</v>
      </c>
      <c r="B29" s="37">
        <f>SUM(HH_hh_gas_aantal,HH_rest_gas_aantal)</f>
        <v>3653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3653</v>
      </c>
      <c r="C32" s="167">
        <f>IF(ISERROR(B32/SUM($B$32,$B$34,$B$35,$B$36,$B$38,$B$39)*100),0,B32/SUM($B$32,$B$34,$B$35,$B$36,$B$38,$B$39)*100)</f>
        <v>58.65446371226718</v>
      </c>
      <c r="D32" s="233"/>
      <c r="G32" s="15"/>
    </row>
    <row r="33" spans="1:7">
      <c r="A33" s="171" t="s">
        <v>71</v>
      </c>
      <c r="B33" s="34" t="s">
        <v>110</v>
      </c>
      <c r="C33" s="167"/>
      <c r="D33" s="233"/>
      <c r="G33" s="15"/>
    </row>
    <row r="34" spans="1:7">
      <c r="A34" s="171" t="s">
        <v>72</v>
      </c>
      <c r="B34" s="33">
        <f>IF((($B$28-$B$32-$B$39-$B$77-$B$38)*C20/100)&lt;0,0,($B$28-$B$32-$B$39-$B$77-$B$38)*C20/100)</f>
        <v>465.63421828908554</v>
      </c>
      <c r="C34" s="167">
        <f>IF(ISERROR(B34/SUM($B$32,$B$34,$B$35,$B$36,$B$38,$B$39)*100),0,B34/SUM($B$32,$B$34,$B$35,$B$36,$B$38,$B$39)*100)</f>
        <v>7.4764646481869868</v>
      </c>
      <c r="D34" s="233"/>
      <c r="G34" s="15"/>
    </row>
    <row r="35" spans="1:7">
      <c r="A35" s="171" t="s">
        <v>73</v>
      </c>
      <c r="B35" s="33">
        <f>IF((($B$28-$B$32-$B$39-$B$77-$B$38)*C21/100)&lt;0,0,($B$28-$B$32-$B$39-$B$77-$B$38)*C21/100)</f>
        <v>1165.0934119960666</v>
      </c>
      <c r="C35" s="167">
        <f>IF(ISERROR(B35/SUM($B$32,$B$34,$B$35,$B$36,$B$38,$B$39)*100),0,B35/SUM($B$32,$B$34,$B$35,$B$36,$B$38,$B$39)*100)</f>
        <v>18.707344444381288</v>
      </c>
      <c r="D35" s="233"/>
      <c r="G35" s="15"/>
    </row>
    <row r="36" spans="1:7">
      <c r="A36" s="171" t="s">
        <v>74</v>
      </c>
      <c r="B36" s="33">
        <f>IF((($B$28-$B$32-$B$39-$B$77-$B$38)*C22/100)&lt;0,0,($B$28-$B$32-$B$39-$B$77-$B$38)*C22/100)</f>
        <v>419.27236971484751</v>
      </c>
      <c r="C36" s="167">
        <f>IF(ISERROR(B36/SUM($B$32,$B$34,$B$35,$B$36,$B$38,$B$39)*100),0,B36/SUM($B$32,$B$34,$B$35,$B$36,$B$38,$B$39)*100)</f>
        <v>6.732054748151052</v>
      </c>
      <c r="D36" s="233"/>
      <c r="G36" s="15"/>
    </row>
    <row r="37" spans="1:7">
      <c r="A37" s="171" t="s">
        <v>75</v>
      </c>
      <c r="B37" s="34" t="s">
        <v>110</v>
      </c>
      <c r="C37" s="167"/>
      <c r="D37" s="173"/>
      <c r="G37" s="15"/>
    </row>
    <row r="38" spans="1:7">
      <c r="A38" s="171" t="s">
        <v>76</v>
      </c>
      <c r="B38" s="33">
        <f>IF((B24-(B29-B18)*0.1)&lt;0,0,B24-(B29-B18)*0.1)</f>
        <v>78.899999999999977</v>
      </c>
      <c r="C38" s="167">
        <f>IF(ISERROR(B38/SUM($B$32,$B$34,$B$35,$B$36,$B$38,$B$39)*100),0,B38/SUM($B$32,$B$34,$B$35,$B$36,$B$38,$B$39)*100)</f>
        <v>1.2668593448940266</v>
      </c>
      <c r="D38" s="234"/>
      <c r="G38" s="15"/>
    </row>
    <row r="39" spans="1:7">
      <c r="A39" s="171" t="s">
        <v>77</v>
      </c>
      <c r="B39" s="33">
        <f>IF((B25-(B29-B18))&lt;0,0,B25-(B29-B18)*0.9)</f>
        <v>446.09999999999991</v>
      </c>
      <c r="C39" s="167">
        <f>IF(ISERROR(B39/SUM($B$32,$B$34,$B$35,$B$36,$B$38,$B$39)*100),0,B39/SUM($B$32,$B$34,$B$35,$B$36,$B$38,$B$39)*100)</f>
        <v>7.1628131021194585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3653</v>
      </c>
      <c r="C44" s="34" t="s">
        <v>110</v>
      </c>
      <c r="D44" s="174"/>
    </row>
    <row r="45" spans="1:7">
      <c r="A45" s="171" t="s">
        <v>71</v>
      </c>
      <c r="B45" s="33" t="str">
        <f t="shared" si="0"/>
        <v>-</v>
      </c>
      <c r="C45" s="34" t="s">
        <v>110</v>
      </c>
      <c r="D45" s="174"/>
    </row>
    <row r="46" spans="1:7">
      <c r="A46" s="171" t="s">
        <v>72</v>
      </c>
      <c r="B46" s="33">
        <f t="shared" si="0"/>
        <v>465.63421828908554</v>
      </c>
      <c r="C46" s="34" t="s">
        <v>110</v>
      </c>
      <c r="D46" s="174"/>
    </row>
    <row r="47" spans="1:7">
      <c r="A47" s="171" t="s">
        <v>73</v>
      </c>
      <c r="B47" s="33">
        <f t="shared" si="0"/>
        <v>1165.0934119960666</v>
      </c>
      <c r="C47" s="34" t="s">
        <v>110</v>
      </c>
      <c r="D47" s="174"/>
    </row>
    <row r="48" spans="1:7">
      <c r="A48" s="171" t="s">
        <v>74</v>
      </c>
      <c r="B48" s="33">
        <f t="shared" si="0"/>
        <v>419.27236971484751</v>
      </c>
      <c r="C48" s="33">
        <f>B48*10</f>
        <v>4192.7236971484754</v>
      </c>
      <c r="D48" s="234"/>
    </row>
    <row r="49" spans="1:6">
      <c r="A49" s="171" t="s">
        <v>75</v>
      </c>
      <c r="B49" s="33" t="str">
        <f t="shared" si="0"/>
        <v>-</v>
      </c>
      <c r="C49" s="34" t="s">
        <v>110</v>
      </c>
      <c r="D49" s="234"/>
    </row>
    <row r="50" spans="1:6">
      <c r="A50" s="171" t="s">
        <v>76</v>
      </c>
      <c r="B50" s="33">
        <f t="shared" si="0"/>
        <v>78.899999999999977</v>
      </c>
      <c r="C50" s="33">
        <f>B50*2</f>
        <v>157.79999999999995</v>
      </c>
      <c r="D50" s="234"/>
    </row>
    <row r="51" spans="1:6">
      <c r="A51" s="171" t="s">
        <v>77</v>
      </c>
      <c r="B51" s="33">
        <f t="shared" si="0"/>
        <v>446.09999999999991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19494.394334000001</v>
      </c>
      <c r="C5" s="17">
        <f>IF(ISERROR('Eigen informatie GS &amp; warmtenet'!B60),0,'Eigen informatie GS &amp; warmtenet'!B60)</f>
        <v>0</v>
      </c>
      <c r="D5" s="30">
        <f>SUM(D6:D12)</f>
        <v>44255.158147068003</v>
      </c>
      <c r="E5" s="17">
        <f>SUM(E6:E12)</f>
        <v>244.70581354841843</v>
      </c>
      <c r="F5" s="17">
        <f>SUM(F6:F12)</f>
        <v>2351.4749716155238</v>
      </c>
      <c r="G5" s="18"/>
      <c r="H5" s="17"/>
      <c r="I5" s="17"/>
      <c r="J5" s="17">
        <f>SUM(J6:J12)</f>
        <v>8.9465389854047395E-2</v>
      </c>
      <c r="K5" s="17"/>
      <c r="L5" s="17"/>
      <c r="M5" s="17"/>
      <c r="N5" s="17">
        <f>SUM(N6:N12)</f>
        <v>3498.6506246403769</v>
      </c>
      <c r="O5" s="17">
        <f>B38*B39*B40</f>
        <v>39.178086126729234</v>
      </c>
      <c r="P5" s="17">
        <f>B46*B47*B48/1000-B46*B47*B48/1000/B49</f>
        <v>105.07827661299004</v>
      </c>
      <c r="R5" s="32"/>
    </row>
    <row r="6" spans="1:18">
      <c r="A6" s="32" t="s">
        <v>53</v>
      </c>
      <c r="B6" s="37">
        <f>B26</f>
        <v>2703.4436519999999</v>
      </c>
      <c r="C6" s="33"/>
      <c r="D6" s="37">
        <f>IF(ISERROR(TER_kantoor_gas_kWh/1000),0,TER_kantoor_gas_kWh/1000)*0.902</f>
        <v>3286.475175346</v>
      </c>
      <c r="E6" s="33">
        <f>$C$26*'E Balans VL '!I12/100/3.6*1000000</f>
        <v>21.753744275321193</v>
      </c>
      <c r="F6" s="33">
        <f>$C$26*('E Balans VL '!L12+'E Balans VL '!N12)/100/3.6*1000000</f>
        <v>330.52442577371556</v>
      </c>
      <c r="G6" s="34"/>
      <c r="H6" s="33"/>
      <c r="I6" s="33"/>
      <c r="J6" s="33">
        <f>$C$26*('E Balans VL '!D12+'E Balans VL '!E12)/100/3.6*1000000</f>
        <v>0</v>
      </c>
      <c r="K6" s="33"/>
      <c r="L6" s="33"/>
      <c r="M6" s="33"/>
      <c r="N6" s="33">
        <f>$C$26*'E Balans VL '!Y12/100/3.6*1000000</f>
        <v>1.4529678327594178</v>
      </c>
      <c r="O6" s="33"/>
      <c r="P6" s="33"/>
      <c r="R6" s="32"/>
    </row>
    <row r="7" spans="1:18">
      <c r="A7" s="32" t="s">
        <v>52</v>
      </c>
      <c r="B7" s="37">
        <f t="shared" ref="B7:B12" si="0">B27</f>
        <v>3677.317845</v>
      </c>
      <c r="C7" s="33"/>
      <c r="D7" s="37">
        <f>IF(ISERROR(TER_horeca_gas_kWh/1000),0,TER_horeca_gas_kWh/1000)*0.902</f>
        <v>1156.282192208</v>
      </c>
      <c r="E7" s="33">
        <f>$C$27*'E Balans VL '!I9/100/3.6*1000000</f>
        <v>39.485363741356899</v>
      </c>
      <c r="F7" s="33">
        <f>$C$27*('E Balans VL '!L9+'E Balans VL '!N9)/100/3.6*1000000</f>
        <v>442.29216660309635</v>
      </c>
      <c r="G7" s="34"/>
      <c r="H7" s="33"/>
      <c r="I7" s="33"/>
      <c r="J7" s="33">
        <f>$C$27*('E Balans VL '!D9+'E Balans VL '!E9)/100/3.6*1000000</f>
        <v>0</v>
      </c>
      <c r="K7" s="33"/>
      <c r="L7" s="33"/>
      <c r="M7" s="33"/>
      <c r="N7" s="33">
        <f>$C$27*'E Balans VL '!Y9/100/3.6*1000000</f>
        <v>0.55130447554532702</v>
      </c>
      <c r="O7" s="33"/>
      <c r="P7" s="33"/>
      <c r="R7" s="32"/>
    </row>
    <row r="8" spans="1:18">
      <c r="A8" s="6" t="s">
        <v>51</v>
      </c>
      <c r="B8" s="37">
        <f t="shared" si="0"/>
        <v>5645.0450710000005</v>
      </c>
      <c r="C8" s="33"/>
      <c r="D8" s="37">
        <f>IF(ISERROR(TER_handel_gas_kWh/1000),0,TER_handel_gas_kWh/1000)*0.902</f>
        <v>2224.784081498</v>
      </c>
      <c r="E8" s="33">
        <f>$C$28*'E Balans VL '!I13/100/3.6*1000000</f>
        <v>151.49572756780563</v>
      </c>
      <c r="F8" s="33">
        <f>$C$28*('E Balans VL '!L13+'E Balans VL '!N13)/100/3.6*1000000</f>
        <v>538.71128454864288</v>
      </c>
      <c r="G8" s="34"/>
      <c r="H8" s="33"/>
      <c r="I8" s="33"/>
      <c r="J8" s="33">
        <f>$C$28*('E Balans VL '!D13+'E Balans VL '!E13)/100/3.6*1000000</f>
        <v>0</v>
      </c>
      <c r="K8" s="33"/>
      <c r="L8" s="33"/>
      <c r="M8" s="33"/>
      <c r="N8" s="33">
        <f>$C$28*'E Balans VL '!Y13/100/3.6*1000000</f>
        <v>2.2377600524829138</v>
      </c>
      <c r="O8" s="33"/>
      <c r="P8" s="33"/>
      <c r="R8" s="32"/>
    </row>
    <row r="9" spans="1:18">
      <c r="A9" s="32" t="s">
        <v>50</v>
      </c>
      <c r="B9" s="37">
        <f t="shared" si="0"/>
        <v>776.51660400000003</v>
      </c>
      <c r="C9" s="33"/>
      <c r="D9" s="37">
        <f>IF(ISERROR(TER_gezond_gas_kWh/1000),0,TER_gezond_gas_kWh/1000)*0.902</f>
        <v>2346.1733229440001</v>
      </c>
      <c r="E9" s="33">
        <f>$C$29*'E Balans VL '!I10/100/3.6*1000000</f>
        <v>1.455444960681743</v>
      </c>
      <c r="F9" s="33">
        <f>$C$29*('E Balans VL '!L10+'E Balans VL '!N10)/100/3.6*1000000</f>
        <v>63.836750016875811</v>
      </c>
      <c r="G9" s="34"/>
      <c r="H9" s="33"/>
      <c r="I9" s="33"/>
      <c r="J9" s="33">
        <f>$C$29*('E Balans VL '!D10+'E Balans VL '!E10)/100/3.6*1000000</f>
        <v>0</v>
      </c>
      <c r="K9" s="33"/>
      <c r="L9" s="33"/>
      <c r="M9" s="33"/>
      <c r="N9" s="33">
        <f>$C$29*'E Balans VL '!Y10/100/3.6*1000000</f>
        <v>6.0418785437537244</v>
      </c>
      <c r="O9" s="33"/>
      <c r="P9" s="33"/>
      <c r="R9" s="32"/>
    </row>
    <row r="10" spans="1:18">
      <c r="A10" s="32" t="s">
        <v>49</v>
      </c>
      <c r="B10" s="37">
        <f t="shared" si="0"/>
        <v>5111.7218540000003</v>
      </c>
      <c r="C10" s="33"/>
      <c r="D10" s="37">
        <f>IF(ISERROR(TER_ander_gas_kWh/1000),0,TER_ander_gas_kWh/1000)*0.902</f>
        <v>20157.539836280001</v>
      </c>
      <c r="E10" s="33">
        <f>$C$30*'E Balans VL '!I14/100/3.6*1000000</f>
        <v>7.8797710342182281</v>
      </c>
      <c r="F10" s="33">
        <f>$C$30*('E Balans VL '!L14+'E Balans VL '!N14)/100/3.6*1000000</f>
        <v>793.5962290019022</v>
      </c>
      <c r="G10" s="34"/>
      <c r="H10" s="33"/>
      <c r="I10" s="33"/>
      <c r="J10" s="33">
        <f>$C$30*('E Balans VL '!D14+'E Balans VL '!E14)/100/3.6*1000000</f>
        <v>8.6776869420287076E-2</v>
      </c>
      <c r="K10" s="33"/>
      <c r="L10" s="33"/>
      <c r="M10" s="33"/>
      <c r="N10" s="33">
        <f>$C$30*'E Balans VL '!Y14/100/3.6*1000000</f>
        <v>3381.7513491507448</v>
      </c>
      <c r="O10" s="33"/>
      <c r="P10" s="33"/>
      <c r="R10" s="32"/>
    </row>
    <row r="11" spans="1:18">
      <c r="A11" s="32" t="s">
        <v>54</v>
      </c>
      <c r="B11" s="37">
        <f t="shared" si="0"/>
        <v>177.482281</v>
      </c>
      <c r="C11" s="33"/>
      <c r="D11" s="37">
        <f>IF(ISERROR(TER_onderwijs_gas_kWh/1000),0,TER_onderwijs_gas_kWh/1000)*0.902</f>
        <v>504.5307558720001</v>
      </c>
      <c r="E11" s="33">
        <f>$C$31*'E Balans VL '!I11/100/3.6*1000000</f>
        <v>4.5270103794951488</v>
      </c>
      <c r="F11" s="33">
        <f>$C$31*('E Balans VL '!L11+'E Balans VL '!N11)/100/3.6*1000000</f>
        <v>21.34391481709466</v>
      </c>
      <c r="G11" s="34"/>
      <c r="H11" s="33"/>
      <c r="I11" s="33"/>
      <c r="J11" s="33">
        <f>$C$31*('E Balans VL '!D11+'E Balans VL '!E11)/100/3.6*1000000</f>
        <v>0</v>
      </c>
      <c r="K11" s="33"/>
      <c r="L11" s="33"/>
      <c r="M11" s="33"/>
      <c r="N11" s="33">
        <f>$C$31*'E Balans VL '!Y11/100/3.6*1000000</f>
        <v>0.39471626233902807</v>
      </c>
      <c r="O11" s="33"/>
      <c r="P11" s="33"/>
      <c r="R11" s="32"/>
    </row>
    <row r="12" spans="1:18">
      <c r="A12" s="32" t="s">
        <v>259</v>
      </c>
      <c r="B12" s="37">
        <f t="shared" si="0"/>
        <v>1402.867027</v>
      </c>
      <c r="C12" s="33"/>
      <c r="D12" s="37">
        <f>IF(ISERROR(TER_rest_gas_kWh/1000),0,TER_rest_gas_kWh/1000)*0.902</f>
        <v>14579.372782920002</v>
      </c>
      <c r="E12" s="33">
        <f>$C$32*'E Balans VL '!I8/100/3.6*1000000</f>
        <v>18.108751589539569</v>
      </c>
      <c r="F12" s="33">
        <f>$C$32*('E Balans VL '!L8+'E Balans VL '!N8)/100/3.6*1000000</f>
        <v>161.17020085419611</v>
      </c>
      <c r="G12" s="34"/>
      <c r="H12" s="33"/>
      <c r="I12" s="33"/>
      <c r="J12" s="33">
        <f>$C$32*('E Balans VL '!D8+'E Balans VL '!E8)/100/3.6*1000000</f>
        <v>2.6885204337603174E-3</v>
      </c>
      <c r="K12" s="33"/>
      <c r="L12" s="33"/>
      <c r="M12" s="33"/>
      <c r="N12" s="33">
        <f>$C$32*'E Balans VL '!Y8/100/3.6*1000000</f>
        <v>106.2206483227518</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19494.394334000001</v>
      </c>
      <c r="C16" s="21">
        <f t="shared" ca="1" si="1"/>
        <v>0</v>
      </c>
      <c r="D16" s="21">
        <f t="shared" ca="1" si="1"/>
        <v>44255.158147068003</v>
      </c>
      <c r="E16" s="21">
        <f t="shared" si="1"/>
        <v>244.70581354841843</v>
      </c>
      <c r="F16" s="21">
        <f t="shared" ca="1" si="1"/>
        <v>2351.4749716155238</v>
      </c>
      <c r="G16" s="21">
        <f t="shared" si="1"/>
        <v>0</v>
      </c>
      <c r="H16" s="21">
        <f t="shared" si="1"/>
        <v>0</v>
      </c>
      <c r="I16" s="21">
        <f t="shared" si="1"/>
        <v>0</v>
      </c>
      <c r="J16" s="21">
        <f t="shared" si="1"/>
        <v>8.9465389854047395E-2</v>
      </c>
      <c r="K16" s="21">
        <f t="shared" si="1"/>
        <v>0</v>
      </c>
      <c r="L16" s="21">
        <f t="shared" ca="1" si="1"/>
        <v>0</v>
      </c>
      <c r="M16" s="21">
        <f t="shared" si="1"/>
        <v>0</v>
      </c>
      <c r="N16" s="21">
        <f t="shared" ca="1" si="1"/>
        <v>3498.6506246403769</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0.16358009156459191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3188.8948101519818</v>
      </c>
      <c r="C20" s="23">
        <f t="shared" ref="C20:P20" ca="1" si="2">C16*C18</f>
        <v>0</v>
      </c>
      <c r="D20" s="23">
        <f t="shared" ca="1" si="2"/>
        <v>8939.5419457077369</v>
      </c>
      <c r="E20" s="23">
        <f t="shared" si="2"/>
        <v>55.548219675490984</v>
      </c>
      <c r="F20" s="23">
        <f t="shared" ca="1" si="2"/>
        <v>627.84381742134485</v>
      </c>
      <c r="G20" s="23">
        <f t="shared" si="2"/>
        <v>0</v>
      </c>
      <c r="H20" s="23">
        <f t="shared" si="2"/>
        <v>0</v>
      </c>
      <c r="I20" s="23">
        <f t="shared" si="2"/>
        <v>0</v>
      </c>
      <c r="J20" s="23">
        <f t="shared" si="2"/>
        <v>3.1670748008332777E-2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2703.4436519999999</v>
      </c>
      <c r="C26" s="39">
        <f>IF(ISERROR(B26*3.6/1000000/'E Balans VL '!Z12*100),0,B26*3.6/1000000/'E Balans VL '!Z12*100)</f>
        <v>5.7351083710264206E-2</v>
      </c>
      <c r="D26" s="237" t="s">
        <v>708</v>
      </c>
      <c r="F26" s="6"/>
    </row>
    <row r="27" spans="1:18">
      <c r="A27" s="231" t="s">
        <v>52</v>
      </c>
      <c r="B27" s="33">
        <f>IF(ISERROR(TER_horeca_ele_kWh/1000),0,TER_horeca_ele_kWh/1000)</f>
        <v>3677.317845</v>
      </c>
      <c r="C27" s="39">
        <f>IF(ISERROR(B27*3.6/1000000/'E Balans VL '!Z9*100),0,B27*3.6/1000000/'E Balans VL '!Z9*100)</f>
        <v>0.27693460927274427</v>
      </c>
      <c r="D27" s="237" t="s">
        <v>708</v>
      </c>
      <c r="F27" s="6"/>
    </row>
    <row r="28" spans="1:18">
      <c r="A28" s="171" t="s">
        <v>51</v>
      </c>
      <c r="B28" s="33">
        <f>IF(ISERROR(TER_handel_ele_kWh/1000),0,TER_handel_ele_kWh/1000)</f>
        <v>5645.0450710000005</v>
      </c>
      <c r="C28" s="39">
        <f>IF(ISERROR(B28*3.6/1000000/'E Balans VL '!Z13*100),0,B28*3.6/1000000/'E Balans VL '!Z13*100)</f>
        <v>0.16385565645585487</v>
      </c>
      <c r="D28" s="237" t="s">
        <v>708</v>
      </c>
      <c r="F28" s="6"/>
    </row>
    <row r="29" spans="1:18">
      <c r="A29" s="231" t="s">
        <v>50</v>
      </c>
      <c r="B29" s="33">
        <f>IF(ISERROR(TER_gezond_ele_kWh/1000),0,TER_gezond_ele_kWh/1000)</f>
        <v>776.51660400000003</v>
      </c>
      <c r="C29" s="39">
        <f>IF(ISERROR(B29*3.6/1000000/'E Balans VL '!Z10*100),0,B29*3.6/1000000/'E Balans VL '!Z10*100)</f>
        <v>7.8312625547166809E-2</v>
      </c>
      <c r="D29" s="237" t="s">
        <v>708</v>
      </c>
      <c r="F29" s="6"/>
    </row>
    <row r="30" spans="1:18">
      <c r="A30" s="231" t="s">
        <v>49</v>
      </c>
      <c r="B30" s="33">
        <f>IF(ISERROR(TER_ander_ele_kWh/1000),0,TER_ander_ele_kWh/1000)</f>
        <v>5111.7218540000003</v>
      </c>
      <c r="C30" s="39">
        <f>IF(ISERROR(B30*3.6/1000000/'E Balans VL '!Z14*100),0,B30*3.6/1000000/'E Balans VL '!Z14*100)</f>
        <v>0.37092515718036206</v>
      </c>
      <c r="D30" s="237" t="s">
        <v>708</v>
      </c>
      <c r="F30" s="6"/>
    </row>
    <row r="31" spans="1:18">
      <c r="A31" s="231" t="s">
        <v>54</v>
      </c>
      <c r="B31" s="33">
        <f>IF(ISERROR(TER_onderwijs_ele_kWh/1000),0,TER_onderwijs_ele_kWh/1000)</f>
        <v>177.482281</v>
      </c>
      <c r="C31" s="39">
        <f>IF(ISERROR(B31*3.6/1000000/'E Balans VL '!Z11*100),0,B31*3.6/1000000/'E Balans VL '!Z11*100)</f>
        <v>5.0589677500016965E-2</v>
      </c>
      <c r="D31" s="237" t="s">
        <v>708</v>
      </c>
    </row>
    <row r="32" spans="1:18">
      <c r="A32" s="231" t="s">
        <v>259</v>
      </c>
      <c r="B32" s="33">
        <f>IF(ISERROR(TER_rest_ele_kWh/1000),0,TER_rest_ele_kWh/1000)</f>
        <v>1402.867027</v>
      </c>
      <c r="C32" s="39">
        <f>IF(ISERROR(B32*3.6/1000000/'E Balans VL '!Z8*100),0,B32*3.6/1000000/'E Balans VL '!Z8*100)</f>
        <v>1.1492000934548831E-2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16714.565531</v>
      </c>
      <c r="C5" s="17">
        <f>IF(ISERROR('Eigen informatie GS &amp; warmtenet'!B61),0,'Eigen informatie GS &amp; warmtenet'!B61)</f>
        <v>0</v>
      </c>
      <c r="D5" s="30">
        <f>SUM(D6:D15)</f>
        <v>18158.956525798003</v>
      </c>
      <c r="E5" s="17">
        <f>SUM(E6:E15)</f>
        <v>1565.7910762131714</v>
      </c>
      <c r="F5" s="17">
        <f>SUM(F6:F15)</f>
        <v>5290.2059225726471</v>
      </c>
      <c r="G5" s="18"/>
      <c r="H5" s="17"/>
      <c r="I5" s="17"/>
      <c r="J5" s="17">
        <f>SUM(J6:J15)</f>
        <v>44.366666866464044</v>
      </c>
      <c r="K5" s="17"/>
      <c r="L5" s="17"/>
      <c r="M5" s="17"/>
      <c r="N5" s="17">
        <f>SUM(N6:N15)</f>
        <v>815.98814457313495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3197.8500290000002</v>
      </c>
      <c r="C8" s="33"/>
      <c r="D8" s="37">
        <f>IF( ISERROR(IND_metaal_Gas_kWH/1000),0,IND_metaal_Gas_kWH/1000)*0.902</f>
        <v>303.1522329</v>
      </c>
      <c r="E8" s="33">
        <f>C30*'E Balans VL '!I18/100/3.6*1000000</f>
        <v>23.070243498318312</v>
      </c>
      <c r="F8" s="33">
        <f>C30*'E Balans VL '!L18/100/3.6*1000000+C30*'E Balans VL '!N18/100/3.6*1000000</f>
        <v>302.45764851932165</v>
      </c>
      <c r="G8" s="34"/>
      <c r="H8" s="33"/>
      <c r="I8" s="33"/>
      <c r="J8" s="40">
        <f>C30*'E Balans VL '!D18/100/3.6*1000000+C30*'E Balans VL '!E18/100/3.6*1000000</f>
        <v>3.2164161425082671</v>
      </c>
      <c r="K8" s="33"/>
      <c r="L8" s="33"/>
      <c r="M8" s="33"/>
      <c r="N8" s="33">
        <f>C30*'E Balans VL '!Y18/100/3.6*1000000</f>
        <v>40.429285042444228</v>
      </c>
      <c r="O8" s="33"/>
      <c r="P8" s="33"/>
      <c r="R8" s="32"/>
    </row>
    <row r="9" spans="1:18">
      <c r="A9" s="6" t="s">
        <v>32</v>
      </c>
      <c r="B9" s="37">
        <f t="shared" si="0"/>
        <v>4807.1379269999998</v>
      </c>
      <c r="C9" s="33"/>
      <c r="D9" s="37">
        <f>IF( ISERROR(IND_andere_gas_kWh/1000),0,IND_andere_gas_kWh/1000)*0.902</f>
        <v>1339.844974028</v>
      </c>
      <c r="E9" s="33">
        <f>C31*'E Balans VL '!I19/100/3.6*1000000</f>
        <v>1332.1221990588617</v>
      </c>
      <c r="F9" s="33">
        <f>C31*'E Balans VL '!L19/100/3.6*1000000+C31*'E Balans VL '!N19/100/3.6*1000000</f>
        <v>3984.1663022027228</v>
      </c>
      <c r="G9" s="34"/>
      <c r="H9" s="33"/>
      <c r="I9" s="33"/>
      <c r="J9" s="40">
        <f>C31*'E Balans VL '!D19/100/3.6*1000000+C31*'E Balans VL '!E19/100/3.6*1000000</f>
        <v>0</v>
      </c>
      <c r="K9" s="33"/>
      <c r="L9" s="33"/>
      <c r="M9" s="33"/>
      <c r="N9" s="33">
        <f>C31*'E Balans VL '!Y19/100/3.6*1000000</f>
        <v>348.93941583802001</v>
      </c>
      <c r="O9" s="33"/>
      <c r="P9" s="33"/>
      <c r="R9" s="32"/>
    </row>
    <row r="10" spans="1:18">
      <c r="A10" s="6" t="s">
        <v>40</v>
      </c>
      <c r="B10" s="37">
        <f t="shared" si="0"/>
        <v>4344.1243650000006</v>
      </c>
      <c r="C10" s="33"/>
      <c r="D10" s="37">
        <f>IF( ISERROR(IND_voed_gas_kWh/1000),0,IND_voed_gas_kWh/1000)*0.902</f>
        <v>1194.066480618</v>
      </c>
      <c r="E10" s="33">
        <f>C32*'E Balans VL '!I20/100/3.6*1000000</f>
        <v>7.6905715753112522</v>
      </c>
      <c r="F10" s="33">
        <f>C32*'E Balans VL '!L20/100/3.6*1000000+C32*'E Balans VL '!N20/100/3.6*1000000</f>
        <v>234.62121733888176</v>
      </c>
      <c r="G10" s="34"/>
      <c r="H10" s="33"/>
      <c r="I10" s="33"/>
      <c r="J10" s="40">
        <f>C32*'E Balans VL '!D20/100/3.6*1000000+C32*'E Balans VL '!E20/100/3.6*1000000</f>
        <v>0</v>
      </c>
      <c r="K10" s="33"/>
      <c r="L10" s="33"/>
      <c r="M10" s="33"/>
      <c r="N10" s="33">
        <f>C32*'E Balans VL '!Y20/100/3.6*1000000</f>
        <v>252.42680209768409</v>
      </c>
      <c r="O10" s="33"/>
      <c r="P10" s="33"/>
      <c r="R10" s="32"/>
    </row>
    <row r="11" spans="1:18">
      <c r="A11" s="6" t="s">
        <v>39</v>
      </c>
      <c r="B11" s="37">
        <f t="shared" si="0"/>
        <v>20.019977999999998</v>
      </c>
      <c r="C11" s="33"/>
      <c r="D11" s="37">
        <f>IF( ISERROR(IND_textiel_gas_kWh/1000),0,IND_textiel_gas_kWh/1000)*0.902</f>
        <v>0</v>
      </c>
      <c r="E11" s="33">
        <f>C33*'E Balans VL '!I21/100/3.6*1000000</f>
        <v>7.0572500423017853E-2</v>
      </c>
      <c r="F11" s="33">
        <f>C33*'E Balans VL '!L21/100/3.6*1000000+C33*'E Balans VL '!N21/100/3.6*1000000</f>
        <v>0.58761629140114413</v>
      </c>
      <c r="G11" s="34"/>
      <c r="H11" s="33"/>
      <c r="I11" s="33"/>
      <c r="J11" s="40">
        <f>C33*'E Balans VL '!D21/100/3.6*1000000+C33*'E Balans VL '!E21/100/3.6*1000000</f>
        <v>0</v>
      </c>
      <c r="K11" s="33"/>
      <c r="L11" s="33"/>
      <c r="M11" s="33"/>
      <c r="N11" s="33">
        <f>C33*'E Balans VL '!Y21/100/3.6*1000000</f>
        <v>0.88207736489469335</v>
      </c>
      <c r="O11" s="33"/>
      <c r="P11" s="33"/>
      <c r="R11" s="32"/>
    </row>
    <row r="12" spans="1:18">
      <c r="A12" s="6" t="s">
        <v>36</v>
      </c>
      <c r="B12" s="37">
        <f t="shared" si="0"/>
        <v>22.368587999999999</v>
      </c>
      <c r="C12" s="33"/>
      <c r="D12" s="37">
        <f>IF( ISERROR(IND_min_gas_kWh/1000),0,IND_min_gas_kWh/1000)*0.902</f>
        <v>60.878880832000007</v>
      </c>
      <c r="E12" s="33">
        <f>C34*'E Balans VL '!I22/100/3.6*1000000</f>
        <v>0.98503282600639763</v>
      </c>
      <c r="F12" s="33">
        <f>C34*'E Balans VL '!L22/100/3.6*1000000+C34*'E Balans VL '!N22/100/3.6*1000000</f>
        <v>8.7470212759434247</v>
      </c>
      <c r="G12" s="34"/>
      <c r="H12" s="33"/>
      <c r="I12" s="33"/>
      <c r="J12" s="40">
        <f>C34*'E Balans VL '!D22/100/3.6*1000000+C34*'E Balans VL '!E22/100/3.6*1000000</f>
        <v>6.7918982060704023E-3</v>
      </c>
      <c r="K12" s="33"/>
      <c r="L12" s="33"/>
      <c r="M12" s="33"/>
      <c r="N12" s="33">
        <f>C34*'E Balans VL '!Y22/100/3.6*1000000</f>
        <v>5.5333107893513658</v>
      </c>
      <c r="O12" s="33"/>
      <c r="P12" s="33"/>
      <c r="R12" s="32"/>
    </row>
    <row r="13" spans="1:18">
      <c r="A13" s="6" t="s">
        <v>38</v>
      </c>
      <c r="B13" s="37">
        <f t="shared" si="0"/>
        <v>53.682646999999996</v>
      </c>
      <c r="C13" s="33"/>
      <c r="D13" s="37">
        <f>IF( ISERROR(IND_papier_gas_kWh/1000),0,IND_papier_gas_kWh/1000)*0.902</f>
        <v>0</v>
      </c>
      <c r="E13" s="33">
        <f>C35*'E Balans VL '!I23/100/3.6*1000000</f>
        <v>7.8985607293779528E-2</v>
      </c>
      <c r="F13" s="33">
        <f>C35*'E Balans VL '!L23/100/3.6*1000000+C35*'E Balans VL '!N23/100/3.6*1000000</f>
        <v>0.57479655663941154</v>
      </c>
      <c r="G13" s="34"/>
      <c r="H13" s="33"/>
      <c r="I13" s="33"/>
      <c r="J13" s="40">
        <f>C35*'E Balans VL '!D23/100/3.6*1000000+C35*'E Balans VL '!E23/100/3.6*1000000</f>
        <v>5.8731826183313878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4269.3819970000004</v>
      </c>
      <c r="C15" s="33"/>
      <c r="D15" s="37">
        <f>IF( ISERROR(IND_rest_gas_kWh/1000),0,IND_rest_gas_kWh/1000)*0.902</f>
        <v>15261.013957420002</v>
      </c>
      <c r="E15" s="33">
        <f>C37*'E Balans VL '!I15/100/3.6*1000000</f>
        <v>201.77347114695692</v>
      </c>
      <c r="F15" s="33">
        <f>C37*'E Balans VL '!L15/100/3.6*1000000+C37*'E Balans VL '!N15/100/3.6*1000000</f>
        <v>759.05132038773627</v>
      </c>
      <c r="G15" s="34"/>
      <c r="H15" s="33"/>
      <c r="I15" s="33"/>
      <c r="J15" s="40">
        <f>C37*'E Balans VL '!D15/100/3.6*1000000+C37*'E Balans VL '!E15/100/3.6*1000000</f>
        <v>35.27027620741832</v>
      </c>
      <c r="K15" s="33"/>
      <c r="L15" s="33"/>
      <c r="M15" s="33"/>
      <c r="N15" s="33">
        <f>C37*'E Balans VL '!Y15/100/3.6*1000000</f>
        <v>167.77725344074051</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16714.565531</v>
      </c>
      <c r="C18" s="21">
        <f>C5+C16</f>
        <v>0</v>
      </c>
      <c r="D18" s="21">
        <f>MAX((D5+D16),0)</f>
        <v>18158.956525798003</v>
      </c>
      <c r="E18" s="21">
        <f>MAX((E5+E16),0)</f>
        <v>1565.7910762131714</v>
      </c>
      <c r="F18" s="21">
        <f>MAX((F5+F16),0)</f>
        <v>5290.2059225726471</v>
      </c>
      <c r="G18" s="21"/>
      <c r="H18" s="21"/>
      <c r="I18" s="21"/>
      <c r="J18" s="21">
        <f>MAX((J5+J16),0)</f>
        <v>44.366666866464044</v>
      </c>
      <c r="K18" s="21"/>
      <c r="L18" s="21">
        <f>MAX((L5+L16),0)</f>
        <v>0</v>
      </c>
      <c r="M18" s="21"/>
      <c r="N18" s="21">
        <f>MAX((N5+N16),0)</f>
        <v>815.98814457313495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0.16358009156459191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2734.1701600233519</v>
      </c>
      <c r="C22" s="23">
        <f ca="1">C18*C20</f>
        <v>0</v>
      </c>
      <c r="D22" s="23">
        <f>D18*D20</f>
        <v>3668.109218211197</v>
      </c>
      <c r="E22" s="23">
        <f>E18*E20</f>
        <v>355.43457430038995</v>
      </c>
      <c r="F22" s="23">
        <f>F18*F20</f>
        <v>1412.4849813268968</v>
      </c>
      <c r="G22" s="23"/>
      <c r="H22" s="23"/>
      <c r="I22" s="23"/>
      <c r="J22" s="23">
        <f>J18*J20</f>
        <v>15.705800070728271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3197.8500290000002</v>
      </c>
      <c r="C30" s="39">
        <f>IF(ISERROR(B30*3.6/1000000/'E Balans VL '!Z18*100),0,B30*3.6/1000000/'E Balans VL '!Z18*100)</f>
        <v>0.18460689241633527</v>
      </c>
      <c r="D30" s="237" t="s">
        <v>708</v>
      </c>
    </row>
    <row r="31" spans="1:18">
      <c r="A31" s="6" t="s">
        <v>32</v>
      </c>
      <c r="B31" s="37">
        <f>IF( ISERROR(IND_ander_ele_kWh/1000),0,IND_ander_ele_kWh/1000)</f>
        <v>4807.1379269999998</v>
      </c>
      <c r="C31" s="39">
        <f>IF(ISERROR(B31*3.6/1000000/'E Balans VL '!Z19*100),0,B31*3.6/1000000/'E Balans VL '!Z19*100)</f>
        <v>0.24178345599384959</v>
      </c>
      <c r="D31" s="237" t="s">
        <v>708</v>
      </c>
    </row>
    <row r="32" spans="1:18">
      <c r="A32" s="171" t="s">
        <v>40</v>
      </c>
      <c r="B32" s="37">
        <f>IF( ISERROR(IND_voed_ele_kWh/1000),0,IND_voed_ele_kWh/1000)</f>
        <v>4344.1243650000006</v>
      </c>
      <c r="C32" s="39">
        <f>IF(ISERROR(B32*3.6/1000000/'E Balans VL '!Z20*100),0,B32*3.6/1000000/'E Balans VL '!Z20*100)</f>
        <v>0.14468513784269307</v>
      </c>
      <c r="D32" s="237" t="s">
        <v>708</v>
      </c>
    </row>
    <row r="33" spans="1:5">
      <c r="A33" s="171" t="s">
        <v>39</v>
      </c>
      <c r="B33" s="37">
        <f>IF( ISERROR(IND_textiel_ele_kWh/1000),0,IND_textiel_ele_kWh/1000)</f>
        <v>20.019977999999998</v>
      </c>
      <c r="C33" s="39">
        <f>IF(ISERROR(B33*3.6/1000000/'E Balans VL '!Z21*100),0,B33*3.6/1000000/'E Balans VL '!Z21*100)</f>
        <v>3.1213693730991268E-3</v>
      </c>
      <c r="D33" s="237" t="s">
        <v>708</v>
      </c>
    </row>
    <row r="34" spans="1:5">
      <c r="A34" s="171" t="s">
        <v>36</v>
      </c>
      <c r="B34" s="37">
        <f>IF( ISERROR(IND_min_ele_kWh/1000),0,IND_min_ele_kWh/1000)</f>
        <v>22.368587999999999</v>
      </c>
      <c r="C34" s="39">
        <f>IF(ISERROR(B34*3.6/1000000/'E Balans VL '!Z22*100),0,B34*3.6/1000000/'E Balans VL '!Z22*100)</f>
        <v>4.1724971914423479E-3</v>
      </c>
      <c r="D34" s="237" t="s">
        <v>708</v>
      </c>
    </row>
    <row r="35" spans="1:5">
      <c r="A35" s="171" t="s">
        <v>38</v>
      </c>
      <c r="B35" s="37">
        <f>IF( ISERROR(IND_papier_ele_kWh/1000),0,IND_papier_ele_kWh/1000)</f>
        <v>53.682646999999996</v>
      </c>
      <c r="C35" s="39">
        <f>IF(ISERROR(B35*3.6/1000000/'E Balans VL '!Z22*100),0,B35*3.6/1000000/'E Balans VL '!Z22*100)</f>
        <v>1.0013626869818113E-2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4269.3819970000004</v>
      </c>
      <c r="C37" s="39">
        <f>IF(ISERROR(B37*3.6/1000000/'E Balans VL '!Z15*100),0,B37*3.6/1000000/'E Balans VL '!Z15*100)</f>
        <v>3.3312854761784305E-2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4073.1972809999997</v>
      </c>
      <c r="C5" s="17">
        <f>'Eigen informatie GS &amp; warmtenet'!B62</f>
        <v>0</v>
      </c>
      <c r="D5" s="30">
        <f>IF(ISERROR(SUM(LB_lb_gas_kWh,LB_rest_gas_kWh)/1000),0,SUM(LB_lb_gas_kWh,LB_rest_gas_kWh)/1000)*0.902</f>
        <v>216.48220538999999</v>
      </c>
      <c r="E5" s="17">
        <f>B17*'E Balans VL '!I25/3.6*1000000/100</f>
        <v>127.12314396525136</v>
      </c>
      <c r="F5" s="17">
        <f>B17*('E Balans VL '!L25/3.6*1000000+'E Balans VL '!N25/3.6*1000000)/100</f>
        <v>14395.130407676772</v>
      </c>
      <c r="G5" s="18"/>
      <c r="H5" s="17"/>
      <c r="I5" s="17"/>
      <c r="J5" s="17">
        <f>('E Balans VL '!D25+'E Balans VL '!E25)/3.6*1000000*landbouw!B17/100</f>
        <v>1122.1940982910858</v>
      </c>
      <c r="K5" s="17"/>
      <c r="L5" s="17">
        <f>L6*(-1)</f>
        <v>0</v>
      </c>
      <c r="M5" s="17"/>
      <c r="N5" s="17">
        <f>N6*(-1)</f>
        <v>31856.142857142859</v>
      </c>
      <c r="O5" s="17"/>
      <c r="P5" s="17"/>
      <c r="R5" s="32"/>
    </row>
    <row r="6" spans="1:18">
      <c r="A6" s="16" t="s">
        <v>478</v>
      </c>
      <c r="B6" s="17" t="s">
        <v>210</v>
      </c>
      <c r="C6" s="17">
        <f>'lokale energieproductie'!O41+'lokale energieproductie'!O34</f>
        <v>15928.071428571429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4073.1972809999997</v>
      </c>
      <c r="C8" s="21">
        <f>C5+C6</f>
        <v>15928.071428571429</v>
      </c>
      <c r="D8" s="21">
        <f>MAX((D5+D6),0)</f>
        <v>216.48220538999999</v>
      </c>
      <c r="E8" s="21">
        <f>MAX((E5+E6),0)</f>
        <v>127.12314396525136</v>
      </c>
      <c r="F8" s="21">
        <f>MAX((F5+F6),0)</f>
        <v>14395.130407676772</v>
      </c>
      <c r="G8" s="21"/>
      <c r="H8" s="21"/>
      <c r="I8" s="21"/>
      <c r="J8" s="21">
        <f>MAX((J5+J6),0)</f>
        <v>1122.1940982910858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0.16358009156459191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666.29398418662674</v>
      </c>
      <c r="C12" s="23">
        <f ca="1">C8*C10</f>
        <v>0</v>
      </c>
      <c r="D12" s="23">
        <f>D8*D10</f>
        <v>43.729405488780003</v>
      </c>
      <c r="E12" s="23">
        <f>E8*E10</f>
        <v>28.85695368011206</v>
      </c>
      <c r="F12" s="23">
        <f>F8*F10</f>
        <v>3843.4998188496984</v>
      </c>
      <c r="G12" s="23"/>
      <c r="H12" s="23"/>
      <c r="I12" s="23"/>
      <c r="J12" s="23">
        <f>J8*J10</f>
        <v>397.25671079504434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0.60550997526459516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1208.6801114336763</v>
      </c>
      <c r="C26" s="247">
        <f>B26*'GWP N2O_CH4'!B5</f>
        <v>25382.282340107202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452.9105911303875</v>
      </c>
      <c r="C27" s="247">
        <f>B27*'GWP N2O_CH4'!B5</f>
        <v>9511.1224137381378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14.262089644241295</v>
      </c>
      <c r="C28" s="247">
        <f>B28*'GWP N2O_CH4'!B4</f>
        <v>4421.247789714801</v>
      </c>
      <c r="D28" s="50"/>
    </row>
    <row r="29" spans="1:4">
      <c r="A29" s="41" t="s">
        <v>276</v>
      </c>
      <c r="B29" s="247">
        <f>B34*'ha_N2O bodem landbouw'!B4</f>
        <v>31.574661772959661</v>
      </c>
      <c r="C29" s="247">
        <f>B29*'GWP N2O_CH4'!B4</f>
        <v>9788.1451496174959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6.9237548378072019E-3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4.2888112638726479E-4</v>
      </c>
      <c r="C5" s="437" t="s">
        <v>210</v>
      </c>
      <c r="D5" s="422">
        <f>SUM(D6:D11)</f>
        <v>1.4830504372191542E-3</v>
      </c>
      <c r="E5" s="422">
        <f>SUM(E6:E11)</f>
        <v>1.4513880064917094E-3</v>
      </c>
      <c r="F5" s="435" t="s">
        <v>210</v>
      </c>
      <c r="G5" s="422">
        <f>SUM(G6:G11)</f>
        <v>0.77526817795164615</v>
      </c>
      <c r="H5" s="422">
        <f>SUM(H6:H11)</f>
        <v>0.14229655056327373</v>
      </c>
      <c r="I5" s="437" t="s">
        <v>210</v>
      </c>
      <c r="J5" s="437" t="s">
        <v>210</v>
      </c>
      <c r="K5" s="437" t="s">
        <v>210</v>
      </c>
      <c r="L5" s="437" t="s">
        <v>210</v>
      </c>
      <c r="M5" s="422">
        <f>SUM(M6:M11)</f>
        <v>5.410929289854112E-2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9.9776752991994998E-5</v>
      </c>
      <c r="C6" s="423"/>
      <c r="D6" s="890">
        <f>vkm_GW_PW*SUMIFS(TableVerdeelsleutelVkm[CNG],TableVerdeelsleutelVkm[Voertuigtype],"Lichte voertuigen")*SUMIFS(TableECFTransport[EnergieConsumptieFactor (PJ per km)],TableECFTransport[Index],CONCATENATE($A6,"_CNG_CNG"))</f>
        <v>3.2142107200422817E-4</v>
      </c>
      <c r="E6" s="890">
        <f>vkm_GW_PW*SUMIFS(TableVerdeelsleutelVkm[LPG],TableVerdeelsleutelVkm[Voertuigtype],"Lichte voertuigen")*SUMIFS(TableECFTransport[EnergieConsumptieFactor (PJ per km)],TableECFTransport[Index],CONCATENATE($A6,"_LPG_LPG"))</f>
        <v>2.7487178190077535E-4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8.8797175034534617E-2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3.0110577460062196E-2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7.1120727891898199E-3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4.9827887550491647E-2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7.1249405215796389E-7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2.8721993399429564E-3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4.4391520387480302E-5</v>
      </c>
      <c r="C8" s="423"/>
      <c r="D8" s="425">
        <f>vkm_NGW_PW*SUMIFS(TableVerdeelsleutelVkm[CNG],TableVerdeelsleutelVkm[Voertuigtype],"Lichte voertuigen")*SUMIFS(TableECFTransport[EnergieConsumptieFactor (PJ per km)],TableECFTransport[Index],CONCATENATE($A8,"_CNG_CNG"))</f>
        <v>2.4228740248328617E-4</v>
      </c>
      <c r="E8" s="425">
        <f>vkm_NGW_PW*SUMIFS(TableVerdeelsleutelVkm[LPG],TableVerdeelsleutelVkm[Voertuigtype],"Lichte voertuigen")*SUMIFS(TableECFTransport[EnergieConsumptieFactor (PJ per km)],TableECFTransport[Index],CONCATENATE($A8,"_LPG_LPG"))</f>
        <v>1.9687277917367947E-4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5.9430007899257599E-2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2.231802355973931E-2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4.9033477847947697E-3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3.1201933463197128E-2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5.6568659089100041E-7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1.7985624405502799E-3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2.8471285300778952E-4</v>
      </c>
      <c r="C10" s="423"/>
      <c r="D10" s="425">
        <f>vkm_SW_PW*SUMIFS(TableVerdeelsleutelVkm[CNG],TableVerdeelsleutelVkm[Voertuigtype],"Lichte voertuigen")*SUMIFS(TableECFTransport[EnergieConsumptieFactor (PJ per km)],TableECFTransport[Index],CONCATENATE($A10,"_CNG_CNG"))</f>
        <v>9.1934196273163969E-4</v>
      </c>
      <c r="E10" s="425">
        <f>vkm_SW_PW*SUMIFS(TableVerdeelsleutelVkm[LPG],TableVerdeelsleutelVkm[Voertuigtype],"Lichte voertuigen")*SUMIFS(TableECFTransport[EnergieConsumptieFactor (PJ per km)],TableECFTransport[Index],CONCATENATE($A10,"_LPG_LPG"))</f>
        <v>9.7964344541725461E-4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0.28197563577855361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8.9862637263478401E-2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2.2203449644156565E-2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0.2640355382256116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4.0340993507802559E-6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1.5219660899906732E-2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119.13364621868467</v>
      </c>
      <c r="C14" s="21"/>
      <c r="D14" s="21">
        <f t="shared" ref="D14:M14" si="0">((D5)*10^9/3600)+D12</f>
        <v>411.95845478309838</v>
      </c>
      <c r="E14" s="21">
        <f t="shared" si="0"/>
        <v>403.16333513658589</v>
      </c>
      <c r="F14" s="21"/>
      <c r="G14" s="21">
        <f t="shared" si="0"/>
        <v>215352.27165323505</v>
      </c>
      <c r="H14" s="21">
        <f t="shared" si="0"/>
        <v>39526.819600909366</v>
      </c>
      <c r="I14" s="21"/>
      <c r="J14" s="21"/>
      <c r="K14" s="21"/>
      <c r="L14" s="21"/>
      <c r="M14" s="21">
        <f t="shared" si="0"/>
        <v>15030.359138483645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0.16358009156459191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19.487892756876139</v>
      </c>
      <c r="C18" s="23"/>
      <c r="D18" s="23">
        <f t="shared" ref="D18:M18" si="1">D14*D16</f>
        <v>83.215607866185877</v>
      </c>
      <c r="E18" s="23">
        <f t="shared" si="1"/>
        <v>91.518077076005</v>
      </c>
      <c r="F18" s="23"/>
      <c r="G18" s="23">
        <f t="shared" si="1"/>
        <v>57499.056531413764</v>
      </c>
      <c r="H18" s="23">
        <f t="shared" si="1"/>
        <v>9842.1780806264323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3.4669792129903196E-3</v>
      </c>
      <c r="H50" s="319">
        <f t="shared" si="2"/>
        <v>0</v>
      </c>
      <c r="I50" s="319">
        <f t="shared" si="2"/>
        <v>0</v>
      </c>
      <c r="J50" s="319">
        <f t="shared" si="2"/>
        <v>0</v>
      </c>
      <c r="K50" s="319">
        <f t="shared" si="2"/>
        <v>0</v>
      </c>
      <c r="L50" s="319">
        <f t="shared" si="2"/>
        <v>0</v>
      </c>
      <c r="M50" s="319">
        <f t="shared" si="2"/>
        <v>1.9266477161009279E-4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3.4669792129903196E-3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1.9266477161009279E-4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963.04978138619992</v>
      </c>
      <c r="H54" s="21">
        <f t="shared" si="3"/>
        <v>0</v>
      </c>
      <c r="I54" s="21">
        <f t="shared" si="3"/>
        <v>0</v>
      </c>
      <c r="J54" s="21">
        <f t="shared" si="3"/>
        <v>0</v>
      </c>
      <c r="K54" s="21">
        <f t="shared" si="3"/>
        <v>0</v>
      </c>
      <c r="L54" s="21">
        <f t="shared" si="3"/>
        <v>0</v>
      </c>
      <c r="M54" s="21">
        <f t="shared" si="3"/>
        <v>53.517992113914659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0.16358009156459191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257.1342916301154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20395.279333999999</v>
      </c>
      <c r="D10" s="686">
        <f ca="1">tertiair!C16</f>
        <v>0</v>
      </c>
      <c r="E10" s="686">
        <f ca="1">tertiair!D16</f>
        <v>44255.158147068003</v>
      </c>
      <c r="F10" s="686">
        <f>tertiair!E16</f>
        <v>244.70581354841843</v>
      </c>
      <c r="G10" s="686">
        <f ca="1">tertiair!F16</f>
        <v>2351.4749716155238</v>
      </c>
      <c r="H10" s="686">
        <f>tertiair!G16</f>
        <v>0</v>
      </c>
      <c r="I10" s="686">
        <f>tertiair!H16</f>
        <v>0</v>
      </c>
      <c r="J10" s="686">
        <f>tertiair!I16</f>
        <v>0</v>
      </c>
      <c r="K10" s="686">
        <f>tertiair!J16</f>
        <v>8.9465389854047395E-2</v>
      </c>
      <c r="L10" s="686">
        <f>tertiair!K16</f>
        <v>0</v>
      </c>
      <c r="M10" s="686">
        <f ca="1">tertiair!L16</f>
        <v>0</v>
      </c>
      <c r="N10" s="686">
        <f>tertiair!M16</f>
        <v>0</v>
      </c>
      <c r="O10" s="686">
        <f ca="1">tertiair!N16</f>
        <v>3498.6506246403769</v>
      </c>
      <c r="P10" s="686">
        <f>tertiair!O16</f>
        <v>39.178086126729234</v>
      </c>
      <c r="Q10" s="687">
        <f>tertiair!P16</f>
        <v>105.07827661299004</v>
      </c>
      <c r="R10" s="689">
        <f ca="1">SUM(C10:Q10)</f>
        <v>70889.614719001896</v>
      </c>
      <c r="S10" s="67"/>
    </row>
    <row r="11" spans="1:19" s="448" customFormat="1">
      <c r="A11" s="808" t="s">
        <v>224</v>
      </c>
      <c r="B11" s="813"/>
      <c r="C11" s="686">
        <f>huishoudens!B8</f>
        <v>28711.305044877008</v>
      </c>
      <c r="D11" s="686">
        <f>huishoudens!C8</f>
        <v>0</v>
      </c>
      <c r="E11" s="686">
        <f>huishoudens!D8</f>
        <v>47079.973895019997</v>
      </c>
      <c r="F11" s="686">
        <f>huishoudens!E8</f>
        <v>25299.563081159984</v>
      </c>
      <c r="G11" s="686">
        <f>huishoudens!F8</f>
        <v>9258.3049205704865</v>
      </c>
      <c r="H11" s="686">
        <f>huishoudens!G8</f>
        <v>0</v>
      </c>
      <c r="I11" s="686">
        <f>huishoudens!H8</f>
        <v>0</v>
      </c>
      <c r="J11" s="686">
        <f>huishoudens!I8</f>
        <v>0</v>
      </c>
      <c r="K11" s="686">
        <f>huishoudens!J8</f>
        <v>1039.0422802440744</v>
      </c>
      <c r="L11" s="686">
        <f>huishoudens!K8</f>
        <v>0</v>
      </c>
      <c r="M11" s="686">
        <f>huishoudens!L8</f>
        <v>0</v>
      </c>
      <c r="N11" s="686">
        <f>huishoudens!M8</f>
        <v>0</v>
      </c>
      <c r="O11" s="686">
        <f>huishoudens!N8</f>
        <v>28423.468249671016</v>
      </c>
      <c r="P11" s="686">
        <f>huishoudens!O8</f>
        <v>732.08058295381477</v>
      </c>
      <c r="Q11" s="687">
        <f>huishoudens!P8</f>
        <v>853.25070392248676</v>
      </c>
      <c r="R11" s="689">
        <f>SUM(C11:Q11)</f>
        <v>141396.98875841885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16714.565531</v>
      </c>
      <c r="D13" s="686">
        <f>industrie!C18</f>
        <v>0</v>
      </c>
      <c r="E13" s="686">
        <f>industrie!D18</f>
        <v>18158.956525798003</v>
      </c>
      <c r="F13" s="686">
        <f>industrie!E18</f>
        <v>1565.7910762131714</v>
      </c>
      <c r="G13" s="686">
        <f>industrie!F18</f>
        <v>5290.2059225726471</v>
      </c>
      <c r="H13" s="686">
        <f>industrie!G18</f>
        <v>0</v>
      </c>
      <c r="I13" s="686">
        <f>industrie!H18</f>
        <v>0</v>
      </c>
      <c r="J13" s="686">
        <f>industrie!I18</f>
        <v>0</v>
      </c>
      <c r="K13" s="686">
        <f>industrie!J18</f>
        <v>44.366666866464044</v>
      </c>
      <c r="L13" s="686">
        <f>industrie!K18</f>
        <v>0</v>
      </c>
      <c r="M13" s="686">
        <f>industrie!L18</f>
        <v>0</v>
      </c>
      <c r="N13" s="686">
        <f>industrie!M18</f>
        <v>0</v>
      </c>
      <c r="O13" s="686">
        <f>industrie!N18</f>
        <v>815.98814457313495</v>
      </c>
      <c r="P13" s="686">
        <f>industrie!O18</f>
        <v>0</v>
      </c>
      <c r="Q13" s="687">
        <f>industrie!P18</f>
        <v>0</v>
      </c>
      <c r="R13" s="689">
        <f>SUM(C13:Q13)</f>
        <v>42589.873867023423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65821.149909877015</v>
      </c>
      <c r="D16" s="722">
        <f t="shared" ref="D16:R16" ca="1" si="0">SUM(D9:D15)</f>
        <v>0</v>
      </c>
      <c r="E16" s="722">
        <f t="shared" ca="1" si="0"/>
        <v>109494.08856788599</v>
      </c>
      <c r="F16" s="722">
        <f t="shared" si="0"/>
        <v>27110.059970921575</v>
      </c>
      <c r="G16" s="722">
        <f t="shared" ca="1" si="0"/>
        <v>16899.985814758656</v>
      </c>
      <c r="H16" s="722">
        <f t="shared" si="0"/>
        <v>0</v>
      </c>
      <c r="I16" s="722">
        <f t="shared" si="0"/>
        <v>0</v>
      </c>
      <c r="J16" s="722">
        <f t="shared" si="0"/>
        <v>0</v>
      </c>
      <c r="K16" s="722">
        <f t="shared" si="0"/>
        <v>1083.4984125003925</v>
      </c>
      <c r="L16" s="722">
        <f t="shared" si="0"/>
        <v>0</v>
      </c>
      <c r="M16" s="722">
        <f t="shared" ca="1" si="0"/>
        <v>0</v>
      </c>
      <c r="N16" s="722">
        <f t="shared" si="0"/>
        <v>0</v>
      </c>
      <c r="O16" s="722">
        <f t="shared" ca="1" si="0"/>
        <v>32738.107018884526</v>
      </c>
      <c r="P16" s="722">
        <f t="shared" si="0"/>
        <v>771.258669080544</v>
      </c>
      <c r="Q16" s="722">
        <f t="shared" si="0"/>
        <v>958.32898053547683</v>
      </c>
      <c r="R16" s="722">
        <f t="shared" ca="1" si="0"/>
        <v>254876.47734444417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963.04978138619992</v>
      </c>
      <c r="I19" s="686">
        <f>transport!H54</f>
        <v>0</v>
      </c>
      <c r="J19" s="686">
        <f>transport!I54</f>
        <v>0</v>
      </c>
      <c r="K19" s="686">
        <f>transport!J54</f>
        <v>0</v>
      </c>
      <c r="L19" s="686">
        <f>transport!K54</f>
        <v>0</v>
      </c>
      <c r="M19" s="686">
        <f>transport!L54</f>
        <v>0</v>
      </c>
      <c r="N19" s="686">
        <f>transport!M54</f>
        <v>53.517992113914659</v>
      </c>
      <c r="O19" s="686">
        <f>transport!N54</f>
        <v>0</v>
      </c>
      <c r="P19" s="686">
        <f>transport!O54</f>
        <v>0</v>
      </c>
      <c r="Q19" s="687">
        <f>transport!P54</f>
        <v>0</v>
      </c>
      <c r="R19" s="689">
        <f>SUM(C19:Q19)</f>
        <v>1016.5677735001145</v>
      </c>
      <c r="S19" s="67"/>
    </row>
    <row r="20" spans="1:19" s="448" customFormat="1">
      <c r="A20" s="808" t="s">
        <v>306</v>
      </c>
      <c r="B20" s="813"/>
      <c r="C20" s="686">
        <f>transport!B14</f>
        <v>119.13364621868467</v>
      </c>
      <c r="D20" s="686">
        <f>transport!C14</f>
        <v>0</v>
      </c>
      <c r="E20" s="686">
        <f>transport!D14</f>
        <v>411.95845478309838</v>
      </c>
      <c r="F20" s="686">
        <f>transport!E14</f>
        <v>403.16333513658589</v>
      </c>
      <c r="G20" s="686">
        <f>transport!F14</f>
        <v>0</v>
      </c>
      <c r="H20" s="686">
        <f>transport!G14</f>
        <v>215352.27165323505</v>
      </c>
      <c r="I20" s="686">
        <f>transport!H14</f>
        <v>39526.819600909366</v>
      </c>
      <c r="J20" s="686">
        <f>transport!I14</f>
        <v>0</v>
      </c>
      <c r="K20" s="686">
        <f>transport!J14</f>
        <v>0</v>
      </c>
      <c r="L20" s="686">
        <f>transport!K14</f>
        <v>0</v>
      </c>
      <c r="M20" s="686">
        <f>transport!L14</f>
        <v>0</v>
      </c>
      <c r="N20" s="686">
        <f>transport!M14</f>
        <v>15030.359138483645</v>
      </c>
      <c r="O20" s="686">
        <f>transport!N14</f>
        <v>0</v>
      </c>
      <c r="P20" s="686">
        <f>transport!O14</f>
        <v>0</v>
      </c>
      <c r="Q20" s="687">
        <f>transport!P14</f>
        <v>0</v>
      </c>
      <c r="R20" s="689">
        <f>SUM(C20:Q20)</f>
        <v>270843.7058287664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119.13364621868467</v>
      </c>
      <c r="D22" s="811">
        <f t="shared" ref="D22:R22" si="1">SUM(D18:D21)</f>
        <v>0</v>
      </c>
      <c r="E22" s="811">
        <f t="shared" si="1"/>
        <v>411.95845478309838</v>
      </c>
      <c r="F22" s="811">
        <f t="shared" si="1"/>
        <v>403.16333513658589</v>
      </c>
      <c r="G22" s="811">
        <f t="shared" si="1"/>
        <v>0</v>
      </c>
      <c r="H22" s="811">
        <f t="shared" si="1"/>
        <v>216315.32143462123</v>
      </c>
      <c r="I22" s="811">
        <f t="shared" si="1"/>
        <v>39526.819600909366</v>
      </c>
      <c r="J22" s="811">
        <f t="shared" si="1"/>
        <v>0</v>
      </c>
      <c r="K22" s="811">
        <f t="shared" si="1"/>
        <v>0</v>
      </c>
      <c r="L22" s="811">
        <f t="shared" si="1"/>
        <v>0</v>
      </c>
      <c r="M22" s="811">
        <f t="shared" si="1"/>
        <v>0</v>
      </c>
      <c r="N22" s="811">
        <f t="shared" si="1"/>
        <v>15083.877130597561</v>
      </c>
      <c r="O22" s="811">
        <f t="shared" si="1"/>
        <v>0</v>
      </c>
      <c r="P22" s="811">
        <f t="shared" si="1"/>
        <v>0</v>
      </c>
      <c r="Q22" s="811">
        <f t="shared" si="1"/>
        <v>0</v>
      </c>
      <c r="R22" s="811">
        <f t="shared" si="1"/>
        <v>271860.2736022665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4073.1972809999997</v>
      </c>
      <c r="D24" s="686">
        <f>+landbouw!C8</f>
        <v>15928.071428571429</v>
      </c>
      <c r="E24" s="686">
        <f>+landbouw!D8</f>
        <v>216.48220538999999</v>
      </c>
      <c r="F24" s="686">
        <f>+landbouw!E8</f>
        <v>127.12314396525136</v>
      </c>
      <c r="G24" s="686">
        <f>+landbouw!F8</f>
        <v>14395.130407676772</v>
      </c>
      <c r="H24" s="686">
        <f>+landbouw!G8</f>
        <v>0</v>
      </c>
      <c r="I24" s="686">
        <f>+landbouw!H8</f>
        <v>0</v>
      </c>
      <c r="J24" s="686">
        <f>+landbouw!I8</f>
        <v>0</v>
      </c>
      <c r="K24" s="686">
        <f>+landbouw!J8</f>
        <v>1122.1940982910858</v>
      </c>
      <c r="L24" s="686">
        <f>+landbouw!K8</f>
        <v>0</v>
      </c>
      <c r="M24" s="686">
        <f>+landbouw!L8</f>
        <v>0</v>
      </c>
      <c r="N24" s="686">
        <f>+landbouw!M8</f>
        <v>0</v>
      </c>
      <c r="O24" s="686">
        <f>+landbouw!N8</f>
        <v>0</v>
      </c>
      <c r="P24" s="686">
        <f>+landbouw!O8</f>
        <v>0</v>
      </c>
      <c r="Q24" s="687">
        <f>+landbouw!P8</f>
        <v>0</v>
      </c>
      <c r="R24" s="689">
        <f>SUM(C24:Q24)</f>
        <v>35862.198564894541</v>
      </c>
      <c r="S24" s="67"/>
    </row>
    <row r="25" spans="1:19" s="448" customFormat="1" ht="15" thickBot="1">
      <c r="A25" s="830" t="s">
        <v>724</v>
      </c>
      <c r="B25" s="949"/>
      <c r="C25" s="950">
        <f>IF(Onbekend_ele_kWh="---",0,Onbekend_ele_kWh)/1000+IF(REST_rest_ele_kWh="---",0,REST_rest_ele_kWh)/1000</f>
        <v>1039.752058</v>
      </c>
      <c r="D25" s="950"/>
      <c r="E25" s="950">
        <f>IF(onbekend_gas_kWh="---",0,onbekend_gas_kWh)/1000+IF(REST_rest_gas_kWh="---",0,REST_rest_gas_kWh)/1000</f>
        <v>1721.315421</v>
      </c>
      <c r="F25" s="950"/>
      <c r="G25" s="950"/>
      <c r="H25" s="950"/>
      <c r="I25" s="950"/>
      <c r="J25" s="950"/>
      <c r="K25" s="950"/>
      <c r="L25" s="950"/>
      <c r="M25" s="950"/>
      <c r="N25" s="950"/>
      <c r="O25" s="950"/>
      <c r="P25" s="950"/>
      <c r="Q25" s="951"/>
      <c r="R25" s="689">
        <f>SUM(C25:Q25)</f>
        <v>2761.0674790000003</v>
      </c>
      <c r="S25" s="67"/>
    </row>
    <row r="26" spans="1:19" s="448" customFormat="1" ht="15.75" thickBot="1">
      <c r="A26" s="694" t="s">
        <v>725</v>
      </c>
      <c r="B26" s="816"/>
      <c r="C26" s="811">
        <f>SUM(C24:C25)</f>
        <v>5112.9493389999998</v>
      </c>
      <c r="D26" s="811">
        <f t="shared" ref="D26:R26" si="2">SUM(D24:D25)</f>
        <v>15928.071428571429</v>
      </c>
      <c r="E26" s="811">
        <f t="shared" si="2"/>
        <v>1937.79762639</v>
      </c>
      <c r="F26" s="811">
        <f t="shared" si="2"/>
        <v>127.12314396525136</v>
      </c>
      <c r="G26" s="811">
        <f t="shared" si="2"/>
        <v>14395.130407676772</v>
      </c>
      <c r="H26" s="811">
        <f t="shared" si="2"/>
        <v>0</v>
      </c>
      <c r="I26" s="811">
        <f t="shared" si="2"/>
        <v>0</v>
      </c>
      <c r="J26" s="811">
        <f t="shared" si="2"/>
        <v>0</v>
      </c>
      <c r="K26" s="811">
        <f t="shared" si="2"/>
        <v>1122.1940982910858</v>
      </c>
      <c r="L26" s="811">
        <f t="shared" si="2"/>
        <v>0</v>
      </c>
      <c r="M26" s="811">
        <f t="shared" si="2"/>
        <v>0</v>
      </c>
      <c r="N26" s="811">
        <f t="shared" si="2"/>
        <v>0</v>
      </c>
      <c r="O26" s="811">
        <f t="shared" si="2"/>
        <v>0</v>
      </c>
      <c r="P26" s="811">
        <f t="shared" si="2"/>
        <v>0</v>
      </c>
      <c r="Q26" s="811">
        <f t="shared" si="2"/>
        <v>0</v>
      </c>
      <c r="R26" s="811">
        <f t="shared" si="2"/>
        <v>38623.266043894539</v>
      </c>
      <c r="S26" s="67"/>
    </row>
    <row r="27" spans="1:19" s="448" customFormat="1" ht="17.25" thickTop="1" thickBot="1">
      <c r="A27" s="695" t="s">
        <v>115</v>
      </c>
      <c r="B27" s="803"/>
      <c r="C27" s="696">
        <f ca="1">C22+C16+C26</f>
        <v>71053.232895095702</v>
      </c>
      <c r="D27" s="696">
        <f t="shared" ref="D27:R27" ca="1" si="3">D22+D16+D26</f>
        <v>15928.071428571429</v>
      </c>
      <c r="E27" s="696">
        <f t="shared" ca="1" si="3"/>
        <v>111843.8446490591</v>
      </c>
      <c r="F27" s="696">
        <f t="shared" si="3"/>
        <v>27640.346450023411</v>
      </c>
      <c r="G27" s="696">
        <f t="shared" ca="1" si="3"/>
        <v>31295.116222435427</v>
      </c>
      <c r="H27" s="696">
        <f t="shared" si="3"/>
        <v>216315.32143462123</v>
      </c>
      <c r="I27" s="696">
        <f t="shared" si="3"/>
        <v>39526.819600909366</v>
      </c>
      <c r="J27" s="696">
        <f t="shared" si="3"/>
        <v>0</v>
      </c>
      <c r="K27" s="696">
        <f t="shared" si="3"/>
        <v>2205.6925107914785</v>
      </c>
      <c r="L27" s="696">
        <f t="shared" si="3"/>
        <v>0</v>
      </c>
      <c r="M27" s="696">
        <f t="shared" ca="1" si="3"/>
        <v>0</v>
      </c>
      <c r="N27" s="696">
        <f t="shared" si="3"/>
        <v>15083.877130597561</v>
      </c>
      <c r="O27" s="696">
        <f t="shared" ca="1" si="3"/>
        <v>32738.107018884526</v>
      </c>
      <c r="P27" s="696">
        <f t="shared" si="3"/>
        <v>771.258669080544</v>
      </c>
      <c r="Q27" s="696">
        <f t="shared" si="3"/>
        <v>958.32898053547683</v>
      </c>
      <c r="R27" s="696">
        <f t="shared" ca="1" si="3"/>
        <v>565360.01699060528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3336.2616609411493</v>
      </c>
      <c r="D40" s="686">
        <f ca="1">tertiair!C20</f>
        <v>0</v>
      </c>
      <c r="E40" s="686">
        <f ca="1">tertiair!D20</f>
        <v>8939.5419457077369</v>
      </c>
      <c r="F40" s="686">
        <f>tertiair!E20</f>
        <v>55.548219675490984</v>
      </c>
      <c r="G40" s="686">
        <f ca="1">tertiair!F20</f>
        <v>627.84381742134485</v>
      </c>
      <c r="H40" s="686">
        <f>tertiair!G20</f>
        <v>0</v>
      </c>
      <c r="I40" s="686">
        <f>tertiair!H20</f>
        <v>0</v>
      </c>
      <c r="J40" s="686">
        <f>tertiair!I20</f>
        <v>0</v>
      </c>
      <c r="K40" s="686">
        <f>tertiair!J20</f>
        <v>3.1670748008332777E-2</v>
      </c>
      <c r="L40" s="686">
        <f>tertiair!K20</f>
        <v>0</v>
      </c>
      <c r="M40" s="686">
        <f ca="1">tertiair!L20</f>
        <v>0</v>
      </c>
      <c r="N40" s="686">
        <f>tertiair!M20</f>
        <v>0</v>
      </c>
      <c r="O40" s="686">
        <f ca="1">tertiair!N20</f>
        <v>0</v>
      </c>
      <c r="P40" s="686">
        <f>tertiair!O20</f>
        <v>0</v>
      </c>
      <c r="Q40" s="769">
        <f>tertiair!P20</f>
        <v>0</v>
      </c>
      <c r="R40" s="849">
        <f t="shared" ca="1" si="4"/>
        <v>12959.22731449373</v>
      </c>
    </row>
    <row r="41" spans="1:18">
      <c r="A41" s="821" t="s">
        <v>224</v>
      </c>
      <c r="B41" s="828"/>
      <c r="C41" s="686">
        <f ca="1">huishoudens!B12</f>
        <v>4696.5979081799105</v>
      </c>
      <c r="D41" s="686">
        <f ca="1">huishoudens!C12</f>
        <v>0</v>
      </c>
      <c r="E41" s="686">
        <f>huishoudens!D12</f>
        <v>9510.1547267940405</v>
      </c>
      <c r="F41" s="686">
        <f>huishoudens!E12</f>
        <v>5743.0008194233169</v>
      </c>
      <c r="G41" s="686">
        <f>huishoudens!F12</f>
        <v>2471.9674137923203</v>
      </c>
      <c r="H41" s="686">
        <f>huishoudens!G12</f>
        <v>0</v>
      </c>
      <c r="I41" s="686">
        <f>huishoudens!H12</f>
        <v>0</v>
      </c>
      <c r="J41" s="686">
        <f>huishoudens!I12</f>
        <v>0</v>
      </c>
      <c r="K41" s="686">
        <f>huishoudens!J12</f>
        <v>367.82096720640232</v>
      </c>
      <c r="L41" s="686">
        <f>huishoudens!K12</f>
        <v>0</v>
      </c>
      <c r="M41" s="686">
        <f>huishoudens!L12</f>
        <v>0</v>
      </c>
      <c r="N41" s="686">
        <f>huishoudens!M12</f>
        <v>0</v>
      </c>
      <c r="O41" s="686">
        <f>huishoudens!N12</f>
        <v>0</v>
      </c>
      <c r="P41" s="686">
        <f>huishoudens!O12</f>
        <v>0</v>
      </c>
      <c r="Q41" s="769">
        <f>huishoudens!P12</f>
        <v>0</v>
      </c>
      <c r="R41" s="849">
        <f t="shared" ca="1" si="4"/>
        <v>22789.541835395994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2734.1701600233519</v>
      </c>
      <c r="D43" s="686">
        <f ca="1">industrie!C22</f>
        <v>0</v>
      </c>
      <c r="E43" s="686">
        <f>industrie!D22</f>
        <v>3668.109218211197</v>
      </c>
      <c r="F43" s="686">
        <f>industrie!E22</f>
        <v>355.43457430038995</v>
      </c>
      <c r="G43" s="686">
        <f>industrie!F22</f>
        <v>1412.4849813268968</v>
      </c>
      <c r="H43" s="686">
        <f>industrie!G22</f>
        <v>0</v>
      </c>
      <c r="I43" s="686">
        <f>industrie!H22</f>
        <v>0</v>
      </c>
      <c r="J43" s="686">
        <f>industrie!I22</f>
        <v>0</v>
      </c>
      <c r="K43" s="686">
        <f>industrie!J22</f>
        <v>15.705800070728271</v>
      </c>
      <c r="L43" s="686">
        <f>industrie!K22</f>
        <v>0</v>
      </c>
      <c r="M43" s="686">
        <f>industrie!L22</f>
        <v>0</v>
      </c>
      <c r="N43" s="686">
        <f>industrie!M22</f>
        <v>0</v>
      </c>
      <c r="O43" s="686">
        <f>industrie!N22</f>
        <v>0</v>
      </c>
      <c r="P43" s="686">
        <f>industrie!O22</f>
        <v>0</v>
      </c>
      <c r="Q43" s="769">
        <f>industrie!P22</f>
        <v>0</v>
      </c>
      <c r="R43" s="848">
        <f t="shared" ca="1" si="4"/>
        <v>8185.9047339325634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10767.029729144411</v>
      </c>
      <c r="D46" s="722">
        <f t="shared" ref="D46:Q46" ca="1" si="5">SUM(D39:D45)</f>
        <v>0</v>
      </c>
      <c r="E46" s="722">
        <f t="shared" ca="1" si="5"/>
        <v>22117.805890712974</v>
      </c>
      <c r="F46" s="722">
        <f t="shared" si="5"/>
        <v>6153.9836133991976</v>
      </c>
      <c r="G46" s="722">
        <f t="shared" ca="1" si="5"/>
        <v>4512.296212540562</v>
      </c>
      <c r="H46" s="722">
        <f t="shared" si="5"/>
        <v>0</v>
      </c>
      <c r="I46" s="722">
        <f t="shared" si="5"/>
        <v>0</v>
      </c>
      <c r="J46" s="722">
        <f t="shared" si="5"/>
        <v>0</v>
      </c>
      <c r="K46" s="722">
        <f t="shared" si="5"/>
        <v>383.55843802513891</v>
      </c>
      <c r="L46" s="722">
        <f t="shared" si="5"/>
        <v>0</v>
      </c>
      <c r="M46" s="722">
        <f t="shared" ca="1" si="5"/>
        <v>0</v>
      </c>
      <c r="N46" s="722">
        <f t="shared" si="5"/>
        <v>0</v>
      </c>
      <c r="O46" s="722">
        <f t="shared" ca="1" si="5"/>
        <v>0</v>
      </c>
      <c r="P46" s="722">
        <f t="shared" si="5"/>
        <v>0</v>
      </c>
      <c r="Q46" s="722">
        <f t="shared" si="5"/>
        <v>0</v>
      </c>
      <c r="R46" s="722">
        <f ca="1">SUM(R39:R45)</f>
        <v>43934.673883822288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257.1342916301154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257.1342916301154</v>
      </c>
    </row>
    <row r="50" spans="1:18">
      <c r="A50" s="824" t="s">
        <v>306</v>
      </c>
      <c r="B50" s="834"/>
      <c r="C50" s="692">
        <f ca="1">transport!B18</f>
        <v>19.487892756876139</v>
      </c>
      <c r="D50" s="692">
        <f>transport!C18</f>
        <v>0</v>
      </c>
      <c r="E50" s="692">
        <f>transport!D18</f>
        <v>83.215607866185877</v>
      </c>
      <c r="F50" s="692">
        <f>transport!E18</f>
        <v>91.518077076005</v>
      </c>
      <c r="G50" s="692">
        <f>transport!F18</f>
        <v>0</v>
      </c>
      <c r="H50" s="692">
        <f>transport!G18</f>
        <v>57499.056531413764</v>
      </c>
      <c r="I50" s="692">
        <f>transport!H18</f>
        <v>9842.1780806264323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67535.45618973927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19.487892756876139</v>
      </c>
      <c r="D52" s="722">
        <f t="shared" ref="D52:Q52" ca="1" si="6">SUM(D48:D51)</f>
        <v>0</v>
      </c>
      <c r="E52" s="722">
        <f t="shared" si="6"/>
        <v>83.215607866185877</v>
      </c>
      <c r="F52" s="722">
        <f t="shared" si="6"/>
        <v>91.518077076005</v>
      </c>
      <c r="G52" s="722">
        <f t="shared" si="6"/>
        <v>0</v>
      </c>
      <c r="H52" s="722">
        <f t="shared" si="6"/>
        <v>57756.190823043878</v>
      </c>
      <c r="I52" s="722">
        <f t="shared" si="6"/>
        <v>9842.1780806264323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67792.590481369392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666.29398418662674</v>
      </c>
      <c r="D54" s="692">
        <f ca="1">+landbouw!C12</f>
        <v>0</v>
      </c>
      <c r="E54" s="692">
        <f>+landbouw!D12</f>
        <v>43.729405488780003</v>
      </c>
      <c r="F54" s="692">
        <f>+landbouw!E12</f>
        <v>28.85695368011206</v>
      </c>
      <c r="G54" s="692">
        <f>+landbouw!F12</f>
        <v>3843.4998188496984</v>
      </c>
      <c r="H54" s="692">
        <f>+landbouw!G12</f>
        <v>0</v>
      </c>
      <c r="I54" s="692">
        <f>+landbouw!H12</f>
        <v>0</v>
      </c>
      <c r="J54" s="692">
        <f>+landbouw!I12</f>
        <v>0</v>
      </c>
      <c r="K54" s="692">
        <f>+landbouw!J12</f>
        <v>397.25671079504434</v>
      </c>
      <c r="L54" s="692">
        <f>+landbouw!K12</f>
        <v>0</v>
      </c>
      <c r="M54" s="692">
        <f>+landbouw!L12</f>
        <v>0</v>
      </c>
      <c r="N54" s="692">
        <f>+landbouw!M12</f>
        <v>0</v>
      </c>
      <c r="O54" s="692">
        <f>+landbouw!N12</f>
        <v>0</v>
      </c>
      <c r="P54" s="692">
        <f>+landbouw!O12</f>
        <v>0</v>
      </c>
      <c r="Q54" s="693">
        <f>+landbouw!P12</f>
        <v>0</v>
      </c>
      <c r="R54" s="721">
        <f ca="1">SUM(C54:Q54)</f>
        <v>4979.6368730002614</v>
      </c>
    </row>
    <row r="55" spans="1:18" ht="15" thickBot="1">
      <c r="A55" s="824" t="s">
        <v>724</v>
      </c>
      <c r="B55" s="834"/>
      <c r="C55" s="692">
        <f ca="1">C25*'EF ele_warmte'!B12</f>
        <v>170.08273685211287</v>
      </c>
      <c r="D55" s="692"/>
      <c r="E55" s="692">
        <f>E25*EF_CO2_aardgas</f>
        <v>347.70571504200001</v>
      </c>
      <c r="F55" s="692"/>
      <c r="G55" s="692"/>
      <c r="H55" s="692"/>
      <c r="I55" s="692"/>
      <c r="J55" s="692"/>
      <c r="K55" s="692"/>
      <c r="L55" s="692"/>
      <c r="M55" s="692"/>
      <c r="N55" s="692"/>
      <c r="O55" s="692"/>
      <c r="P55" s="692"/>
      <c r="Q55" s="693"/>
      <c r="R55" s="721">
        <f ca="1">SUM(C55:Q55)</f>
        <v>517.78845189411288</v>
      </c>
    </row>
    <row r="56" spans="1:18" ht="15.75" thickBot="1">
      <c r="A56" s="822" t="s">
        <v>725</v>
      </c>
      <c r="B56" s="835"/>
      <c r="C56" s="722">
        <f ca="1">SUM(C54:C55)</f>
        <v>836.37672103873956</v>
      </c>
      <c r="D56" s="722">
        <f t="shared" ref="D56:Q56" ca="1" si="7">SUM(D54:D55)</f>
        <v>0</v>
      </c>
      <c r="E56" s="722">
        <f t="shared" si="7"/>
        <v>391.43512053078001</v>
      </c>
      <c r="F56" s="722">
        <f t="shared" si="7"/>
        <v>28.85695368011206</v>
      </c>
      <c r="G56" s="722">
        <f t="shared" si="7"/>
        <v>3843.4998188496984</v>
      </c>
      <c r="H56" s="722">
        <f t="shared" si="7"/>
        <v>0</v>
      </c>
      <c r="I56" s="722">
        <f t="shared" si="7"/>
        <v>0</v>
      </c>
      <c r="J56" s="722">
        <f t="shared" si="7"/>
        <v>0</v>
      </c>
      <c r="K56" s="722">
        <f t="shared" si="7"/>
        <v>397.25671079504434</v>
      </c>
      <c r="L56" s="722">
        <f t="shared" si="7"/>
        <v>0</v>
      </c>
      <c r="M56" s="722">
        <f t="shared" si="7"/>
        <v>0</v>
      </c>
      <c r="N56" s="722">
        <f t="shared" si="7"/>
        <v>0</v>
      </c>
      <c r="O56" s="722">
        <f t="shared" si="7"/>
        <v>0</v>
      </c>
      <c r="P56" s="722">
        <f t="shared" si="7"/>
        <v>0</v>
      </c>
      <c r="Q56" s="723">
        <f t="shared" si="7"/>
        <v>0</v>
      </c>
      <c r="R56" s="724">
        <f ca="1">SUM(R54:R55)</f>
        <v>5497.4253248943742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11622.894342940028</v>
      </c>
      <c r="D61" s="730">
        <f t="shared" ref="D61:Q61" ca="1" si="8">D46+D52+D56</f>
        <v>0</v>
      </c>
      <c r="E61" s="730">
        <f t="shared" ca="1" si="8"/>
        <v>22592.45661910994</v>
      </c>
      <c r="F61" s="730">
        <f t="shared" si="8"/>
        <v>6274.3586441553152</v>
      </c>
      <c r="G61" s="730">
        <f t="shared" ca="1" si="8"/>
        <v>8355.7960313902604</v>
      </c>
      <c r="H61" s="730">
        <f t="shared" si="8"/>
        <v>57756.190823043878</v>
      </c>
      <c r="I61" s="730">
        <f t="shared" si="8"/>
        <v>9842.1780806264323</v>
      </c>
      <c r="J61" s="730">
        <f t="shared" si="8"/>
        <v>0</v>
      </c>
      <c r="K61" s="730">
        <f t="shared" si="8"/>
        <v>780.81514882018325</v>
      </c>
      <c r="L61" s="730">
        <f t="shared" si="8"/>
        <v>0</v>
      </c>
      <c r="M61" s="730">
        <f t="shared" ca="1" si="8"/>
        <v>0</v>
      </c>
      <c r="N61" s="730">
        <f t="shared" si="8"/>
        <v>0</v>
      </c>
      <c r="O61" s="730">
        <f t="shared" ca="1" si="8"/>
        <v>0</v>
      </c>
      <c r="P61" s="730">
        <f t="shared" si="8"/>
        <v>0</v>
      </c>
      <c r="Q61" s="730">
        <f t="shared" si="8"/>
        <v>0</v>
      </c>
      <c r="R61" s="730">
        <f ca="1">R46+R52+R56</f>
        <v>117224.68969008606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0.16358009156459188</v>
      </c>
      <c r="D63" s="776">
        <f t="shared" ca="1" si="9"/>
        <v>0</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7311.3008003444338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11149.65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13117.235294117647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18460.950800344435</v>
      </c>
      <c r="C78" s="748">
        <f>SUM(C72:C77)</f>
        <v>0</v>
      </c>
      <c r="D78" s="749">
        <f t="shared" ref="D78:H78" si="10">SUM(D76:D77)</f>
        <v>0</v>
      </c>
      <c r="E78" s="749">
        <f t="shared" si="10"/>
        <v>0</v>
      </c>
      <c r="F78" s="749">
        <f t="shared" si="10"/>
        <v>0</v>
      </c>
      <c r="G78" s="749">
        <f t="shared" si="10"/>
        <v>0</v>
      </c>
      <c r="H78" s="749">
        <f t="shared" si="10"/>
        <v>0</v>
      </c>
      <c r="I78" s="749">
        <f>SUM(I76:I77)</f>
        <v>0</v>
      </c>
      <c r="J78" s="749">
        <f>SUM(J76:J77)</f>
        <v>13117.235294117647</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15928.071428571429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18738.907563025212</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15928.071428571429</v>
      </c>
      <c r="C90" s="748">
        <f>SUM(C87:C89)</f>
        <v>0</v>
      </c>
      <c r="D90" s="748">
        <f t="shared" ref="D90:H90" si="12">SUM(D87:D89)</f>
        <v>0</v>
      </c>
      <c r="E90" s="748">
        <f t="shared" si="12"/>
        <v>0</v>
      </c>
      <c r="F90" s="748">
        <f t="shared" si="12"/>
        <v>0</v>
      </c>
      <c r="G90" s="748">
        <f t="shared" si="12"/>
        <v>0</v>
      </c>
      <c r="H90" s="748">
        <f t="shared" si="12"/>
        <v>0</v>
      </c>
      <c r="I90" s="748">
        <f>SUM(I87:I89)</f>
        <v>0</v>
      </c>
      <c r="J90" s="748">
        <f>SUM(J87:J89)</f>
        <v>18738.907563025212</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7311.3008003444338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11149.65</v>
      </c>
      <c r="C8" s="548">
        <f>B50</f>
        <v>0</v>
      </c>
      <c r="D8" s="549"/>
      <c r="E8" s="549">
        <f>E50</f>
        <v>0</v>
      </c>
      <c r="F8" s="550"/>
      <c r="G8" s="551"/>
      <c r="H8" s="549">
        <f>I50</f>
        <v>0</v>
      </c>
      <c r="I8" s="549">
        <f>G50+F50</f>
        <v>0</v>
      </c>
      <c r="J8" s="549">
        <f>H50+D50+C50</f>
        <v>13117.235294117647</v>
      </c>
      <c r="K8" s="549"/>
      <c r="L8" s="549"/>
      <c r="M8" s="549"/>
      <c r="N8" s="552"/>
      <c r="O8" s="553">
        <f>C8*$C$12+D8*$D$12+E8*$E$12+F8*$F$12+G8*$G$12+H8*$H$12+I8*$I$12+J8*$J$12</f>
        <v>0</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18460.950800344435</v>
      </c>
      <c r="C10" s="563">
        <f t="shared" ref="C10:L10" si="0">SUM(C8:C9)</f>
        <v>0</v>
      </c>
      <c r="D10" s="563">
        <f t="shared" si="0"/>
        <v>0</v>
      </c>
      <c r="E10" s="563">
        <f t="shared" si="0"/>
        <v>0</v>
      </c>
      <c r="F10" s="563">
        <f t="shared" si="0"/>
        <v>0</v>
      </c>
      <c r="G10" s="563">
        <f t="shared" si="0"/>
        <v>0</v>
      </c>
      <c r="H10" s="563">
        <f t="shared" si="0"/>
        <v>0</v>
      </c>
      <c r="I10" s="563">
        <f t="shared" si="0"/>
        <v>0</v>
      </c>
      <c r="J10" s="563">
        <f t="shared" si="0"/>
        <v>13117.235294117647</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15928.071428571429</v>
      </c>
      <c r="C17" s="579">
        <f>B51</f>
        <v>0</v>
      </c>
      <c r="D17" s="580"/>
      <c r="E17" s="580">
        <f>E51</f>
        <v>0</v>
      </c>
      <c r="F17" s="581"/>
      <c r="G17" s="582"/>
      <c r="H17" s="579">
        <f>I51</f>
        <v>0</v>
      </c>
      <c r="I17" s="580">
        <f>G51+F51</f>
        <v>0</v>
      </c>
      <c r="J17" s="580">
        <f>H51+D51+C51</f>
        <v>18738.907563025212</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15928.071428571429</v>
      </c>
      <c r="C20" s="562">
        <f>SUM(C17:C19)</f>
        <v>0</v>
      </c>
      <c r="D20" s="562">
        <f t="shared" ref="D20:L20" si="1">SUM(D17:D19)</f>
        <v>0</v>
      </c>
      <c r="E20" s="562">
        <f t="shared" si="1"/>
        <v>0</v>
      </c>
      <c r="F20" s="562">
        <f t="shared" si="1"/>
        <v>0</v>
      </c>
      <c r="G20" s="562">
        <f t="shared" si="1"/>
        <v>0</v>
      </c>
      <c r="H20" s="562">
        <f t="shared" si="1"/>
        <v>0</v>
      </c>
      <c r="I20" s="562">
        <f t="shared" si="1"/>
        <v>0</v>
      </c>
      <c r="J20" s="562">
        <f t="shared" si="1"/>
        <v>18738.907563025212</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31003</v>
      </c>
      <c r="C28" s="791">
        <v>8730</v>
      </c>
      <c r="D28" s="640" t="s">
        <v>888</v>
      </c>
      <c r="E28" s="639" t="s">
        <v>889</v>
      </c>
      <c r="F28" s="639" t="s">
        <v>890</v>
      </c>
      <c r="G28" s="639" t="s">
        <v>891</v>
      </c>
      <c r="H28" s="639" t="s">
        <v>892</v>
      </c>
      <c r="I28" s="639" t="s">
        <v>889</v>
      </c>
      <c r="J28" s="790">
        <v>39280</v>
      </c>
      <c r="K28" s="790">
        <v>39280</v>
      </c>
      <c r="L28" s="639" t="s">
        <v>893</v>
      </c>
      <c r="M28" s="639">
        <v>2461</v>
      </c>
      <c r="N28" s="639">
        <v>11074.5</v>
      </c>
      <c r="O28" s="639">
        <v>15820.714285714286</v>
      </c>
      <c r="P28" s="639">
        <v>0</v>
      </c>
      <c r="Q28" s="639">
        <v>31641.428571428572</v>
      </c>
      <c r="R28" s="639">
        <v>0</v>
      </c>
      <c r="S28" s="639">
        <v>0</v>
      </c>
      <c r="T28" s="639">
        <v>0</v>
      </c>
      <c r="U28" s="639">
        <v>0</v>
      </c>
      <c r="V28" s="639">
        <v>0</v>
      </c>
      <c r="W28" s="639">
        <v>0</v>
      </c>
      <c r="X28" s="639">
        <v>10</v>
      </c>
      <c r="Y28" s="639" t="s">
        <v>111</v>
      </c>
      <c r="Z28" s="641" t="s">
        <v>111</v>
      </c>
    </row>
    <row r="29" spans="1:26" s="593" customFormat="1" ht="25.5">
      <c r="A29" s="592"/>
      <c r="B29" s="791">
        <v>31003</v>
      </c>
      <c r="C29" s="791">
        <v>8730</v>
      </c>
      <c r="D29" s="640" t="s">
        <v>894</v>
      </c>
      <c r="E29" s="639" t="s">
        <v>895</v>
      </c>
      <c r="F29" s="639" t="s">
        <v>896</v>
      </c>
      <c r="G29" s="639" t="s">
        <v>891</v>
      </c>
      <c r="H29" s="639" t="s">
        <v>892</v>
      </c>
      <c r="I29" s="639" t="s">
        <v>895</v>
      </c>
      <c r="J29" s="790">
        <v>41459</v>
      </c>
      <c r="K29" s="790">
        <v>41459</v>
      </c>
      <c r="L29" s="639" t="s">
        <v>893</v>
      </c>
      <c r="M29" s="639">
        <v>7</v>
      </c>
      <c r="N29" s="639">
        <v>31.5</v>
      </c>
      <c r="O29" s="639">
        <v>45</v>
      </c>
      <c r="P29" s="639">
        <v>0</v>
      </c>
      <c r="Q29" s="639">
        <v>90</v>
      </c>
      <c r="R29" s="639">
        <v>0</v>
      </c>
      <c r="S29" s="639">
        <v>0</v>
      </c>
      <c r="T29" s="639">
        <v>0</v>
      </c>
      <c r="U29" s="639">
        <v>0</v>
      </c>
      <c r="V29" s="639">
        <v>0</v>
      </c>
      <c r="W29" s="639">
        <v>0</v>
      </c>
      <c r="X29" s="639">
        <v>10</v>
      </c>
      <c r="Y29" s="639" t="s">
        <v>111</v>
      </c>
      <c r="Z29" s="641" t="s">
        <v>111</v>
      </c>
    </row>
    <row r="30" spans="1:26" s="593" customFormat="1" ht="25.5">
      <c r="A30" s="592"/>
      <c r="B30" s="791">
        <v>31003</v>
      </c>
      <c r="C30" s="791">
        <v>8730</v>
      </c>
      <c r="D30" s="640" t="s">
        <v>897</v>
      </c>
      <c r="E30" s="639" t="s">
        <v>898</v>
      </c>
      <c r="F30" s="639" t="s">
        <v>899</v>
      </c>
      <c r="G30" s="639" t="s">
        <v>891</v>
      </c>
      <c r="H30" s="639" t="s">
        <v>892</v>
      </c>
      <c r="I30" s="639" t="s">
        <v>898</v>
      </c>
      <c r="J30" s="790">
        <v>41810</v>
      </c>
      <c r="K30" s="790">
        <v>41810</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2477.6999999999998</v>
      </c>
      <c r="N31" s="597">
        <f>SUM(N28:N30)</f>
        <v>11149.65</v>
      </c>
      <c r="O31" s="597">
        <f>SUM(O28:O30)</f>
        <v>15928.071428571429</v>
      </c>
      <c r="P31" s="597">
        <f>SUM(P28:P30)</f>
        <v>0</v>
      </c>
      <c r="Q31" s="597">
        <f>SUM(Q28:Q30)</f>
        <v>31856.142857142859</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2477.6999999999998</v>
      </c>
      <c r="N34" s="602">
        <f>SUMIF($Z$28:$Z$30,"landbouw",N28:N30)</f>
        <v>11149.65</v>
      </c>
      <c r="O34" s="602">
        <f>SUMIF($Z$28:$Z$30,"landbouw",O28:O30)</f>
        <v>15928.071428571429</v>
      </c>
      <c r="P34" s="602">
        <f>SUMIF($Z$28:$Z$30,"landbouw",P28:P30)</f>
        <v>0</v>
      </c>
      <c r="Q34" s="602">
        <f>SUMIF($Z$28:$Z$30,"landbouw",Q28:Q30)</f>
        <v>31856.142857142859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0</v>
      </c>
      <c r="C50" s="631">
        <f t="shared" si="2"/>
        <v>13117.235294117647</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0</v>
      </c>
      <c r="C51" s="634">
        <f t="shared" si="3"/>
        <v>18738.907563025212</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28711.305044877008</v>
      </c>
      <c r="C4" s="452">
        <f>huishoudens!C8</f>
        <v>0</v>
      </c>
      <c r="D4" s="452">
        <f>huishoudens!D8</f>
        <v>47079.973895019997</v>
      </c>
      <c r="E4" s="452">
        <f>huishoudens!E8</f>
        <v>25299.563081159984</v>
      </c>
      <c r="F4" s="452">
        <f>huishoudens!F8</f>
        <v>9258.3049205704865</v>
      </c>
      <c r="G4" s="452">
        <f>huishoudens!G8</f>
        <v>0</v>
      </c>
      <c r="H4" s="452">
        <f>huishoudens!H8</f>
        <v>0</v>
      </c>
      <c r="I4" s="452">
        <f>huishoudens!I8</f>
        <v>0</v>
      </c>
      <c r="J4" s="452">
        <f>huishoudens!J8</f>
        <v>1039.0422802440744</v>
      </c>
      <c r="K4" s="452">
        <f>huishoudens!K8</f>
        <v>0</v>
      </c>
      <c r="L4" s="452">
        <f>huishoudens!L8</f>
        <v>0</v>
      </c>
      <c r="M4" s="452">
        <f>huishoudens!M8</f>
        <v>0</v>
      </c>
      <c r="N4" s="452">
        <f>huishoudens!N8</f>
        <v>28423.468249671016</v>
      </c>
      <c r="O4" s="452">
        <f>huishoudens!O8</f>
        <v>732.08058295381477</v>
      </c>
      <c r="P4" s="453">
        <f>huishoudens!P8</f>
        <v>853.25070392248676</v>
      </c>
      <c r="Q4" s="454">
        <f>SUM(B4:P4)</f>
        <v>141396.98875841885</v>
      </c>
    </row>
    <row r="5" spans="1:17">
      <c r="A5" s="451" t="s">
        <v>155</v>
      </c>
      <c r="B5" s="452">
        <f ca="1">tertiair!B16</f>
        <v>19494.394334000001</v>
      </c>
      <c r="C5" s="452">
        <f ca="1">tertiair!C16</f>
        <v>0</v>
      </c>
      <c r="D5" s="452">
        <f ca="1">tertiair!D16</f>
        <v>44255.158147068003</v>
      </c>
      <c r="E5" s="452">
        <f>tertiair!E16</f>
        <v>244.70581354841843</v>
      </c>
      <c r="F5" s="452">
        <f ca="1">tertiair!F16</f>
        <v>2351.4749716155238</v>
      </c>
      <c r="G5" s="452">
        <f>tertiair!G16</f>
        <v>0</v>
      </c>
      <c r="H5" s="452">
        <f>tertiair!H16</f>
        <v>0</v>
      </c>
      <c r="I5" s="452">
        <f>tertiair!I16</f>
        <v>0</v>
      </c>
      <c r="J5" s="452">
        <f>tertiair!J16</f>
        <v>8.9465389854047395E-2</v>
      </c>
      <c r="K5" s="452">
        <f>tertiair!K16</f>
        <v>0</v>
      </c>
      <c r="L5" s="452">
        <f ca="1">tertiair!L16</f>
        <v>0</v>
      </c>
      <c r="M5" s="452">
        <f>tertiair!M16</f>
        <v>0</v>
      </c>
      <c r="N5" s="452">
        <f ca="1">tertiair!N16</f>
        <v>3498.6506246403769</v>
      </c>
      <c r="O5" s="452">
        <f>tertiair!O16</f>
        <v>39.178086126729234</v>
      </c>
      <c r="P5" s="453">
        <f>tertiair!P16</f>
        <v>105.07827661299004</v>
      </c>
      <c r="Q5" s="451">
        <f t="shared" ref="Q5:Q14" ca="1" si="0">SUM(B5:P5)</f>
        <v>69988.729719001902</v>
      </c>
    </row>
    <row r="6" spans="1:17">
      <c r="A6" s="451" t="s">
        <v>193</v>
      </c>
      <c r="B6" s="452">
        <f>'openbare verlichting'!B8</f>
        <v>900.88499999999999</v>
      </c>
      <c r="C6" s="452"/>
      <c r="D6" s="452"/>
      <c r="E6" s="452"/>
      <c r="F6" s="452"/>
      <c r="G6" s="452"/>
      <c r="H6" s="452"/>
      <c r="I6" s="452"/>
      <c r="J6" s="452"/>
      <c r="K6" s="452"/>
      <c r="L6" s="452"/>
      <c r="M6" s="452"/>
      <c r="N6" s="452"/>
      <c r="O6" s="452"/>
      <c r="P6" s="453"/>
      <c r="Q6" s="451">
        <f t="shared" si="0"/>
        <v>900.88499999999999</v>
      </c>
    </row>
    <row r="7" spans="1:17">
      <c r="A7" s="451" t="s">
        <v>111</v>
      </c>
      <c r="B7" s="452">
        <f>landbouw!B8</f>
        <v>4073.1972809999997</v>
      </c>
      <c r="C7" s="452">
        <f>landbouw!C8</f>
        <v>15928.071428571429</v>
      </c>
      <c r="D7" s="452">
        <f>landbouw!D8</f>
        <v>216.48220538999999</v>
      </c>
      <c r="E7" s="452">
        <f>landbouw!E8</f>
        <v>127.12314396525136</v>
      </c>
      <c r="F7" s="452">
        <f>landbouw!F8</f>
        <v>14395.130407676772</v>
      </c>
      <c r="G7" s="452">
        <f>landbouw!G8</f>
        <v>0</v>
      </c>
      <c r="H7" s="452">
        <f>landbouw!H8</f>
        <v>0</v>
      </c>
      <c r="I7" s="452">
        <f>landbouw!I8</f>
        <v>0</v>
      </c>
      <c r="J7" s="452">
        <f>landbouw!J8</f>
        <v>1122.1940982910858</v>
      </c>
      <c r="K7" s="452">
        <f>landbouw!K8</f>
        <v>0</v>
      </c>
      <c r="L7" s="452">
        <f>landbouw!L8</f>
        <v>0</v>
      </c>
      <c r="M7" s="452">
        <f>landbouw!M8</f>
        <v>0</v>
      </c>
      <c r="N7" s="452">
        <f>landbouw!N8</f>
        <v>0</v>
      </c>
      <c r="O7" s="452">
        <f>landbouw!O8</f>
        <v>0</v>
      </c>
      <c r="P7" s="453">
        <f>landbouw!P8</f>
        <v>0</v>
      </c>
      <c r="Q7" s="451">
        <f t="shared" si="0"/>
        <v>35862.198564894541</v>
      </c>
    </row>
    <row r="8" spans="1:17">
      <c r="A8" s="451" t="s">
        <v>625</v>
      </c>
      <c r="B8" s="452">
        <f>industrie!B18</f>
        <v>16714.565531</v>
      </c>
      <c r="C8" s="452">
        <f>industrie!C18</f>
        <v>0</v>
      </c>
      <c r="D8" s="452">
        <f>industrie!D18</f>
        <v>18158.956525798003</v>
      </c>
      <c r="E8" s="452">
        <f>industrie!E18</f>
        <v>1565.7910762131714</v>
      </c>
      <c r="F8" s="452">
        <f>industrie!F18</f>
        <v>5290.2059225726471</v>
      </c>
      <c r="G8" s="452">
        <f>industrie!G18</f>
        <v>0</v>
      </c>
      <c r="H8" s="452">
        <f>industrie!H18</f>
        <v>0</v>
      </c>
      <c r="I8" s="452">
        <f>industrie!I18</f>
        <v>0</v>
      </c>
      <c r="J8" s="452">
        <f>industrie!J18</f>
        <v>44.366666866464044</v>
      </c>
      <c r="K8" s="452">
        <f>industrie!K18</f>
        <v>0</v>
      </c>
      <c r="L8" s="452">
        <f>industrie!L18</f>
        <v>0</v>
      </c>
      <c r="M8" s="452">
        <f>industrie!M18</f>
        <v>0</v>
      </c>
      <c r="N8" s="452">
        <f>industrie!N18</f>
        <v>815.98814457313495</v>
      </c>
      <c r="O8" s="452">
        <f>industrie!O18</f>
        <v>0</v>
      </c>
      <c r="P8" s="453">
        <f>industrie!P18</f>
        <v>0</v>
      </c>
      <c r="Q8" s="451">
        <f t="shared" si="0"/>
        <v>42589.873867023423</v>
      </c>
    </row>
    <row r="9" spans="1:17" s="457" customFormat="1">
      <c r="A9" s="455" t="s">
        <v>551</v>
      </c>
      <c r="B9" s="456">
        <f>transport!B14</f>
        <v>119.13364621868467</v>
      </c>
      <c r="C9" s="456">
        <f>transport!C14</f>
        <v>0</v>
      </c>
      <c r="D9" s="456">
        <f>transport!D14</f>
        <v>411.95845478309838</v>
      </c>
      <c r="E9" s="456">
        <f>transport!E14</f>
        <v>403.16333513658589</v>
      </c>
      <c r="F9" s="456">
        <f>transport!F14</f>
        <v>0</v>
      </c>
      <c r="G9" s="456">
        <f>transport!G14</f>
        <v>215352.27165323505</v>
      </c>
      <c r="H9" s="456">
        <f>transport!H14</f>
        <v>39526.819600909366</v>
      </c>
      <c r="I9" s="456">
        <f>transport!I14</f>
        <v>0</v>
      </c>
      <c r="J9" s="456">
        <f>transport!J14</f>
        <v>0</v>
      </c>
      <c r="K9" s="456">
        <f>transport!K14</f>
        <v>0</v>
      </c>
      <c r="L9" s="456">
        <f>transport!L14</f>
        <v>0</v>
      </c>
      <c r="M9" s="456">
        <f>transport!M14</f>
        <v>15030.359138483645</v>
      </c>
      <c r="N9" s="456">
        <f>transport!N14</f>
        <v>0</v>
      </c>
      <c r="O9" s="456">
        <f>transport!O14</f>
        <v>0</v>
      </c>
      <c r="P9" s="456">
        <f>transport!P14</f>
        <v>0</v>
      </c>
      <c r="Q9" s="455">
        <f>SUM(B9:P9)</f>
        <v>270843.7058287664</v>
      </c>
    </row>
    <row r="10" spans="1:17">
      <c r="A10" s="451" t="s">
        <v>541</v>
      </c>
      <c r="B10" s="452">
        <f>transport!B54</f>
        <v>0</v>
      </c>
      <c r="C10" s="452">
        <f>transport!C54</f>
        <v>0</v>
      </c>
      <c r="D10" s="452">
        <f>transport!D54</f>
        <v>0</v>
      </c>
      <c r="E10" s="452">
        <f>transport!E54</f>
        <v>0</v>
      </c>
      <c r="F10" s="452">
        <f>transport!F54</f>
        <v>0</v>
      </c>
      <c r="G10" s="452">
        <f>transport!G54</f>
        <v>963.04978138619992</v>
      </c>
      <c r="H10" s="452">
        <f>transport!H54</f>
        <v>0</v>
      </c>
      <c r="I10" s="452">
        <f>transport!I54</f>
        <v>0</v>
      </c>
      <c r="J10" s="452">
        <f>transport!J54</f>
        <v>0</v>
      </c>
      <c r="K10" s="452">
        <f>transport!K54</f>
        <v>0</v>
      </c>
      <c r="L10" s="452">
        <f>transport!L54</f>
        <v>0</v>
      </c>
      <c r="M10" s="452">
        <f>transport!M54</f>
        <v>53.517992113914659</v>
      </c>
      <c r="N10" s="452">
        <f>transport!N54</f>
        <v>0</v>
      </c>
      <c r="O10" s="452">
        <f>transport!O54</f>
        <v>0</v>
      </c>
      <c r="P10" s="453">
        <f>transport!P54</f>
        <v>0</v>
      </c>
      <c r="Q10" s="451">
        <f t="shared" si="0"/>
        <v>1016.5677735001145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1039.752058</v>
      </c>
      <c r="C14" s="459"/>
      <c r="D14" s="459">
        <f>'SEAP template'!E25</f>
        <v>1721.315421</v>
      </c>
      <c r="E14" s="459"/>
      <c r="F14" s="459"/>
      <c r="G14" s="459"/>
      <c r="H14" s="459"/>
      <c r="I14" s="459"/>
      <c r="J14" s="459"/>
      <c r="K14" s="459"/>
      <c r="L14" s="459"/>
      <c r="M14" s="459"/>
      <c r="N14" s="459"/>
      <c r="O14" s="459"/>
      <c r="P14" s="460"/>
      <c r="Q14" s="451">
        <f t="shared" si="0"/>
        <v>2761.0674790000003</v>
      </c>
    </row>
    <row r="15" spans="1:17" s="463" customFormat="1">
      <c r="A15" s="461" t="s">
        <v>545</v>
      </c>
      <c r="B15" s="462">
        <f ca="1">SUM(B4:B14)</f>
        <v>71053.232895095702</v>
      </c>
      <c r="C15" s="462">
        <f t="shared" ref="C15:Q15" ca="1" si="1">SUM(C4:C14)</f>
        <v>15928.071428571429</v>
      </c>
      <c r="D15" s="462">
        <f t="shared" ca="1" si="1"/>
        <v>111843.8446490591</v>
      </c>
      <c r="E15" s="462">
        <f t="shared" si="1"/>
        <v>27640.346450023411</v>
      </c>
      <c r="F15" s="462">
        <f t="shared" ca="1" si="1"/>
        <v>31295.11622243543</v>
      </c>
      <c r="G15" s="462">
        <f t="shared" si="1"/>
        <v>216315.32143462123</v>
      </c>
      <c r="H15" s="462">
        <f t="shared" si="1"/>
        <v>39526.819600909366</v>
      </c>
      <c r="I15" s="462">
        <f t="shared" si="1"/>
        <v>0</v>
      </c>
      <c r="J15" s="462">
        <f t="shared" si="1"/>
        <v>2205.6925107914781</v>
      </c>
      <c r="K15" s="462">
        <f t="shared" si="1"/>
        <v>0</v>
      </c>
      <c r="L15" s="462">
        <f t="shared" ca="1" si="1"/>
        <v>0</v>
      </c>
      <c r="M15" s="462">
        <f t="shared" si="1"/>
        <v>15083.877130597561</v>
      </c>
      <c r="N15" s="462">
        <f t="shared" ca="1" si="1"/>
        <v>32738.107018884526</v>
      </c>
      <c r="O15" s="462">
        <f t="shared" si="1"/>
        <v>771.258669080544</v>
      </c>
      <c r="P15" s="462">
        <f t="shared" si="1"/>
        <v>958.32898053547683</v>
      </c>
      <c r="Q15" s="462">
        <f t="shared" ca="1" si="1"/>
        <v>565360.01699060516</v>
      </c>
    </row>
    <row r="17" spans="1:17">
      <c r="A17" s="464" t="s">
        <v>546</v>
      </c>
      <c r="B17" s="781">
        <f ca="1">huishoudens!B10</f>
        <v>0.16358009156459191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4696.5979081799105</v>
      </c>
      <c r="C22" s="452">
        <f t="shared" ref="C22:C32" ca="1" si="3">C4*$C$17</f>
        <v>0</v>
      </c>
      <c r="D22" s="452">
        <f t="shared" ref="D22:D32" si="4">D4*$D$17</f>
        <v>9510.1547267940405</v>
      </c>
      <c r="E22" s="452">
        <f t="shared" ref="E22:E32" si="5">E4*$E$17</f>
        <v>5743.0008194233169</v>
      </c>
      <c r="F22" s="452">
        <f t="shared" ref="F22:F32" si="6">F4*$F$17</f>
        <v>2471.9674137923203</v>
      </c>
      <c r="G22" s="452">
        <f t="shared" ref="G22:G32" si="7">G4*$G$17</f>
        <v>0</v>
      </c>
      <c r="H22" s="452">
        <f t="shared" ref="H22:H32" si="8">H4*$H$17</f>
        <v>0</v>
      </c>
      <c r="I22" s="452">
        <f t="shared" ref="I22:I32" si="9">I4*$I$17</f>
        <v>0</v>
      </c>
      <c r="J22" s="452">
        <f t="shared" ref="J22:J32" si="10">J4*$J$17</f>
        <v>367.82096720640232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22789.541835395994</v>
      </c>
    </row>
    <row r="23" spans="1:17">
      <c r="A23" s="451" t="s">
        <v>155</v>
      </c>
      <c r="B23" s="452">
        <f t="shared" ca="1" si="2"/>
        <v>3188.8948101519818</v>
      </c>
      <c r="C23" s="452">
        <f t="shared" ca="1" si="3"/>
        <v>0</v>
      </c>
      <c r="D23" s="452">
        <f t="shared" ca="1" si="4"/>
        <v>8939.5419457077369</v>
      </c>
      <c r="E23" s="452">
        <f t="shared" si="5"/>
        <v>55.548219675490984</v>
      </c>
      <c r="F23" s="452">
        <f t="shared" ca="1" si="6"/>
        <v>627.84381742134485</v>
      </c>
      <c r="G23" s="452">
        <f t="shared" si="7"/>
        <v>0</v>
      </c>
      <c r="H23" s="452">
        <f t="shared" si="8"/>
        <v>0</v>
      </c>
      <c r="I23" s="452">
        <f t="shared" si="9"/>
        <v>0</v>
      </c>
      <c r="J23" s="452">
        <f t="shared" si="10"/>
        <v>3.1670748008332777E-2</v>
      </c>
      <c r="K23" s="452">
        <f t="shared" si="11"/>
        <v>0</v>
      </c>
      <c r="L23" s="452">
        <f t="shared" ca="1" si="12"/>
        <v>0</v>
      </c>
      <c r="M23" s="452">
        <f t="shared" si="13"/>
        <v>0</v>
      </c>
      <c r="N23" s="452">
        <f t="shared" ca="1" si="14"/>
        <v>0</v>
      </c>
      <c r="O23" s="452">
        <f t="shared" si="15"/>
        <v>0</v>
      </c>
      <c r="P23" s="453">
        <f t="shared" si="16"/>
        <v>0</v>
      </c>
      <c r="Q23" s="451">
        <f t="shared" ref="Q23:Q31" ca="1" si="17">SUM(B23:P23)</f>
        <v>12811.860463704563</v>
      </c>
    </row>
    <row r="24" spans="1:17">
      <c r="A24" s="451" t="s">
        <v>193</v>
      </c>
      <c r="B24" s="452">
        <f t="shared" ca="1" si="2"/>
        <v>147.36685078916739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147.36685078916739</v>
      </c>
    </row>
    <row r="25" spans="1:17">
      <c r="A25" s="451" t="s">
        <v>111</v>
      </c>
      <c r="B25" s="452">
        <f t="shared" ca="1" si="2"/>
        <v>666.29398418662674</v>
      </c>
      <c r="C25" s="452">
        <f t="shared" ca="1" si="3"/>
        <v>0</v>
      </c>
      <c r="D25" s="452">
        <f t="shared" si="4"/>
        <v>43.729405488780003</v>
      </c>
      <c r="E25" s="452">
        <f t="shared" si="5"/>
        <v>28.85695368011206</v>
      </c>
      <c r="F25" s="452">
        <f t="shared" si="6"/>
        <v>3843.4998188496984</v>
      </c>
      <c r="G25" s="452">
        <f t="shared" si="7"/>
        <v>0</v>
      </c>
      <c r="H25" s="452">
        <f t="shared" si="8"/>
        <v>0</v>
      </c>
      <c r="I25" s="452">
        <f t="shared" si="9"/>
        <v>0</v>
      </c>
      <c r="J25" s="452">
        <f t="shared" si="10"/>
        <v>397.25671079504434</v>
      </c>
      <c r="K25" s="452">
        <f t="shared" si="11"/>
        <v>0</v>
      </c>
      <c r="L25" s="452">
        <f t="shared" si="12"/>
        <v>0</v>
      </c>
      <c r="M25" s="452">
        <f t="shared" si="13"/>
        <v>0</v>
      </c>
      <c r="N25" s="452">
        <f t="shared" si="14"/>
        <v>0</v>
      </c>
      <c r="O25" s="452">
        <f t="shared" si="15"/>
        <v>0</v>
      </c>
      <c r="P25" s="453">
        <f t="shared" si="16"/>
        <v>0</v>
      </c>
      <c r="Q25" s="451">
        <f t="shared" ca="1" si="17"/>
        <v>4979.6368730002614</v>
      </c>
    </row>
    <row r="26" spans="1:17">
      <c r="A26" s="451" t="s">
        <v>625</v>
      </c>
      <c r="B26" s="452">
        <f t="shared" ca="1" si="2"/>
        <v>2734.1701600233519</v>
      </c>
      <c r="C26" s="452">
        <f t="shared" ca="1" si="3"/>
        <v>0</v>
      </c>
      <c r="D26" s="452">
        <f t="shared" si="4"/>
        <v>3668.109218211197</v>
      </c>
      <c r="E26" s="452">
        <f t="shared" si="5"/>
        <v>355.43457430038995</v>
      </c>
      <c r="F26" s="452">
        <f t="shared" si="6"/>
        <v>1412.4849813268968</v>
      </c>
      <c r="G26" s="452">
        <f t="shared" si="7"/>
        <v>0</v>
      </c>
      <c r="H26" s="452">
        <f t="shared" si="8"/>
        <v>0</v>
      </c>
      <c r="I26" s="452">
        <f t="shared" si="9"/>
        <v>0</v>
      </c>
      <c r="J26" s="452">
        <f t="shared" si="10"/>
        <v>15.705800070728271</v>
      </c>
      <c r="K26" s="452">
        <f t="shared" si="11"/>
        <v>0</v>
      </c>
      <c r="L26" s="452">
        <f t="shared" si="12"/>
        <v>0</v>
      </c>
      <c r="M26" s="452">
        <f t="shared" si="13"/>
        <v>0</v>
      </c>
      <c r="N26" s="452">
        <f t="shared" si="14"/>
        <v>0</v>
      </c>
      <c r="O26" s="452">
        <f t="shared" si="15"/>
        <v>0</v>
      </c>
      <c r="P26" s="453">
        <f t="shared" si="16"/>
        <v>0</v>
      </c>
      <c r="Q26" s="451">
        <f t="shared" ca="1" si="17"/>
        <v>8185.9047339325634</v>
      </c>
    </row>
    <row r="27" spans="1:17" s="457" customFormat="1">
      <c r="A27" s="455" t="s">
        <v>551</v>
      </c>
      <c r="B27" s="775">
        <f t="shared" ca="1" si="2"/>
        <v>19.487892756876139</v>
      </c>
      <c r="C27" s="456">
        <f t="shared" ca="1" si="3"/>
        <v>0</v>
      </c>
      <c r="D27" s="456">
        <f t="shared" si="4"/>
        <v>83.215607866185877</v>
      </c>
      <c r="E27" s="456">
        <f t="shared" si="5"/>
        <v>91.518077076005</v>
      </c>
      <c r="F27" s="456">
        <f t="shared" si="6"/>
        <v>0</v>
      </c>
      <c r="G27" s="456">
        <f t="shared" si="7"/>
        <v>57499.056531413764</v>
      </c>
      <c r="H27" s="456">
        <f t="shared" si="8"/>
        <v>9842.1780806264323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67535.45618973927</v>
      </c>
    </row>
    <row r="28" spans="1:17" ht="16.5" customHeight="1">
      <c r="A28" s="451" t="s">
        <v>541</v>
      </c>
      <c r="B28" s="452">
        <f t="shared" ca="1" si="2"/>
        <v>0</v>
      </c>
      <c r="C28" s="452">
        <f t="shared" ca="1" si="3"/>
        <v>0</v>
      </c>
      <c r="D28" s="452">
        <f t="shared" si="4"/>
        <v>0</v>
      </c>
      <c r="E28" s="452">
        <f t="shared" si="5"/>
        <v>0</v>
      </c>
      <c r="F28" s="452">
        <f t="shared" si="6"/>
        <v>0</v>
      </c>
      <c r="G28" s="452">
        <f t="shared" si="7"/>
        <v>257.1342916301154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257.1342916301154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170.08273685211287</v>
      </c>
      <c r="C32" s="452">
        <f t="shared" ca="1" si="3"/>
        <v>0</v>
      </c>
      <c r="D32" s="452">
        <f t="shared" si="4"/>
        <v>347.70571504200001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517.78845189411288</v>
      </c>
    </row>
    <row r="33" spans="1:17" s="463" customFormat="1">
      <c r="A33" s="461" t="s">
        <v>545</v>
      </c>
      <c r="B33" s="462">
        <f ca="1">SUM(B22:B32)</f>
        <v>11622.894342940028</v>
      </c>
      <c r="C33" s="462">
        <f t="shared" ref="C33:Q33" ca="1" si="19">SUM(C22:C32)</f>
        <v>0</v>
      </c>
      <c r="D33" s="462">
        <f t="shared" ca="1" si="19"/>
        <v>22592.45661910994</v>
      </c>
      <c r="E33" s="462">
        <f t="shared" si="19"/>
        <v>6274.3586441553152</v>
      </c>
      <c r="F33" s="462">
        <f t="shared" ca="1" si="19"/>
        <v>8355.7960313902604</v>
      </c>
      <c r="G33" s="462">
        <f t="shared" si="19"/>
        <v>57756.190823043878</v>
      </c>
      <c r="H33" s="462">
        <f t="shared" si="19"/>
        <v>9842.1780806264323</v>
      </c>
      <c r="I33" s="462">
        <f t="shared" si="19"/>
        <v>0</v>
      </c>
      <c r="J33" s="462">
        <f t="shared" si="19"/>
        <v>780.81514882018325</v>
      </c>
      <c r="K33" s="462">
        <f t="shared" si="19"/>
        <v>0</v>
      </c>
      <c r="L33" s="462">
        <f t="shared" ca="1" si="19"/>
        <v>0</v>
      </c>
      <c r="M33" s="462">
        <f t="shared" si="19"/>
        <v>0</v>
      </c>
      <c r="N33" s="462">
        <f t="shared" ca="1" si="19"/>
        <v>0</v>
      </c>
      <c r="O33" s="462">
        <f t="shared" si="19"/>
        <v>0</v>
      </c>
      <c r="P33" s="462">
        <f t="shared" si="19"/>
        <v>0</v>
      </c>
      <c r="Q33" s="462">
        <f t="shared" ca="1" si="19"/>
        <v>117224.68969008606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7311.3008003444338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11149.65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13117.235294117647</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18460.950800344435</v>
      </c>
      <c r="C10" s="1031">
        <f>SUM(C4:C9)</f>
        <v>0</v>
      </c>
      <c r="D10" s="1031">
        <f t="shared" ref="D10:H10" si="0">SUM(D8:D9)</f>
        <v>0</v>
      </c>
      <c r="E10" s="1031">
        <f t="shared" si="0"/>
        <v>0</v>
      </c>
      <c r="F10" s="1031">
        <f t="shared" si="0"/>
        <v>0</v>
      </c>
      <c r="G10" s="1031">
        <f t="shared" si="0"/>
        <v>0</v>
      </c>
      <c r="H10" s="1031">
        <f t="shared" si="0"/>
        <v>0</v>
      </c>
      <c r="I10" s="1031">
        <f>SUM(I8:I9)</f>
        <v>0</v>
      </c>
      <c r="J10" s="1031">
        <f>SUM(J8:J9)</f>
        <v>13117.235294117647</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0.16358009156459191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15928.071428571429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18738.907563025212</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15928.071428571429</v>
      </c>
      <c r="C20" s="1031">
        <f>SUM(C17:C19)</f>
        <v>0</v>
      </c>
      <c r="D20" s="1031">
        <f t="shared" ref="D20:H20" si="2">SUM(D17:D19)</f>
        <v>0</v>
      </c>
      <c r="E20" s="1031">
        <f t="shared" si="2"/>
        <v>0</v>
      </c>
      <c r="F20" s="1031">
        <f t="shared" si="2"/>
        <v>0</v>
      </c>
      <c r="G20" s="1031">
        <f t="shared" si="2"/>
        <v>0</v>
      </c>
      <c r="H20" s="1031">
        <f t="shared" si="2"/>
        <v>0</v>
      </c>
      <c r="I20" s="1031">
        <f>SUM(I17:I19)</f>
        <v>0</v>
      </c>
      <c r="J20" s="1031">
        <f>SUM(J17:J19)</f>
        <v>18738.907563025212</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0.16358009156459191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2020-06-20T15:32:20Z</dcterms:modified>
</cp:coreProperties>
</file>