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B15" i="48" l="1"/>
  <c r="I76" i="14"/>
  <c r="I8" i="59" s="1"/>
  <c r="I10" i="59" s="1"/>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0" i="13"/>
  <c r="C12" i="13" s="1"/>
  <c r="D41" i="14" s="1"/>
  <c r="D46" i="14" s="1"/>
  <c r="D61" i="14" s="1"/>
  <c r="D63" i="14" s="1"/>
  <c r="C29" i="20"/>
  <c r="C20" i="16"/>
  <c r="C22" i="16" s="1"/>
  <c r="D43" i="14" s="1"/>
  <c r="C17" i="19"/>
  <c r="C19" i="19" s="1"/>
  <c r="D39" i="14" s="1"/>
  <c r="C18" i="15"/>
  <c r="C20" i="15" s="1"/>
  <c r="D40"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<sst xmlns="http://schemas.openxmlformats.org/spreadsheetml/2006/main" count="2411" uniqueCount="895">
  <si>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</si>
  <si>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</si>
  <si>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</si>
  <si>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</si>
  <si>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</si>
  <si>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</si>
  <si>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</si>
  <si>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</si>
  <si>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</si>
  <si>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</si>
  <si>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</si>
  <si>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</si>
  <si>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</si>
  <si>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</si>
  <si>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</si>
  <si>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</si>
  <si>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</si>
  <si>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</si>
  <si>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</si>
  <si>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</si>
  <si>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</si>
  <si>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</si>
  <si>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</si>
  <si>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</si>
  <si>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</si>
  <si>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</si>
  <si>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</si>
  <si>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</si>
  <si>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</si>
  <si>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</si>
  <si>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</si>
  <si>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</si>
  <si>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</si>
  <si>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</si>
  <si>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</si>
  <si>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</si>
  <si>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</si>
  <si>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</si>
  <si>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</si>
  <si>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</si>
  <si>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</si>
  <si>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</si>
  <si>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</si>
  <si>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</si>
  <si>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</si>
  <si>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</si>
  <si>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</si>
  <si>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</si>
  <si>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</si>
  <si>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</si>
  <si>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</si>
  <si>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</si>
  <si>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</si>
  <si>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</si>
  <si>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</si>
  <si>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</si>
  <si>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</si>
  <si>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</si>
  <si>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</si>
  <si>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</si>
  <si>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</si>
  <si>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</si>
  <si>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</si>
  <si>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</si>
  <si>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</si>
  <si>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</si>
  <si>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</si>
  <si>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</si>
  <si>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</si>
  <si>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</si>
  <si>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</si>
  <si>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</si>
  <si>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</si>
  <si>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</si>
  <si>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</si>
  <si>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</si>
  <si>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</si>
  <si>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</si>
  <si>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</si>
  <si>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</si>
  <si>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</si>
  <si>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</si>
  <si>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</si>
  <si>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</si>
  <si>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</si>
  <si>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</si>
  <si>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</si>
  <si>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</si>
  <si>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</si>
  <si>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</si>
  <si>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</si>
  <si>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</si>
  <si>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</si>
  <si>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</si>
  <si>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</si>
  <si>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</si>
  <si>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</si>
  <si>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</si>
  <si>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</si>
  <si>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</si>
  <si>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</si>
  <si>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</si>
  <si>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</si>
  <si>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</si>
  <si>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</si>
  <si>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</si>
  <si>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</si>
  <si>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</si>
  <si>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</si>
  <si>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</si>
  <si>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</si>
  <si>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</si>
  <si>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</si>
  <si>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</si>
  <si>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</si>
  <si>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</si>
  <si>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</si>
  <si>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</si>
  <si>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</si>
  <si>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</si>
  <si>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</si>
  <si>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</si>
  <si>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</si>
  <si>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</si>
  <si>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</si>
  <si>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</si>
  <si>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</si>
  <si>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</si>
  <si>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</si>
  <si>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</si>
  <si>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</si>
  <si>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</si>
  <si>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</si>
  <si>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</si>
  <si>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</si>
  <si>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</si>
  <si>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</si>
  <si>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</si>
  <si>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</si>
  <si>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</si>
  <si>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</si>
  <si>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</si>
  <si>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</si>
  <si>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</si>
  <si>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</si>
  <si>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</si>
  <si>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</si>
  <si>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</si>
  <si>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</si>
  <si>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</si>
  <si>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</si>
  <si>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</si>
  <si>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</si>
  <si>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</si>
  <si>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</si>
  <si>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</si>
  <si>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</si>
  <si>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</si>
  <si>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</si>
  <si>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</si>
  <si>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</si>
  <si>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</si>
  <si>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</si>
  <si>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</si>
  <si>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</si>
  <si>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</si>
  <si>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</si>
  <si>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</si>
  <si>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</si>
  <si>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</si>
  <si>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</si>
  <si>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</si>
  <si>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</si>
  <si>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</si>
  <si>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</si>
  <si>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</si>
  <si>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</si>
  <si>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</si>
  <si>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</si>
  <si>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</si>
  <si>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</si>
  <si>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</si>
  <si>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</si>
  <si>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</si>
  <si>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</si>
  <si>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</si>
  <si>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</si>
  <si>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</si>
  <si>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</si>
  <si>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</si>
  <si>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</si>
  <si>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</si>
  <si>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</si>
  <si>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</si>
  <si>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</si>
  <si>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</si>
  <si>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</si>
  <si>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</si>
  <si>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</si>
  <si>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</si>
  <si>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</si>
  <si>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</si>
  <si>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</si>
  <si>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</si>
  <si>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</si>
  <si>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</si>
  <si>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</si>
  <si>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</si>
  <si>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</si>
  <si>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</si>
  <si>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</si>
  <si>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</si>
  <si>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</si>
  <si>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</si>
  <si>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</si>
  <si>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</si>
  <si>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</si>
  <si>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</si>
  <si>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</si>
  <si>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</si>
  <si>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</si>
  <si>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</si>
  <si>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</si>
  <si>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</si>
  <si>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</si>
  <si>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</si>
  <si>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</si>
  <si>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</si>
  <si>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</si>
  <si>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</si>
  <si>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</si>
  <si>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</si>
  <si>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</si>
  <si>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</si>
  <si>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</si>
  <si>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</si>
  <si>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</si>
  <si>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</si>
  <si>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</si>
  <si>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</si>
  <si>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</si>
  <si>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</si>
  <si>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</si>
  <si>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</si>
  <si>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</si>
  <si>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</si>
  <si>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</si>
  <si>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</si>
  <si>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</si>
  <si>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</si>
  <si>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</si>
  <si>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</si>
  <si>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</si>
  <si>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</si>
  <si>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</si>
  <si>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</si>
  <si>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</si>
  <si>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</si>
  <si>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</si>
  <si>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</si>
  <si>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</si>
  <si>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</si>
  <si>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</si>
  <si>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</si>
  <si>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</si>
  <si>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</si>
  <si>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</si>
  <si>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</si>
  <si>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</si>
  <si>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</si>
  <si>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</si>
  <si>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</si>
  <si>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</si>
  <si>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</si>
  <si>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</si>
  <si>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</si>
  <si>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</si>
  <si>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</si>
  <si>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</si>
  <si>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</si>
  <si>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</si>
  <si>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</si>
  <si>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</si>
  <si>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</si>
  <si>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</si>
  <si>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</si>
  <si>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</si>
  <si>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</si>
  <si>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</si>
  <si>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</si>
  <si>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</si>
  <si>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</si>
  <si>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</si>
  <si>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</si>
  <si>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</si>
  <si>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</si>
  <si>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</si>
  <si>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</si>
  <si>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</si>
  <si>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</si>
  <si>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</si>
  <si>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</si>
  <si>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</si>
  <si>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</si>
  <si>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</si>
  <si>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</si>
  <si>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</si>
  <si>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</si>
  <si>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</si>
  <si>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</si>
  <si>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</si>
  <si>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</si>
  <si>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</si>
  <si>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</si>
  <si>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</si>
  <si>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</si>
  <si>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</si>
  <si>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</si>
  <si>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</si>
  <si>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</si>
  <si>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</si>
  <si>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</si>
  <si>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</si>
  <si>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</si>
  <si>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</si>
  <si>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</si>
  <si>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</si>
  <si>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</si>
  <si>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</si>
  <si>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</si>
  <si>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</si>
  <si>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</si>
  <si>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</si>
  <si>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</si>
  <si>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</si>
  <si>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</si>
  <si>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</si>
  <si>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</si>
  <si>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</si>
  <si>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</si>
  <si>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</si>
  <si>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</si>
  <si>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</si>
  <si>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</si>
  <si>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</si>
  <si>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</si>
  <si>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</si>
  <si>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</si>
  <si>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</si>
  <si>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</si>
  <si>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</si>
  <si>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</si>
  <si>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</si>
  <si>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</si>
  <si>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</si>
  <si>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</si>
  <si>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</si>
  <si>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</si>
  <si>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</si>
  <si>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</si>
  <si>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</si>
  <si>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</si>
  <si>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</si>
  <si>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</si>
  <si>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</si>
  <si>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</si>
  <si>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</si>
  <si>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</si>
  <si>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</si>
  <si>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</si>
  <si>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</si>
  <si>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</si>
  <si>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</si>
  <si>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</si>
  <si>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</si>
  <si>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</si>
  <si>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</si>
  <si>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</si>
  <si>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</si>
  <si>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</si>
  <si>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</si>
  <si>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</si>
  <si>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</si>
  <si>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</si>
  <si>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</si>
  <si>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</si>
  <si>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</si>
  <si>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</si>
  <si>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</si>
  <si>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</si>
  <si>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</si>
  <si>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</si>
  <si>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</si>
  <si>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</si>
  <si>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</si>
  <si>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</si>
  <si>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</si>
  <si>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</si>
  <si>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</si>
  <si>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</si>
  <si>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</si>
  <si>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</si>
  <si>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</si>
  <si>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</si>
  <si>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</si>
  <si>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</si>
  <si>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</si>
  <si>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</si>
  <si>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</si>
  <si>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</si>
  <si>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</si>
  <si>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</si>
  <si>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</si>
  <si>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</si>
  <si>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</si>
  <si>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</si>
  <si>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</si>
  <si>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</si>
  <si>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</si>
  <si>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</si>
  <si>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</si>
  <si>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</si>
  <si>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</si>
  <si>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</si>
  <si>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</si>
  <si>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</si>
  <si>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</si>
  <si>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</si>
  <si>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</si>
  <si>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</si>
  <si>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</si>
  <si>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</si>
  <si>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</si>
  <si>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</si>
  <si>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</si>
  <si>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</si>
  <si>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</si>
  <si>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</si>
  <si>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</si>
  <si>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</si>
  <si>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</si>
  <si>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</si>
  <si>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</si>
  <si>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</si>
  <si>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</si>
  <si>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</si>
  <si>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</si>
  <si>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</si>
  <si>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</si>
  <si>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</si>
  <si>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</si>
  <si>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</si>
  <si>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</si>
  <si>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</si>
  <si>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</si>
  <si>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</si>
  <si>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</si>
  <si>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</si>
  <si>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</si>
  <si>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</si>
  <si>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</si>
  <si>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</si>
  <si>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</si>
  <si>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</si>
  <si>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</si>
  <si>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</si>
  <si>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</si>
  <si>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</si>
  <si>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</si>
  <si>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</si>
  <si>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</si>
  <si>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</si>
  <si>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</si>
  <si>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</si>
  <si>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</si>
  <si>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</si>
  <si>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</si>
  <si>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</si>
  <si>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</si>
  <si>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</si>
  <si>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</si>
  <si>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</si>
  <si>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</si>
  <si>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</si>
  <si>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</si>
  <si>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</si>
  <si>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</si>
  <si>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</si>
  <si>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</si>
  <si>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</si>
  <si>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</si>
  <si>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</si>
  <si>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</si>
  <si>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</si>
  <si>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</si>
  <si>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</si>
  <si>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</si>
  <si>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</si>
  <si>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</si>
  <si>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</si>
  <si>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</si>
  <si>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</si>
  <si>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</si>
  <si>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</si>
  <si>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</si>
  <si>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</si>
  <si>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</si>
  <si>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</si>
  <si>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</si>
  <si>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</si>
  <si>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</si>
  <si>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</si>
  <si>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</si>
  <si>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</si>
  <si>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</si>
  <si>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</si>
  <si>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</si>
  <si>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</si>
  <si>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</si>
  <si>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</si>
  <si>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</si>
  <si>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</si>
  <si>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</si>
  <si>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</si>
  <si>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</si>
  <si>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</si>
  <si>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</si>
  <si>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</si>
  <si>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</si>
  <si>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</si>
  <si>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</si>
  <si>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</si>
  <si>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</si>
  <si>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</si>
  <si>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</si>
  <si>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</si>
  <si>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</si>
  <si>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</si>
  <si>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</si>
  <si>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</si>
  <si>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</si>
  <si>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</si>
  <si>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</si>
  <si>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</si>
  <si>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</si>
  <si>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</si>
  <si>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</si>
  <si>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</si>
  <si>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</si>
  <si>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</si>
  <si>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</si>
  <si>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</si>
  <si>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</si>
  <si>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</si>
  <si>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</si>
  <si>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</si>
  <si>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</si>
  <si>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</si>
  <si>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</si>
  <si>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</si>
  <si>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</si>
  <si>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</si>
  <si>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</si>
  <si>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</si>
  <si>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</si>
  <si>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</si>
  <si>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</si>
  <si>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</si>
  <si>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</si>
  <si>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</si>
  <si>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</si>
  <si>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</si>
  <si>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</si>
  <si>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</si>
  <si>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</si>
  <si>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</si>
  <si>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</si>
  <si>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</si>
  <si>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</si>
  <si>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</si>
  <si>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</si>
  <si>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</si>
  <si>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</si>
  <si>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</si>
  <si>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</si>
  <si>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</si>
  <si>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</si>
  <si>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</si>
  <si>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</si>
  <si>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</si>
  <si>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</si>
  <si>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</si>
  <si>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</si>
  <si>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</si>
  <si>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</si>
  <si>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</si>
  <si>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</si>
  <si>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</si>
  <si>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</si>
  <si>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</si>
  <si>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</si>
  <si>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</si>
  <si>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</si>
  <si>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</si>
  <si>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</si>
  <si>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</si>
  <si>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</si>
  <si>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</si>
  <si>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</si>
  <si>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</si>
  <si>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</si>
  <si>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</si>
  <si>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</si>
  <si>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</si>
  <si>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</si>
  <si>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</si>
  <si>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</si>
  <si>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</si>
  <si>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</si>
  <si>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</si>
  <si>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</si>
  <si>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</si>
  <si>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</si>
  <si>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</si>
  <si>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</si>
  <si>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</si>
  <si>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</si>
  <si>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</si>
  <si>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</si>
  <si>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</si>
  <si>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</si>
  <si>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</si>
  <si>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</si>
  <si>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</si>
  <si>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</si>
  <si>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</si>
  <si>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</si>
  <si>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</si>
  <si>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</si>
  <si>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</si>
  <si>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</si>
  <si>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</si>
  <si>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</si>
  <si>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</si>
  <si>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</si>
  <si>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</si>
  <si>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</si>
  <si>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</si>
  <si>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</si>
  <si>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</si>
  <si>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</si>
  <si>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</si>
  <si>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</si>
  <si>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</si>
  <si>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</si>
  <si>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</si>
  <si>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</si>
  <si>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</si>
  <si>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</si>
  <si>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</si>
  <si>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</si>
  <si>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</si>
  <si>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</si>
  <si>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</si>
  <si>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</si>
  <si>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</si>
  <si>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</si>
  <si>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</si>
  <si>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</si>
  <si>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</si>
  <si>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</si>
  <si>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</si>
  <si>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</si>
  <si>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</si>
  <si>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</si>
  <si>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</si>
  <si>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</si>
  <si>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</si>
  <si>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</si>
  <si>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</si>
  <si>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</si>
  <si>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</si>
  <si>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</si>
  <si>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</si>
  <si>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</si>
  <si>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</si>
  <si>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</si>
  <si>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</si>
  <si>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</si>
  <si>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</si>
  <si>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</si>
  <si>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</si>
  <si>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</si>
  <si>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</si>
  <si>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</si>
  <si>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</si>
  <si>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</si>
  <si>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</si>
  <si>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</si>
  <si>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</si>
  <si>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</si>
  <si>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</si>
  <si>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</si>
  <si>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</si>
  <si>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</si>
  <si>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</si>
  <si>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</si>
  <si>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</si>
  <si>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</si>
  <si>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</si>
  <si>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</si>
  <si>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</si>
  <si>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</si>
  <si>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</si>
  <si>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</si>
  <si>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</si>
  <si>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</si>
  <si>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</si>
  <si>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</si>
  <si>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</si>
  <si>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</si>
  <si>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</si>
  <si>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</si>
  <si>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</si>
  <si>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</si>
  <si>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</si>
  <si>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</si>
  <si>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</si>
  <si>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</si>
  <si>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</si>
  <si>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</si>
  <si>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</si>
  <si>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</si>
  <si>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</si>
  <si>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</si>
  <si>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</si>
  <si>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</si>
  <si>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</si>
  <si>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</si>
  <si>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</si>
  <si>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</si>
  <si>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</si>
  <si>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</si>
  <si>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</si>
  <si>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</si>
  <si>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</si>
  <si>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</si>
  <si>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</si>
  <si>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</si>
  <si>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</si>
  <si>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</si>
  <si>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</si>
  <si>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</si>
  <si>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</si>
  <si>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</si>
  <si>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</si>
  <si>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</si>
  <si>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</si>
  <si>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</si>
  <si>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</si>
  <si>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</si>
  <si>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</si>
  <si>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</si>
  <si>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</si>
  <si>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</si>
  <si>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</si>
  <si>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</si>
  <si>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</si>
  <si>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</si>
  <si>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</si>
  <si>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</si>
  <si>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</si>
  <si>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</si>
  <si>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</si>
  <si>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</si>
  <si>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</si>
  <si>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</si>
  <si>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</si>
  <si>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</si>
  <si>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</si>
  <si>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</si>
  <si>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</si>
  <si>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</si>
  <si>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</si>
  <si>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</si>
  <si>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</si>
  <si>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</si>
  <si>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</si>
  <si>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</si>
  <si>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</si>
  <si>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</si>
  <si>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</si>
  <si>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</si>
  <si>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</si>
  <si>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</si>
  <si>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</si>
  <si>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</si>
  <si>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</si>
  <si>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</si>
  <si>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</si>
  <si>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</si>
  <si>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</si>
  <si>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</si>
  <si>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</si>
  <si>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</si>
  <si>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</si>
  <si>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</si>
  <si>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</si>
  <si>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</si>
  <si>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</si>
  <si>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</si>
  <si>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</si>
  <si>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</si>
  <si>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</si>
  <si>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</si>
  <si>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</si>
  <si>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</si>
  <si>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</si>
  <si>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</si>
  <si>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</si>
  <si>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</si>
  <si>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</si>
  <si>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</si>
  <si>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</si>
  <si>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</si>
  <si>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</si>
  <si>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</si>
  <si>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</si>
  <si>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</si>
  <si>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</si>
  <si>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</si>
  <si>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</si>
  <si>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</si>
  <si>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</si>
  <si>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</si>
  <si>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</si>
  <si>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</si>
  <si>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</si>
  <si>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</si>
  <si>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</si>
  <si>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</si>
  <si>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</si>
  <si>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</si>
  <si>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</si>
  <si>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</si>
  <si>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</si>
  <si>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</si>
  <si>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</si>
  <si>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</si>
  <si>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</si>
  <si>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</si>
  <si>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</si>
  <si>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</si>
  <si>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</si>
  <si>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</si>
  <si>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</si>
  <si>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</si>
  <si>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</si>
  <si>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</si>
  <si>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</si>
  <si>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</si>
  <si>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</si>
  <si>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</si>
  <si>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</si>
  <si>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</si>
  <si>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</si>
  <si>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</si>
  <si>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</si>
  <si>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</si>
  <si>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</si>
  <si>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</si>
  <si>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</si>
  <si>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</si>
  <si>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</si>
  <si>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</si>
  <si>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</si>
  <si>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</si>
  <si>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</si>
  <si>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</si>
  <si>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</si>
  <si>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</si>
  <si>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</si>
  <si>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</si>
  <si>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</si>
  <si>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</si>
  <si>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24109</t>
  </si>
  <si>
    <t>TREMELO</t>
  </si>
  <si>
    <t>referentietaak LNE (2017); Jaarverslag De Lijn</t>
  </si>
  <si>
    <t>Architeam bvba</t>
  </si>
  <si>
    <t>Bleybergweg 14 , 3140 Keerbergen</t>
  </si>
  <si>
    <t>WKK-0192 Architeam</t>
  </si>
  <si>
    <t>interne verbrandingsmotor</t>
  </si>
  <si>
    <t>WKK interne verbrandinsgmotor (vloeibaar)</t>
  </si>
  <si>
    <t>Grootlosestraat 53 , 3128 Baal</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</si>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</sst>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140709.70943314783</c:v>
                </c:pt>
                <c:pt idx="1">
                  <c:v>26268.541196378828</c:v>
                </c:pt>
                <c:pt idx="2">
                  <c:v>987.851</c:v>
                </c:pt>
                <c:pt idx="3">
                  <c:v>8558.4106288867351</c:v>
                </c:pt>
                <c:pt idx="4">
                  <c:v>3277.8343807756664</c:v>
                </c:pt>
                <c:pt idx="5">
                  <c:v>41739.182177838149</c:v>
                </c:pt>
                <c:pt idx="6">
                  <c:v>825.18538233632648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140709.70943314783</c:v>
                </c:pt>
                <c:pt idx="1">
                  <c:v>26268.541196378828</c:v>
                </c:pt>
                <c:pt idx="2">
                  <c:v>987.851</c:v>
                </c:pt>
                <c:pt idx="3">
                  <c:v>8558.4106288867351</c:v>
                </c:pt>
                <c:pt idx="4">
                  <c:v>3277.8343807756664</c:v>
                </c:pt>
                <c:pt idx="5">
                  <c:v>41739.182177838149</c:v>
                </c:pt>
                <c:pt idx="6">
                  <c:v>825.18538233632648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29987.94139262446</c:v>
                </c:pt>
                <c:pt idx="1">
                  <c:v>5066.7746395312042</c:v>
                </c:pt>
                <c:pt idx="2">
                  <c:v>194.2553906289013</c:v>
                </c:pt>
                <c:pt idx="3">
                  <c:v>2200.2036437819388</c:v>
                </c:pt>
                <c:pt idx="4">
                  <c:v>693.9388920697977</c:v>
                </c:pt>
                <c:pt idx="5">
                  <c:v>10339.904235470476</c:v>
                </c:pt>
                <c:pt idx="6">
                  <c:v>208.72534451885545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29987.94139262446</c:v>
                </c:pt>
                <c:pt idx="1">
                  <c:v>5066.7746395312042</c:v>
                </c:pt>
                <c:pt idx="2">
                  <c:v>194.2553906289013</c:v>
                </c:pt>
                <c:pt idx="3">
                  <c:v>2200.2036437819388</c:v>
                </c:pt>
                <c:pt idx="4">
                  <c:v>693.9388920697977</c:v>
                </c:pt>
                <c:pt idx="5">
                  <c:v>10339.904235470476</c:v>
                </c:pt>
                <c:pt idx="6">
                  <c:v>208.72534451885545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24109</v>
      </c>
      <c r="B6" s="390"/>
      <c r="C6" s="391"/>
    </row>
    <row r="7" spans="1:7" s="388" customFormat="1" ht="15.75" customHeight="1">
      <c r="A7" s="392" t="str">
        <f>txtMunicipality</f>
        <v>TREMELO</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12272.419021</v>
      </c>
      <c r="D10" s="686">
        <f ca="1">tertiair!C16</f>
        <v>126.5625</v>
      </c>
      <c r="E10" s="686">
        <f ca="1">tertiair!D16</f>
        <v>12219.72419965</v>
      </c>
      <c r="F10" s="686">
        <f>tertiair!E16</f>
        <v>168.93763631018533</v>
      </c>
      <c r="G10" s="686">
        <f ca="1">tertiair!F16</f>
        <v>1277.0932624541961</v>
      </c>
      <c r="H10" s="686">
        <f>tertiair!G16</f>
        <v>0</v>
      </c>
      <c r="I10" s="686">
        <f>tertiair!H16</f>
        <v>0</v>
      </c>
      <c r="J10" s="686">
        <f>tertiair!I16</f>
        <v>0</v>
      </c>
      <c r="K10" s="686">
        <f>tertiair!J16</f>
        <v>2.8901471014614356E-2</v>
      </c>
      <c r="L10" s="686">
        <f>tertiair!K16</f>
        <v>0</v>
      </c>
      <c r="M10" s="686">
        <f ca="1">tertiair!L16</f>
        <v>0</v>
      </c>
      <c r="N10" s="686">
        <f>tertiair!M16</f>
        <v>0</v>
      </c>
      <c r="O10" s="686">
        <f ca="1">tertiair!N16</f>
        <v>1134.1902764210963</v>
      </c>
      <c r="P10" s="686">
        <f>tertiair!O16</f>
        <v>4.8972607658411542</v>
      </c>
      <c r="Q10" s="687">
        <f>tertiair!P16</f>
        <v>52.539138306495019</v>
      </c>
      <c r="R10" s="689">
        <f ca="1">SUM(C10:Q10)</f>
        <v>27256.392196378827</v>
      </c>
      <c r="S10" s="67"/>
    </row>
    <row r="11" spans="1:19" s="448" customFormat="1">
      <c r="A11" s="808" t="s">
        <v>224</v>
      </c>
      <c r="B11" s="813"/>
      <c r="C11" s="686">
        <f>huishoudens!B8</f>
        <v>27029.387541414701</v>
      </c>
      <c r="D11" s="686">
        <f>huishoudens!C8</f>
        <v>0</v>
      </c>
      <c r="E11" s="686">
        <f>huishoudens!D8</f>
        <v>33316.637616680004</v>
      </c>
      <c r="F11" s="686">
        <f>huishoudens!E8</f>
        <v>32196.129777636088</v>
      </c>
      <c r="G11" s="686">
        <f>huishoudens!F8</f>
        <v>39828.767032205389</v>
      </c>
      <c r="H11" s="686">
        <f>huishoudens!G8</f>
        <v>0</v>
      </c>
      <c r="I11" s="686">
        <f>huishoudens!H8</f>
        <v>0</v>
      </c>
      <c r="J11" s="686">
        <f>huishoudens!I8</f>
        <v>0</v>
      </c>
      <c r="K11" s="686">
        <f>huishoudens!J8</f>
        <v>0</v>
      </c>
      <c r="L11" s="686">
        <f>huishoudens!K8</f>
        <v>0</v>
      </c>
      <c r="M11" s="686">
        <f>huishoudens!L8</f>
        <v>0</v>
      </c>
      <c r="N11" s="686">
        <f>huishoudens!M8</f>
        <v>0</v>
      </c>
      <c r="O11" s="686">
        <f>huishoudens!N8</f>
        <v>7318.0355493377947</v>
      </c>
      <c r="P11" s="686">
        <f>huishoudens!O8</f>
        <v>357.1124794896657</v>
      </c>
      <c r="Q11" s="687">
        <f>huishoudens!P8</f>
        <v>663.6394363841564</v>
      </c>
      <c r="R11" s="689">
        <f>SUM(C11:Q11)</f>
        <v>140709.70943314783</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1273.0787889999999</v>
      </c>
      <c r="D13" s="686">
        <f>industrie!C18</f>
        <v>0</v>
      </c>
      <c r="E13" s="686">
        <f>industrie!D18</f>
        <v>944.09955743399996</v>
      </c>
      <c r="F13" s="686">
        <f>industrie!E18</f>
        <v>240.2456651001059</v>
      </c>
      <c r="G13" s="686">
        <f>industrie!F18</f>
        <v>741.56068404793302</v>
      </c>
      <c r="H13" s="686">
        <f>industrie!G18</f>
        <v>0</v>
      </c>
      <c r="I13" s="686">
        <f>industrie!H18</f>
        <v>0</v>
      </c>
      <c r="J13" s="686">
        <f>industrie!I18</f>
        <v>0</v>
      </c>
      <c r="K13" s="686">
        <f>industrie!J18</f>
        <v>1.0013220909931528</v>
      </c>
      <c r="L13" s="686">
        <f>industrie!K18</f>
        <v>0</v>
      </c>
      <c r="M13" s="686">
        <f>industrie!L18</f>
        <v>0</v>
      </c>
      <c r="N13" s="686">
        <f>industrie!M18</f>
        <v>0</v>
      </c>
      <c r="O13" s="686">
        <f>industrie!N18</f>
        <v>77.848363102634693</v>
      </c>
      <c r="P13" s="686">
        <f>industrie!O18</f>
        <v>0</v>
      </c>
      <c r="Q13" s="687">
        <f>industrie!P18</f>
        <v>0</v>
      </c>
      <c r="R13" s="689">
        <f>SUM(C13:Q13)</f>
        <v>3277.8343807756664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40574.885351414698</v>
      </c>
      <c r="D16" s="722">
        <f t="shared" ref="D16:R16" ca="1" si="0">SUM(D9:D15)</f>
        <v>126.5625</v>
      </c>
      <c r="E16" s="722">
        <f t="shared" ca="1" si="0"/>
        <v>46480.461373764003</v>
      </c>
      <c r="F16" s="722">
        <f t="shared" si="0"/>
        <v>32605.313079046377</v>
      </c>
      <c r="G16" s="722">
        <f t="shared" ca="1" si="0"/>
        <v>41847.420978707516</v>
      </c>
      <c r="H16" s="722">
        <f t="shared" si="0"/>
        <v>0</v>
      </c>
      <c r="I16" s="722">
        <f t="shared" si="0"/>
        <v>0</v>
      </c>
      <c r="J16" s="722">
        <f t="shared" si="0"/>
        <v>0</v>
      </c>
      <c r="K16" s="722">
        <f t="shared" si="0"/>
        <v>1.0302235620077671</v>
      </c>
      <c r="L16" s="722">
        <f t="shared" si="0"/>
        <v>0</v>
      </c>
      <c r="M16" s="722">
        <f t="shared" ca="1" si="0"/>
        <v>0</v>
      </c>
      <c r="N16" s="722">
        <f t="shared" si="0"/>
        <v>0</v>
      </c>
      <c r="O16" s="722">
        <f t="shared" ca="1" si="0"/>
        <v>8530.0741888615248</v>
      </c>
      <c r="P16" s="722">
        <f t="shared" si="0"/>
        <v>362.00974025550687</v>
      </c>
      <c r="Q16" s="722">
        <f t="shared" si="0"/>
        <v>716.17857469065143</v>
      </c>
      <c r="R16" s="722">
        <f t="shared" ca="1" si="0"/>
        <v>171243.93601030231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781.74286336649982</v>
      </c>
      <c r="I19" s="686">
        <f>transport!H54</f>
        <v>0</v>
      </c>
      <c r="J19" s="686">
        <f>transport!I54</f>
        <v>0</v>
      </c>
      <c r="K19" s="686">
        <f>transport!J54</f>
        <v>0</v>
      </c>
      <c r="L19" s="686">
        <f>transport!K54</f>
        <v>0</v>
      </c>
      <c r="M19" s="686">
        <f>transport!L54</f>
        <v>0</v>
      </c>
      <c r="N19" s="686">
        <f>transport!M54</f>
        <v>43.442518969826658</v>
      </c>
      <c r="O19" s="686">
        <f>transport!N54</f>
        <v>0</v>
      </c>
      <c r="P19" s="686">
        <f>transport!O54</f>
        <v>0</v>
      </c>
      <c r="Q19" s="687">
        <f>transport!P54</f>
        <v>0</v>
      </c>
      <c r="R19" s="689">
        <f>SUM(C19:Q19)</f>
        <v>825.18538233632648</v>
      </c>
      <c r="S19" s="67"/>
    </row>
    <row r="20" spans="1:19" s="448" customFormat="1">
      <c r="A20" s="808" t="s">
        <v>306</v>
      </c>
      <c r="B20" s="813"/>
      <c r="C20" s="686">
        <f>transport!B14</f>
        <v>19.448362122879637</v>
      </c>
      <c r="D20" s="686">
        <f>transport!C14</f>
        <v>0</v>
      </c>
      <c r="E20" s="686">
        <f>transport!D14</f>
        <v>101.5236133594813</v>
      </c>
      <c r="F20" s="686">
        <f>transport!E14</f>
        <v>82.777806157274043</v>
      </c>
      <c r="G20" s="686">
        <f>transport!F14</f>
        <v>0</v>
      </c>
      <c r="H20" s="686">
        <f>transport!G14</f>
        <v>29833.644396941105</v>
      </c>
      <c r="I20" s="686">
        <f>transport!H14</f>
        <v>9362.2427214003383</v>
      </c>
      <c r="J20" s="686">
        <f>transport!I14</f>
        <v>0</v>
      </c>
      <c r="K20" s="686">
        <f>transport!J14</f>
        <v>0</v>
      </c>
      <c r="L20" s="686">
        <f>transport!K14</f>
        <v>0</v>
      </c>
      <c r="M20" s="686">
        <f>transport!L14</f>
        <v>0</v>
      </c>
      <c r="N20" s="686">
        <f>transport!M14</f>
        <v>2339.5452778570716</v>
      </c>
      <c r="O20" s="686">
        <f>transport!N14</f>
        <v>0</v>
      </c>
      <c r="P20" s="686">
        <f>transport!O14</f>
        <v>0</v>
      </c>
      <c r="Q20" s="687">
        <f>transport!P14</f>
        <v>0</v>
      </c>
      <c r="R20" s="689">
        <f>SUM(C20:Q20)</f>
        <v>41739.182177838149</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19.448362122879637</v>
      </c>
      <c r="D22" s="811">
        <f t="shared" ref="D22:R22" si="1">SUM(D18:D21)</f>
        <v>0</v>
      </c>
      <c r="E22" s="811">
        <f t="shared" si="1"/>
        <v>101.5236133594813</v>
      </c>
      <c r="F22" s="811">
        <f t="shared" si="1"/>
        <v>82.777806157274043</v>
      </c>
      <c r="G22" s="811">
        <f t="shared" si="1"/>
        <v>0</v>
      </c>
      <c r="H22" s="811">
        <f t="shared" si="1"/>
        <v>30615.387260307605</v>
      </c>
      <c r="I22" s="811">
        <f t="shared" si="1"/>
        <v>9362.2427214003383</v>
      </c>
      <c r="J22" s="811">
        <f t="shared" si="1"/>
        <v>0</v>
      </c>
      <c r="K22" s="811">
        <f t="shared" si="1"/>
        <v>0</v>
      </c>
      <c r="L22" s="811">
        <f t="shared" si="1"/>
        <v>0</v>
      </c>
      <c r="M22" s="811">
        <f t="shared" si="1"/>
        <v>0</v>
      </c>
      <c r="N22" s="811">
        <f t="shared" si="1"/>
        <v>2382.9877968268984</v>
      </c>
      <c r="O22" s="811">
        <f t="shared" si="1"/>
        <v>0</v>
      </c>
      <c r="P22" s="811">
        <f t="shared" si="1"/>
        <v>0</v>
      </c>
      <c r="Q22" s="811">
        <f t="shared" si="1"/>
        <v>0</v>
      </c>
      <c r="R22" s="811">
        <f t="shared" si="1"/>
        <v>42564.367560174476</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1765.4355600000001</v>
      </c>
      <c r="D24" s="686">
        <f>+landbouw!C8</f>
        <v>0</v>
      </c>
      <c r="E24" s="686">
        <f>+landbouw!D8</f>
        <v>12.241828543999999</v>
      </c>
      <c r="F24" s="686">
        <f>+landbouw!E8</f>
        <v>55.098661658773253</v>
      </c>
      <c r="G24" s="686">
        <f>+landbouw!F8</f>
        <v>6239.244838715651</v>
      </c>
      <c r="H24" s="686">
        <f>+landbouw!G8</f>
        <v>0</v>
      </c>
      <c r="I24" s="686">
        <f>+landbouw!H8</f>
        <v>0</v>
      </c>
      <c r="J24" s="686">
        <f>+landbouw!I8</f>
        <v>0</v>
      </c>
      <c r="K24" s="686">
        <f>+landbouw!J8</f>
        <v>486.38973996831015</v>
      </c>
      <c r="L24" s="686">
        <f>+landbouw!K8</f>
        <v>0</v>
      </c>
      <c r="M24" s="686">
        <f>+landbouw!L8</f>
        <v>0</v>
      </c>
      <c r="N24" s="686">
        <f>+landbouw!M8</f>
        <v>0</v>
      </c>
      <c r="O24" s="686">
        <f>+landbouw!N8</f>
        <v>0</v>
      </c>
      <c r="P24" s="686">
        <f>+landbouw!O8</f>
        <v>0</v>
      </c>
      <c r="Q24" s="687">
        <f>+landbouw!P8</f>
        <v>0</v>
      </c>
      <c r="R24" s="689">
        <f>SUM(C24:Q24)</f>
        <v>8558.4106288867351</v>
      </c>
      <c r="S24" s="67"/>
    </row>
    <row r="25" spans="1:19" s="448" customFormat="1" ht="15" thickBot="1">
      <c r="A25" s="830" t="s">
        <v>724</v>
      </c>
      <c r="B25" s="949"/>
      <c r="C25" s="950">
        <f>IF(Onbekend_ele_kWh="---",0,Onbekend_ele_kWh)/1000+IF(REST_rest_ele_kWh="---",0,REST_rest_ele_kWh)/1000</f>
        <v>751.21349199999997</v>
      </c>
      <c r="D25" s="950"/>
      <c r="E25" s="950">
        <f>IF(onbekend_gas_kWh="---",0,onbekend_gas_kWh)/1000+IF(REST_rest_gas_kWh="---",0,REST_rest_gas_kWh)/1000</f>
        <v>1000.4349560000001</v>
      </c>
      <c r="F25" s="950"/>
      <c r="G25" s="950"/>
      <c r="H25" s="950"/>
      <c r="I25" s="950"/>
      <c r="J25" s="950"/>
      <c r="K25" s="950"/>
      <c r="L25" s="950"/>
      <c r="M25" s="950"/>
      <c r="N25" s="950"/>
      <c r="O25" s="950"/>
      <c r="P25" s="950"/>
      <c r="Q25" s="951"/>
      <c r="R25" s="689">
        <f>SUM(C25:Q25)</f>
        <v>1751.6484479999999</v>
      </c>
      <c r="S25" s="67"/>
    </row>
    <row r="26" spans="1:19" s="448" customFormat="1" ht="15.75" thickBot="1">
      <c r="A26" s="694" t="s">
        <v>725</v>
      </c>
      <c r="B26" s="816"/>
      <c r="C26" s="811">
        <f>SUM(C24:C25)</f>
        <v>2516.6490520000002</v>
      </c>
      <c r="D26" s="811">
        <f t="shared" ref="D26:R26" si="2">SUM(D24:D25)</f>
        <v>0</v>
      </c>
      <c r="E26" s="811">
        <f t="shared" si="2"/>
        <v>1012.676784544</v>
      </c>
      <c r="F26" s="811">
        <f t="shared" si="2"/>
        <v>55.098661658773253</v>
      </c>
      <c r="G26" s="811">
        <f t="shared" si="2"/>
        <v>6239.244838715651</v>
      </c>
      <c r="H26" s="811">
        <f t="shared" si="2"/>
        <v>0</v>
      </c>
      <c r="I26" s="811">
        <f t="shared" si="2"/>
        <v>0</v>
      </c>
      <c r="J26" s="811">
        <f t="shared" si="2"/>
        <v>0</v>
      </c>
      <c r="K26" s="811">
        <f t="shared" si="2"/>
        <v>486.38973996831015</v>
      </c>
      <c r="L26" s="811">
        <f t="shared" si="2"/>
        <v>0</v>
      </c>
      <c r="M26" s="811">
        <f t="shared" si="2"/>
        <v>0</v>
      </c>
      <c r="N26" s="811">
        <f t="shared" si="2"/>
        <v>0</v>
      </c>
      <c r="O26" s="811">
        <f t="shared" si="2"/>
        <v>0</v>
      </c>
      <c r="P26" s="811">
        <f t="shared" si="2"/>
        <v>0</v>
      </c>
      <c r="Q26" s="811">
        <f t="shared" si="2"/>
        <v>0</v>
      </c>
      <c r="R26" s="811">
        <f t="shared" si="2"/>
        <v>10310.059076886735</v>
      </c>
      <c r="S26" s="67"/>
    </row>
    <row r="27" spans="1:19" s="448" customFormat="1" ht="17.25" thickTop="1" thickBot="1">
      <c r="A27" s="695" t="s">
        <v>115</v>
      </c>
      <c r="B27" s="803"/>
      <c r="C27" s="696">
        <f ca="1">C22+C16+C26</f>
        <v>43110.982765537578</v>
      </c>
      <c r="D27" s="696">
        <f t="shared" ref="D27:R27" ca="1" si="3">D22+D16+D26</f>
        <v>126.5625</v>
      </c>
      <c r="E27" s="696">
        <f t="shared" ca="1" si="3"/>
        <v>47594.661771667481</v>
      </c>
      <c r="F27" s="696">
        <f t="shared" si="3"/>
        <v>32743.189546862424</v>
      </c>
      <c r="G27" s="696">
        <f t="shared" ca="1" si="3"/>
        <v>48086.665817423171</v>
      </c>
      <c r="H27" s="696">
        <f t="shared" si="3"/>
        <v>30615.387260307605</v>
      </c>
      <c r="I27" s="696">
        <f t="shared" si="3"/>
        <v>9362.2427214003383</v>
      </c>
      <c r="J27" s="696">
        <f t="shared" si="3"/>
        <v>0</v>
      </c>
      <c r="K27" s="696">
        <f t="shared" si="3"/>
        <v>487.41996353031794</v>
      </c>
      <c r="L27" s="696">
        <f t="shared" si="3"/>
        <v>0</v>
      </c>
      <c r="M27" s="696">
        <f t="shared" ca="1" si="3"/>
        <v>0</v>
      </c>
      <c r="N27" s="696">
        <f t="shared" si="3"/>
        <v>2382.9877968268984</v>
      </c>
      <c r="O27" s="696">
        <f t="shared" ca="1" si="3"/>
        <v>8530.0741888615248</v>
      </c>
      <c r="P27" s="696">
        <f t="shared" si="3"/>
        <v>362.00974025550687</v>
      </c>
      <c r="Q27" s="696">
        <f t="shared" si="3"/>
        <v>716.17857469065143</v>
      </c>
      <c r="R27" s="696">
        <f t="shared" ca="1" si="3"/>
        <v>224118.36264736351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2413.3027661923848</v>
      </c>
      <c r="D40" s="686">
        <f ca="1">tertiair!C20</f>
        <v>0</v>
      </c>
      <c r="E40" s="686">
        <f ca="1">tertiair!D20</f>
        <v>2468.3842883293</v>
      </c>
      <c r="F40" s="686">
        <f>tertiair!E20</f>
        <v>38.348843442412068</v>
      </c>
      <c r="G40" s="686">
        <f ca="1">tertiair!F20</f>
        <v>340.98390107527035</v>
      </c>
      <c r="H40" s="686">
        <f>tertiair!G20</f>
        <v>0</v>
      </c>
      <c r="I40" s="686">
        <f>tertiair!H20</f>
        <v>0</v>
      </c>
      <c r="J40" s="686">
        <f>tertiair!I20</f>
        <v>0</v>
      </c>
      <c r="K40" s="686">
        <f>tertiair!J20</f>
        <v>1.0231120739173481E-2</v>
      </c>
      <c r="L40" s="686">
        <f>tertiair!K20</f>
        <v>0</v>
      </c>
      <c r="M40" s="686">
        <f ca="1">tertiair!L20</f>
        <v>0</v>
      </c>
      <c r="N40" s="686">
        <f>tertiair!M20</f>
        <v>0</v>
      </c>
      <c r="O40" s="686">
        <f ca="1">tertiair!N20</f>
        <v>0</v>
      </c>
      <c r="P40" s="686">
        <f>tertiair!O20</f>
        <v>0</v>
      </c>
      <c r="Q40" s="769">
        <f>tertiair!P20</f>
        <v>0</v>
      </c>
      <c r="R40" s="849">
        <f t="shared" ca="1" si="4"/>
        <v>5261.0300301601055</v>
      </c>
    </row>
    <row r="41" spans="1:18">
      <c r="A41" s="821" t="s">
        <v>224</v>
      </c>
      <c r="B41" s="828"/>
      <c r="C41" s="686">
        <f ca="1">huishoudens!B12</f>
        <v>5315.1783369328687</v>
      </c>
      <c r="D41" s="686">
        <f ca="1">huishoudens!C12</f>
        <v>0</v>
      </c>
      <c r="E41" s="686">
        <f>huishoudens!D12</f>
        <v>6729.960798569361</v>
      </c>
      <c r="F41" s="686">
        <f>huishoudens!E12</f>
        <v>7308.521459523392</v>
      </c>
      <c r="G41" s="686">
        <f>huishoudens!F12</f>
        <v>10634.28079759884</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29987.94139262446</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250.34384482939595</v>
      </c>
      <c r="D43" s="686">
        <f ca="1">industrie!C22</f>
        <v>0</v>
      </c>
      <c r="E43" s="686">
        <f>industrie!D22</f>
        <v>190.70811060166801</v>
      </c>
      <c r="F43" s="686">
        <f>industrie!E22</f>
        <v>54.53576597772404</v>
      </c>
      <c r="G43" s="686">
        <f>industrie!F22</f>
        <v>197.99670264079813</v>
      </c>
      <c r="H43" s="686">
        <f>industrie!G22</f>
        <v>0</v>
      </c>
      <c r="I43" s="686">
        <f>industrie!H22</f>
        <v>0</v>
      </c>
      <c r="J43" s="686">
        <f>industrie!I22</f>
        <v>0</v>
      </c>
      <c r="K43" s="686">
        <f>industrie!J22</f>
        <v>0.35446802021157608</v>
      </c>
      <c r="L43" s="686">
        <f>industrie!K22</f>
        <v>0</v>
      </c>
      <c r="M43" s="686">
        <f>industrie!L22</f>
        <v>0</v>
      </c>
      <c r="N43" s="686">
        <f>industrie!M22</f>
        <v>0</v>
      </c>
      <c r="O43" s="686">
        <f>industrie!N22</f>
        <v>0</v>
      </c>
      <c r="P43" s="686">
        <f>industrie!O22</f>
        <v>0</v>
      </c>
      <c r="Q43" s="769">
        <f>industrie!P22</f>
        <v>0</v>
      </c>
      <c r="R43" s="848">
        <f t="shared" ca="1" si="4"/>
        <v>693.9388920697977</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7978.8249479546503</v>
      </c>
      <c r="D46" s="722">
        <f t="shared" ref="D46:Q46" ca="1" si="5">SUM(D39:D45)</f>
        <v>0</v>
      </c>
      <c r="E46" s="722">
        <f t="shared" ca="1" si="5"/>
        <v>9389.0531975003305</v>
      </c>
      <c r="F46" s="722">
        <f t="shared" si="5"/>
        <v>7401.4060689435273</v>
      </c>
      <c r="G46" s="722">
        <f t="shared" ca="1" si="5"/>
        <v>11173.261401314909</v>
      </c>
      <c r="H46" s="722">
        <f t="shared" si="5"/>
        <v>0</v>
      </c>
      <c r="I46" s="722">
        <f t="shared" si="5"/>
        <v>0</v>
      </c>
      <c r="J46" s="722">
        <f t="shared" si="5"/>
        <v>0</v>
      </c>
      <c r="K46" s="722">
        <f t="shared" si="5"/>
        <v>0.36469914095074957</v>
      </c>
      <c r="L46" s="722">
        <f t="shared" si="5"/>
        <v>0</v>
      </c>
      <c r="M46" s="722">
        <f t="shared" ca="1" si="5"/>
        <v>0</v>
      </c>
      <c r="N46" s="722">
        <f t="shared" si="5"/>
        <v>0</v>
      </c>
      <c r="O46" s="722">
        <f t="shared" ca="1" si="5"/>
        <v>0</v>
      </c>
      <c r="P46" s="722">
        <f t="shared" si="5"/>
        <v>0</v>
      </c>
      <c r="Q46" s="722">
        <f t="shared" si="5"/>
        <v>0</v>
      </c>
      <c r="R46" s="722">
        <f ca="1">SUM(R39:R45)</f>
        <v>35942.910314854365</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208.72534451885545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208.72534451885545</v>
      </c>
    </row>
    <row r="50" spans="1:18">
      <c r="A50" s="824" t="s">
        <v>306</v>
      </c>
      <c r="B50" s="834"/>
      <c r="C50" s="692">
        <f ca="1">transport!B18</f>
        <v>3.824411962201093</v>
      </c>
      <c r="D50" s="692">
        <f>transport!C18</f>
        <v>0</v>
      </c>
      <c r="E50" s="692">
        <f>transport!D18</f>
        <v>20.507769898615223</v>
      </c>
      <c r="F50" s="692">
        <f>transport!E18</f>
        <v>18.790561997701207</v>
      </c>
      <c r="G50" s="692">
        <f>transport!F18</f>
        <v>0</v>
      </c>
      <c r="H50" s="692">
        <f>transport!G18</f>
        <v>7965.583053983275</v>
      </c>
      <c r="I50" s="692">
        <f>transport!H18</f>
        <v>2331.1984376286841</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10339.904235470476</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3.824411962201093</v>
      </c>
      <c r="D52" s="722">
        <f t="shared" ref="D52:Q52" ca="1" si="6">SUM(D48:D51)</f>
        <v>0</v>
      </c>
      <c r="E52" s="722">
        <f t="shared" si="6"/>
        <v>20.507769898615223</v>
      </c>
      <c r="F52" s="722">
        <f t="shared" si="6"/>
        <v>18.790561997701207</v>
      </c>
      <c r="G52" s="722">
        <f t="shared" si="6"/>
        <v>0</v>
      </c>
      <c r="H52" s="722">
        <f t="shared" si="6"/>
        <v>8174.3083985021303</v>
      </c>
      <c r="I52" s="722">
        <f t="shared" si="6"/>
        <v>2331.1984376286841</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10548.629579989332</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347.16305833364862</v>
      </c>
      <c r="D54" s="692">
        <f ca="1">+landbouw!C12</f>
        <v>0</v>
      </c>
      <c r="E54" s="692">
        <f>+landbouw!D12</f>
        <v>2.472849365888</v>
      </c>
      <c r="F54" s="692">
        <f>+landbouw!E12</f>
        <v>12.507396196541528</v>
      </c>
      <c r="G54" s="692">
        <f>+landbouw!F12</f>
        <v>1665.878371937079</v>
      </c>
      <c r="H54" s="692">
        <f>+landbouw!G12</f>
        <v>0</v>
      </c>
      <c r="I54" s="692">
        <f>+landbouw!H12</f>
        <v>0</v>
      </c>
      <c r="J54" s="692">
        <f>+landbouw!I12</f>
        <v>0</v>
      </c>
      <c r="K54" s="692">
        <f>+landbouw!J12</f>
        <v>172.18196794878179</v>
      </c>
      <c r="L54" s="692">
        <f>+landbouw!K12</f>
        <v>0</v>
      </c>
      <c r="M54" s="692">
        <f>+landbouw!L12</f>
        <v>0</v>
      </c>
      <c r="N54" s="692">
        <f>+landbouw!M12</f>
        <v>0</v>
      </c>
      <c r="O54" s="692">
        <f>+landbouw!N12</f>
        <v>0</v>
      </c>
      <c r="P54" s="692">
        <f>+landbouw!O12</f>
        <v>0</v>
      </c>
      <c r="Q54" s="693">
        <f>+landbouw!P12</f>
        <v>0</v>
      </c>
      <c r="R54" s="721">
        <f ca="1">SUM(C54:Q54)</f>
        <v>2200.2036437819388</v>
      </c>
    </row>
    <row r="55" spans="1:18" ht="15" thickBot="1">
      <c r="A55" s="824" t="s">
        <v>724</v>
      </c>
      <c r="B55" s="834"/>
      <c r="C55" s="692">
        <f ca="1">C25*'EF ele_warmte'!B12</f>
        <v>147.721944234668</v>
      </c>
      <c r="D55" s="692"/>
      <c r="E55" s="692">
        <f>E25*EF_CO2_aardgas</f>
        <v>202.08786111200001</v>
      </c>
      <c r="F55" s="692"/>
      <c r="G55" s="692"/>
      <c r="H55" s="692"/>
      <c r="I55" s="692"/>
      <c r="J55" s="692"/>
      <c r="K55" s="692"/>
      <c r="L55" s="692"/>
      <c r="M55" s="692"/>
      <c r="N55" s="692"/>
      <c r="O55" s="692"/>
      <c r="P55" s="692"/>
      <c r="Q55" s="693"/>
      <c r="R55" s="721">
        <f ca="1">SUM(C55:Q55)</f>
        <v>349.80980534666799</v>
      </c>
    </row>
    <row r="56" spans="1:18" ht="15.75" thickBot="1">
      <c r="A56" s="822" t="s">
        <v>725</v>
      </c>
      <c r="B56" s="835"/>
      <c r="C56" s="722">
        <f ca="1">SUM(C54:C55)</f>
        <v>494.88500256831662</v>
      </c>
      <c r="D56" s="722">
        <f t="shared" ref="D56:Q56" ca="1" si="7">SUM(D54:D55)</f>
        <v>0</v>
      </c>
      <c r="E56" s="722">
        <f t="shared" si="7"/>
        <v>204.56071047788802</v>
      </c>
      <c r="F56" s="722">
        <f t="shared" si="7"/>
        <v>12.507396196541528</v>
      </c>
      <c r="G56" s="722">
        <f t="shared" si="7"/>
        <v>1665.878371937079</v>
      </c>
      <c r="H56" s="722">
        <f t="shared" si="7"/>
        <v>0</v>
      </c>
      <c r="I56" s="722">
        <f t="shared" si="7"/>
        <v>0</v>
      </c>
      <c r="J56" s="722">
        <f t="shared" si="7"/>
        <v>0</v>
      </c>
      <c r="K56" s="722">
        <f t="shared" si="7"/>
        <v>172.18196794878179</v>
      </c>
      <c r="L56" s="722">
        <f t="shared" si="7"/>
        <v>0</v>
      </c>
      <c r="M56" s="722">
        <f t="shared" si="7"/>
        <v>0</v>
      </c>
      <c r="N56" s="722">
        <f t="shared" si="7"/>
        <v>0</v>
      </c>
      <c r="O56" s="722">
        <f t="shared" si="7"/>
        <v>0</v>
      </c>
      <c r="P56" s="722">
        <f t="shared" si="7"/>
        <v>0</v>
      </c>
      <c r="Q56" s="723">
        <f t="shared" si="7"/>
        <v>0</v>
      </c>
      <c r="R56" s="724">
        <f ca="1">SUM(R54:R55)</f>
        <v>2550.0134491286067</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8477.5343624851685</v>
      </c>
      <c r="D61" s="730">
        <f t="shared" ref="D61:Q61" ca="1" si="8">D46+D52+D56</f>
        <v>0</v>
      </c>
      <c r="E61" s="730">
        <f t="shared" ca="1" si="8"/>
        <v>9614.1216778768339</v>
      </c>
      <c r="F61" s="730">
        <f t="shared" si="8"/>
        <v>7432.70402713777</v>
      </c>
      <c r="G61" s="730">
        <f t="shared" ca="1" si="8"/>
        <v>12839.139773251987</v>
      </c>
      <c r="H61" s="730">
        <f t="shared" si="8"/>
        <v>8174.3083985021303</v>
      </c>
      <c r="I61" s="730">
        <f t="shared" si="8"/>
        <v>2331.1984376286841</v>
      </c>
      <c r="J61" s="730">
        <f t="shared" si="8"/>
        <v>0</v>
      </c>
      <c r="K61" s="730">
        <f t="shared" si="8"/>
        <v>172.54666708973255</v>
      </c>
      <c r="L61" s="730">
        <f t="shared" si="8"/>
        <v>0</v>
      </c>
      <c r="M61" s="730">
        <f t="shared" ca="1" si="8"/>
        <v>0</v>
      </c>
      <c r="N61" s="730">
        <f t="shared" si="8"/>
        <v>0</v>
      </c>
      <c r="O61" s="730">
        <f t="shared" ca="1" si="8"/>
        <v>0</v>
      </c>
      <c r="P61" s="730">
        <f t="shared" si="8"/>
        <v>0</v>
      </c>
      <c r="Q61" s="730">
        <f t="shared" si="8"/>
        <v>0</v>
      </c>
      <c r="R61" s="730">
        <f ca="1">R46+R52+R56</f>
        <v>49041.553343972308</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0.19664442373283153</v>
      </c>
      <c r="D63" s="776">
        <f t="shared" ca="1" si="9"/>
        <v>0</v>
      </c>
      <c r="E63" s="975">
        <f t="shared" ca="1" si="9"/>
        <v>0.20200000000000007</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4638.598772392028</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112.5</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132.35294117647058</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4751.098772392028</v>
      </c>
      <c r="C78" s="748">
        <f>SUM(C72:C77)</f>
        <v>0</v>
      </c>
      <c r="D78" s="749">
        <f t="shared" ref="D78:H78" si="10">SUM(D76:D77)</f>
        <v>0</v>
      </c>
      <c r="E78" s="749">
        <f t="shared" si="10"/>
        <v>0</v>
      </c>
      <c r="F78" s="749">
        <f t="shared" si="10"/>
        <v>0</v>
      </c>
      <c r="G78" s="749">
        <f t="shared" si="10"/>
        <v>0</v>
      </c>
      <c r="H78" s="749">
        <f t="shared" si="10"/>
        <v>0</v>
      </c>
      <c r="I78" s="749">
        <f>SUM(I76:I77)</f>
        <v>132.35294117647058</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126.5625</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148.89705882352942</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126.5625</v>
      </c>
      <c r="C90" s="748">
        <f>SUM(C87:C89)</f>
        <v>0</v>
      </c>
      <c r="D90" s="748">
        <f t="shared" ref="D90:H90" si="12">SUM(D87:D89)</f>
        <v>0</v>
      </c>
      <c r="E90" s="748">
        <f t="shared" si="12"/>
        <v>0</v>
      </c>
      <c r="F90" s="748">
        <f t="shared" si="12"/>
        <v>0</v>
      </c>
      <c r="G90" s="748">
        <f t="shared" si="12"/>
        <v>0</v>
      </c>
      <c r="H90" s="748">
        <f t="shared" si="12"/>
        <v>0</v>
      </c>
      <c r="I90" s="748">
        <f>SUM(I87:I89)</f>
        <v>148.89705882352942</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27029.387541414701</v>
      </c>
      <c r="C4" s="452">
        <f>huishoudens!C8</f>
        <v>0</v>
      </c>
      <c r="D4" s="452">
        <f>huishoudens!D8</f>
        <v>33316.637616680004</v>
      </c>
      <c r="E4" s="452">
        <f>huishoudens!E8</f>
        <v>32196.129777636088</v>
      </c>
      <c r="F4" s="452">
        <f>huishoudens!F8</f>
        <v>39828.767032205389</v>
      </c>
      <c r="G4" s="452">
        <f>huishoudens!G8</f>
        <v>0</v>
      </c>
      <c r="H4" s="452">
        <f>huishoudens!H8</f>
        <v>0</v>
      </c>
      <c r="I4" s="452">
        <f>huishoudens!I8</f>
        <v>0</v>
      </c>
      <c r="J4" s="452">
        <f>huishoudens!J8</f>
        <v>0</v>
      </c>
      <c r="K4" s="452">
        <f>huishoudens!K8</f>
        <v>0</v>
      </c>
      <c r="L4" s="452">
        <f>huishoudens!L8</f>
        <v>0</v>
      </c>
      <c r="M4" s="452">
        <f>huishoudens!M8</f>
        <v>0</v>
      </c>
      <c r="N4" s="452">
        <f>huishoudens!N8</f>
        <v>7318.0355493377947</v>
      </c>
      <c r="O4" s="452">
        <f>huishoudens!O8</f>
        <v>357.1124794896657</v>
      </c>
      <c r="P4" s="453">
        <f>huishoudens!P8</f>
        <v>663.6394363841564</v>
      </c>
      <c r="Q4" s="454">
        <f>SUM(B4:P4)</f>
        <v>140709.70943314783</v>
      </c>
    </row>
    <row r="5" spans="1:17">
      <c r="A5" s="451" t="s">
        <v>155</v>
      </c>
      <c r="B5" s="452">
        <f ca="1">tertiair!B16</f>
        <v>11284.568020999999</v>
      </c>
      <c r="C5" s="452">
        <f ca="1">tertiair!C16</f>
        <v>126.5625</v>
      </c>
      <c r="D5" s="452">
        <f ca="1">tertiair!D16</f>
        <v>12219.72419965</v>
      </c>
      <c r="E5" s="452">
        <f>tertiair!E16</f>
        <v>168.93763631018533</v>
      </c>
      <c r="F5" s="452">
        <f ca="1">tertiair!F16</f>
        <v>1277.0932624541961</v>
      </c>
      <c r="G5" s="452">
        <f>tertiair!G16</f>
        <v>0</v>
      </c>
      <c r="H5" s="452">
        <f>tertiair!H16</f>
        <v>0</v>
      </c>
      <c r="I5" s="452">
        <f>tertiair!I16</f>
        <v>0</v>
      </c>
      <c r="J5" s="452">
        <f>tertiair!J16</f>
        <v>2.8901471014614356E-2</v>
      </c>
      <c r="K5" s="452">
        <f>tertiair!K16</f>
        <v>0</v>
      </c>
      <c r="L5" s="452">
        <f ca="1">tertiair!L16</f>
        <v>0</v>
      </c>
      <c r="M5" s="452">
        <f>tertiair!M16</f>
        <v>0</v>
      </c>
      <c r="N5" s="452">
        <f ca="1">tertiair!N16</f>
        <v>1134.1902764210963</v>
      </c>
      <c r="O5" s="452">
        <f>tertiair!O16</f>
        <v>4.8972607658411542</v>
      </c>
      <c r="P5" s="453">
        <f>tertiair!P16</f>
        <v>52.539138306495019</v>
      </c>
      <c r="Q5" s="451">
        <f t="shared" ref="Q5:Q14" ca="1" si="0">SUM(B5:P5)</f>
        <v>26268.541196378828</v>
      </c>
    </row>
    <row r="6" spans="1:17">
      <c r="A6" s="451" t="s">
        <v>193</v>
      </c>
      <c r="B6" s="452">
        <f>'openbare verlichting'!B8</f>
        <v>987.851</v>
      </c>
      <c r="C6" s="452"/>
      <c r="D6" s="452"/>
      <c r="E6" s="452"/>
      <c r="F6" s="452"/>
      <c r="G6" s="452"/>
      <c r="H6" s="452"/>
      <c r="I6" s="452"/>
      <c r="J6" s="452"/>
      <c r="K6" s="452"/>
      <c r="L6" s="452"/>
      <c r="M6" s="452"/>
      <c r="N6" s="452"/>
      <c r="O6" s="452"/>
      <c r="P6" s="453"/>
      <c r="Q6" s="451">
        <f t="shared" si="0"/>
        <v>987.851</v>
      </c>
    </row>
    <row r="7" spans="1:17">
      <c r="A7" s="451" t="s">
        <v>111</v>
      </c>
      <c r="B7" s="452">
        <f>landbouw!B8</f>
        <v>1765.4355600000001</v>
      </c>
      <c r="C7" s="452">
        <f>landbouw!C8</f>
        <v>0</v>
      </c>
      <c r="D7" s="452">
        <f>landbouw!D8</f>
        <v>12.241828543999999</v>
      </c>
      <c r="E7" s="452">
        <f>landbouw!E8</f>
        <v>55.098661658773253</v>
      </c>
      <c r="F7" s="452">
        <f>landbouw!F8</f>
        <v>6239.244838715651</v>
      </c>
      <c r="G7" s="452">
        <f>landbouw!G8</f>
        <v>0</v>
      </c>
      <c r="H7" s="452">
        <f>landbouw!H8</f>
        <v>0</v>
      </c>
      <c r="I7" s="452">
        <f>landbouw!I8</f>
        <v>0</v>
      </c>
      <c r="J7" s="452">
        <f>landbouw!J8</f>
        <v>486.38973996831015</v>
      </c>
      <c r="K7" s="452">
        <f>landbouw!K8</f>
        <v>0</v>
      </c>
      <c r="L7" s="452">
        <f>landbouw!L8</f>
        <v>0</v>
      </c>
      <c r="M7" s="452">
        <f>landbouw!M8</f>
        <v>0</v>
      </c>
      <c r="N7" s="452">
        <f>landbouw!N8</f>
        <v>0</v>
      </c>
      <c r="O7" s="452">
        <f>landbouw!O8</f>
        <v>0</v>
      </c>
      <c r="P7" s="453">
        <f>landbouw!P8</f>
        <v>0</v>
      </c>
      <c r="Q7" s="451">
        <f t="shared" si="0"/>
        <v>8558.4106288867351</v>
      </c>
    </row>
    <row r="8" spans="1:17">
      <c r="A8" s="451" t="s">
        <v>625</v>
      </c>
      <c r="B8" s="452">
        <f>industrie!B18</f>
        <v>1273.0787889999999</v>
      </c>
      <c r="C8" s="452">
        <f>industrie!C18</f>
        <v>0</v>
      </c>
      <c r="D8" s="452">
        <f>industrie!D18</f>
        <v>944.09955743399996</v>
      </c>
      <c r="E8" s="452">
        <f>industrie!E18</f>
        <v>240.2456651001059</v>
      </c>
      <c r="F8" s="452">
        <f>industrie!F18</f>
        <v>741.56068404793302</v>
      </c>
      <c r="G8" s="452">
        <f>industrie!G18</f>
        <v>0</v>
      </c>
      <c r="H8" s="452">
        <f>industrie!H18</f>
        <v>0</v>
      </c>
      <c r="I8" s="452">
        <f>industrie!I18</f>
        <v>0</v>
      </c>
      <c r="J8" s="452">
        <f>industrie!J18</f>
        <v>1.0013220909931528</v>
      </c>
      <c r="K8" s="452">
        <f>industrie!K18</f>
        <v>0</v>
      </c>
      <c r="L8" s="452">
        <f>industrie!L18</f>
        <v>0</v>
      </c>
      <c r="M8" s="452">
        <f>industrie!M18</f>
        <v>0</v>
      </c>
      <c r="N8" s="452">
        <f>industrie!N18</f>
        <v>77.848363102634693</v>
      </c>
      <c r="O8" s="452">
        <f>industrie!O18</f>
        <v>0</v>
      </c>
      <c r="P8" s="453">
        <f>industrie!P18</f>
        <v>0</v>
      </c>
      <c r="Q8" s="451">
        <f t="shared" si="0"/>
        <v>3277.8343807756664</v>
      </c>
    </row>
    <row r="9" spans="1:17" s="457" customFormat="1">
      <c r="A9" s="455" t="s">
        <v>551</v>
      </c>
      <c r="B9" s="456">
        <f>transport!B14</f>
        <v>19.448362122879637</v>
      </c>
      <c r="C9" s="456">
        <f>transport!C14</f>
        <v>0</v>
      </c>
      <c r="D9" s="456">
        <f>transport!D14</f>
        <v>101.5236133594813</v>
      </c>
      <c r="E9" s="456">
        <f>transport!E14</f>
        <v>82.777806157274043</v>
      </c>
      <c r="F9" s="456">
        <f>transport!F14</f>
        <v>0</v>
      </c>
      <c r="G9" s="456">
        <f>transport!G14</f>
        <v>29833.644396941105</v>
      </c>
      <c r="H9" s="456">
        <f>transport!H14</f>
        <v>9362.2427214003383</v>
      </c>
      <c r="I9" s="456">
        <f>transport!I14</f>
        <v>0</v>
      </c>
      <c r="J9" s="456">
        <f>transport!J14</f>
        <v>0</v>
      </c>
      <c r="K9" s="456">
        <f>transport!K14</f>
        <v>0</v>
      </c>
      <c r="L9" s="456">
        <f>transport!L14</f>
        <v>0</v>
      </c>
      <c r="M9" s="456">
        <f>transport!M14</f>
        <v>2339.5452778570716</v>
      </c>
      <c r="N9" s="456">
        <f>transport!N14</f>
        <v>0</v>
      </c>
      <c r="O9" s="456">
        <f>transport!O14</f>
        <v>0</v>
      </c>
      <c r="P9" s="456">
        <f>transport!P14</f>
        <v>0</v>
      </c>
      <c r="Q9" s="455">
        <f>SUM(B9:P9)</f>
        <v>41739.182177838149</v>
      </c>
    </row>
    <row r="10" spans="1:17">
      <c r="A10" s="451" t="s">
        <v>541</v>
      </c>
      <c r="B10" s="452">
        <f>transport!B54</f>
        <v>0</v>
      </c>
      <c r="C10" s="452">
        <f>transport!C54</f>
        <v>0</v>
      </c>
      <c r="D10" s="452">
        <f>transport!D54</f>
        <v>0</v>
      </c>
      <c r="E10" s="452">
        <f>transport!E54</f>
        <v>0</v>
      </c>
      <c r="F10" s="452">
        <f>transport!F54</f>
        <v>0</v>
      </c>
      <c r="G10" s="452">
        <f>transport!G54</f>
        <v>781.74286336649982</v>
      </c>
      <c r="H10" s="452">
        <f>transport!H54</f>
        <v>0</v>
      </c>
      <c r="I10" s="452">
        <f>transport!I54</f>
        <v>0</v>
      </c>
      <c r="J10" s="452">
        <f>transport!J54</f>
        <v>0</v>
      </c>
      <c r="K10" s="452">
        <f>transport!K54</f>
        <v>0</v>
      </c>
      <c r="L10" s="452">
        <f>transport!L54</f>
        <v>0</v>
      </c>
      <c r="M10" s="452">
        <f>transport!M54</f>
        <v>43.442518969826658</v>
      </c>
      <c r="N10" s="452">
        <f>transport!N54</f>
        <v>0</v>
      </c>
      <c r="O10" s="452">
        <f>transport!O54</f>
        <v>0</v>
      </c>
      <c r="P10" s="453">
        <f>transport!P54</f>
        <v>0</v>
      </c>
      <c r="Q10" s="451">
        <f t="shared" si="0"/>
        <v>825.18538233632648</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751.21349199999997</v>
      </c>
      <c r="C14" s="459"/>
      <c r="D14" s="459">
        <f>'SEAP template'!E25</f>
        <v>1000.4349560000001</v>
      </c>
      <c r="E14" s="459"/>
      <c r="F14" s="459"/>
      <c r="G14" s="459"/>
      <c r="H14" s="459"/>
      <c r="I14" s="459"/>
      <c r="J14" s="459"/>
      <c r="K14" s="459"/>
      <c r="L14" s="459"/>
      <c r="M14" s="459"/>
      <c r="N14" s="459"/>
      <c r="O14" s="459"/>
      <c r="P14" s="460"/>
      <c r="Q14" s="451">
        <f t="shared" si="0"/>
        <v>1751.6484479999999</v>
      </c>
    </row>
    <row r="15" spans="1:17" s="463" customFormat="1">
      <c r="A15" s="461" t="s">
        <v>545</v>
      </c>
      <c r="B15" s="462">
        <f ca="1">SUM(B4:B14)</f>
        <v>43110.982765537585</v>
      </c>
      <c r="C15" s="462">
        <f t="shared" ref="C15:Q15" ca="1" si="1">SUM(C4:C14)</f>
        <v>126.5625</v>
      </c>
      <c r="D15" s="462">
        <f t="shared" ca="1" si="1"/>
        <v>47594.661771667481</v>
      </c>
      <c r="E15" s="462">
        <f t="shared" si="1"/>
        <v>32743.189546862424</v>
      </c>
      <c r="F15" s="462">
        <f t="shared" ca="1" si="1"/>
        <v>48086.665817423171</v>
      </c>
      <c r="G15" s="462">
        <f t="shared" si="1"/>
        <v>30615.387260307605</v>
      </c>
      <c r="H15" s="462">
        <f t="shared" si="1"/>
        <v>9362.2427214003383</v>
      </c>
      <c r="I15" s="462">
        <f t="shared" si="1"/>
        <v>0</v>
      </c>
      <c r="J15" s="462">
        <f t="shared" si="1"/>
        <v>487.41996353031789</v>
      </c>
      <c r="K15" s="462">
        <f t="shared" si="1"/>
        <v>0</v>
      </c>
      <c r="L15" s="462">
        <f t="shared" ca="1" si="1"/>
        <v>0</v>
      </c>
      <c r="M15" s="462">
        <f t="shared" si="1"/>
        <v>2382.9877968268984</v>
      </c>
      <c r="N15" s="462">
        <f t="shared" ca="1" si="1"/>
        <v>8530.0741888615248</v>
      </c>
      <c r="O15" s="462">
        <f t="shared" si="1"/>
        <v>362.00974025550687</v>
      </c>
      <c r="P15" s="462">
        <f t="shared" si="1"/>
        <v>716.17857469065143</v>
      </c>
      <c r="Q15" s="462">
        <f t="shared" ca="1" si="1"/>
        <v>224118.36264736351</v>
      </c>
    </row>
    <row r="17" spans="1:17">
      <c r="A17" s="464" t="s">
        <v>546</v>
      </c>
      <c r="B17" s="781">
        <f ca="1">huishoudens!B10</f>
        <v>0.19664442373283147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5315.1783369328687</v>
      </c>
      <c r="C22" s="452">
        <f t="shared" ref="C22:C32" ca="1" si="3">C4*$C$17</f>
        <v>0</v>
      </c>
      <c r="D22" s="452">
        <f t="shared" ref="D22:D32" si="4">D4*$D$17</f>
        <v>6729.960798569361</v>
      </c>
      <c r="E22" s="452">
        <f t="shared" ref="E22:E32" si="5">E4*$E$17</f>
        <v>7308.521459523392</v>
      </c>
      <c r="F22" s="452">
        <f t="shared" ref="F22:F32" si="6">F4*$F$17</f>
        <v>10634.28079759884</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29987.94139262446</v>
      </c>
    </row>
    <row r="23" spans="1:17">
      <c r="A23" s="451" t="s">
        <v>155</v>
      </c>
      <c r="B23" s="452">
        <f t="shared" ca="1" si="2"/>
        <v>2219.0473755634835</v>
      </c>
      <c r="C23" s="452">
        <f t="shared" ca="1" si="3"/>
        <v>0</v>
      </c>
      <c r="D23" s="452">
        <f t="shared" ca="1" si="4"/>
        <v>2468.3842883293</v>
      </c>
      <c r="E23" s="452">
        <f t="shared" si="5"/>
        <v>38.348843442412068</v>
      </c>
      <c r="F23" s="452">
        <f t="shared" ca="1" si="6"/>
        <v>340.98390107527035</v>
      </c>
      <c r="G23" s="452">
        <f t="shared" si="7"/>
        <v>0</v>
      </c>
      <c r="H23" s="452">
        <f t="shared" si="8"/>
        <v>0</v>
      </c>
      <c r="I23" s="452">
        <f t="shared" si="9"/>
        <v>0</v>
      </c>
      <c r="J23" s="452">
        <f t="shared" si="10"/>
        <v>1.0231120739173481E-2</v>
      </c>
      <c r="K23" s="452">
        <f t="shared" si="11"/>
        <v>0</v>
      </c>
      <c r="L23" s="452">
        <f t="shared" ca="1" si="12"/>
        <v>0</v>
      </c>
      <c r="M23" s="452">
        <f t="shared" si="13"/>
        <v>0</v>
      </c>
      <c r="N23" s="452">
        <f t="shared" ca="1" si="14"/>
        <v>0</v>
      </c>
      <c r="O23" s="452">
        <f t="shared" si="15"/>
        <v>0</v>
      </c>
      <c r="P23" s="453">
        <f t="shared" si="16"/>
        <v>0</v>
      </c>
      <c r="Q23" s="451">
        <f t="shared" ref="Q23:Q31" ca="1" si="17">SUM(B23:P23)</f>
        <v>5066.7746395312042</v>
      </c>
    </row>
    <row r="24" spans="1:17">
      <c r="A24" s="451" t="s">
        <v>193</v>
      </c>
      <c r="B24" s="452">
        <f t="shared" ca="1" si="2"/>
        <v>194.2553906289013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194.2553906289013</v>
      </c>
    </row>
    <row r="25" spans="1:17">
      <c r="A25" s="451" t="s">
        <v>111</v>
      </c>
      <c r="B25" s="452">
        <f t="shared" ca="1" si="2"/>
        <v>347.16305833364862</v>
      </c>
      <c r="C25" s="452">
        <f t="shared" ca="1" si="3"/>
        <v>0</v>
      </c>
      <c r="D25" s="452">
        <f t="shared" si="4"/>
        <v>2.472849365888</v>
      </c>
      <c r="E25" s="452">
        <f t="shared" si="5"/>
        <v>12.507396196541528</v>
      </c>
      <c r="F25" s="452">
        <f t="shared" si="6"/>
        <v>1665.878371937079</v>
      </c>
      <c r="G25" s="452">
        <f t="shared" si="7"/>
        <v>0</v>
      </c>
      <c r="H25" s="452">
        <f t="shared" si="8"/>
        <v>0</v>
      </c>
      <c r="I25" s="452">
        <f t="shared" si="9"/>
        <v>0</v>
      </c>
      <c r="J25" s="452">
        <f t="shared" si="10"/>
        <v>172.18196794878179</v>
      </c>
      <c r="K25" s="452">
        <f t="shared" si="11"/>
        <v>0</v>
      </c>
      <c r="L25" s="452">
        <f t="shared" si="12"/>
        <v>0</v>
      </c>
      <c r="M25" s="452">
        <f t="shared" si="13"/>
        <v>0</v>
      </c>
      <c r="N25" s="452">
        <f t="shared" si="14"/>
        <v>0</v>
      </c>
      <c r="O25" s="452">
        <f t="shared" si="15"/>
        <v>0</v>
      </c>
      <c r="P25" s="453">
        <f t="shared" si="16"/>
        <v>0</v>
      </c>
      <c r="Q25" s="451">
        <f t="shared" ca="1" si="17"/>
        <v>2200.2036437819388</v>
      </c>
    </row>
    <row r="26" spans="1:17">
      <c r="A26" s="451" t="s">
        <v>625</v>
      </c>
      <c r="B26" s="452">
        <f t="shared" ca="1" si="2"/>
        <v>250.34384482939595</v>
      </c>
      <c r="C26" s="452">
        <f t="shared" ca="1" si="3"/>
        <v>0</v>
      </c>
      <c r="D26" s="452">
        <f t="shared" si="4"/>
        <v>190.70811060166801</v>
      </c>
      <c r="E26" s="452">
        <f t="shared" si="5"/>
        <v>54.53576597772404</v>
      </c>
      <c r="F26" s="452">
        <f t="shared" si="6"/>
        <v>197.99670264079813</v>
      </c>
      <c r="G26" s="452">
        <f t="shared" si="7"/>
        <v>0</v>
      </c>
      <c r="H26" s="452">
        <f t="shared" si="8"/>
        <v>0</v>
      </c>
      <c r="I26" s="452">
        <f t="shared" si="9"/>
        <v>0</v>
      </c>
      <c r="J26" s="452">
        <f t="shared" si="10"/>
        <v>0.35446802021157608</v>
      </c>
      <c r="K26" s="452">
        <f t="shared" si="11"/>
        <v>0</v>
      </c>
      <c r="L26" s="452">
        <f t="shared" si="12"/>
        <v>0</v>
      </c>
      <c r="M26" s="452">
        <f t="shared" si="13"/>
        <v>0</v>
      </c>
      <c r="N26" s="452">
        <f t="shared" si="14"/>
        <v>0</v>
      </c>
      <c r="O26" s="452">
        <f t="shared" si="15"/>
        <v>0</v>
      </c>
      <c r="P26" s="453">
        <f t="shared" si="16"/>
        <v>0</v>
      </c>
      <c r="Q26" s="451">
        <f t="shared" ca="1" si="17"/>
        <v>693.9388920697977</v>
      </c>
    </row>
    <row r="27" spans="1:17" s="457" customFormat="1">
      <c r="A27" s="455" t="s">
        <v>551</v>
      </c>
      <c r="B27" s="775">
        <f t="shared" ca="1" si="2"/>
        <v>3.824411962201093</v>
      </c>
      <c r="C27" s="456">
        <f t="shared" ca="1" si="3"/>
        <v>0</v>
      </c>
      <c r="D27" s="456">
        <f t="shared" si="4"/>
        <v>20.507769898615223</v>
      </c>
      <c r="E27" s="456">
        <f t="shared" si="5"/>
        <v>18.790561997701207</v>
      </c>
      <c r="F27" s="456">
        <f t="shared" si="6"/>
        <v>0</v>
      </c>
      <c r="G27" s="456">
        <f t="shared" si="7"/>
        <v>7965.583053983275</v>
      </c>
      <c r="H27" s="456">
        <f t="shared" si="8"/>
        <v>2331.1984376286841</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10339.904235470476</v>
      </c>
    </row>
    <row r="28" spans="1:17" ht="16.5" customHeight="1">
      <c r="A28" s="451" t="s">
        <v>541</v>
      </c>
      <c r="B28" s="452">
        <f t="shared" ca="1" si="2"/>
        <v>0</v>
      </c>
      <c r="C28" s="452">
        <f t="shared" ca="1" si="3"/>
        <v>0</v>
      </c>
      <c r="D28" s="452">
        <f t="shared" si="4"/>
        <v>0</v>
      </c>
      <c r="E28" s="452">
        <f t="shared" si="5"/>
        <v>0</v>
      </c>
      <c r="F28" s="452">
        <f t="shared" si="6"/>
        <v>0</v>
      </c>
      <c r="G28" s="452">
        <f t="shared" si="7"/>
        <v>208.72534451885545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208.72534451885545</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147.721944234668</v>
      </c>
      <c r="C32" s="452">
        <f t="shared" ca="1" si="3"/>
        <v>0</v>
      </c>
      <c r="D32" s="452">
        <f t="shared" si="4"/>
        <v>202.08786111200001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349.80980534666799</v>
      </c>
    </row>
    <row r="33" spans="1:17" s="463" customFormat="1">
      <c r="A33" s="461" t="s">
        <v>545</v>
      </c>
      <c r="B33" s="462">
        <f ca="1">SUM(B22:B32)</f>
        <v>8477.5343624851685</v>
      </c>
      <c r="C33" s="462">
        <f t="shared" ref="C33:Q33" ca="1" si="19">SUM(C22:C32)</f>
        <v>0</v>
      </c>
      <c r="D33" s="462">
        <f t="shared" ca="1" si="19"/>
        <v>9614.1216778768339</v>
      </c>
      <c r="E33" s="462">
        <f t="shared" si="19"/>
        <v>7432.70402713777</v>
      </c>
      <c r="F33" s="462">
        <f t="shared" ca="1" si="19"/>
        <v>12839.139773251987</v>
      </c>
      <c r="G33" s="462">
        <f t="shared" si="19"/>
        <v>8174.3083985021303</v>
      </c>
      <c r="H33" s="462">
        <f t="shared" si="19"/>
        <v>2331.1984376286841</v>
      </c>
      <c r="I33" s="462">
        <f t="shared" si="19"/>
        <v>0</v>
      </c>
      <c r="J33" s="462">
        <f t="shared" si="19"/>
        <v>172.54666708973255</v>
      </c>
      <c r="K33" s="462">
        <f t="shared" si="19"/>
        <v>0</v>
      </c>
      <c r="L33" s="462">
        <f t="shared" ca="1" si="19"/>
        <v>0</v>
      </c>
      <c r="M33" s="462">
        <f t="shared" si="19"/>
        <v>0</v>
      </c>
      <c r="N33" s="462">
        <f t="shared" ca="1" si="19"/>
        <v>0</v>
      </c>
      <c r="O33" s="462">
        <f t="shared" si="19"/>
        <v>0</v>
      </c>
      <c r="P33" s="462">
        <f t="shared" si="19"/>
        <v>0</v>
      </c>
      <c r="Q33" s="462">
        <f t="shared" ca="1" si="19"/>
        <v>49041.553343972308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4638.598772392028</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112.5</v>
      </c>
      <c r="C8" s="1029">
        <f>'SEAP template'!C76</f>
        <v>0</v>
      </c>
      <c r="D8" s="1029">
        <f>'SEAP template'!D76</f>
        <v>0</v>
      </c>
      <c r="E8" s="1029">
        <f>'SEAP template'!E76</f>
        <v>0</v>
      </c>
      <c r="F8" s="1029">
        <f>'SEAP template'!F76</f>
        <v>0</v>
      </c>
      <c r="G8" s="1029">
        <f>'SEAP template'!G76</f>
        <v>0</v>
      </c>
      <c r="H8" s="1029">
        <f>'SEAP template'!H76</f>
        <v>0</v>
      </c>
      <c r="I8" s="1029">
        <f>'SEAP template'!I76</f>
        <v>132.35294117647058</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4751.098772392028</v>
      </c>
      <c r="C10" s="1031">
        <f>SUM(C4:C9)</f>
        <v>0</v>
      </c>
      <c r="D10" s="1031">
        <f t="shared" ref="D10:H10" si="0">SUM(D8:D9)</f>
        <v>0</v>
      </c>
      <c r="E10" s="1031">
        <f t="shared" si="0"/>
        <v>0</v>
      </c>
      <c r="F10" s="1031">
        <f t="shared" si="0"/>
        <v>0</v>
      </c>
      <c r="G10" s="1031">
        <f t="shared" si="0"/>
        <v>0</v>
      </c>
      <c r="H10" s="1031">
        <f t="shared" si="0"/>
        <v>0</v>
      </c>
      <c r="I10" s="1031">
        <f>SUM(I8:I9)</f>
        <v>132.35294117647058</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0.19664442373283147</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126.5625</v>
      </c>
      <c r="C17" s="1032">
        <f>'SEAP template'!C87</f>
        <v>0</v>
      </c>
      <c r="D17" s="1030">
        <f>'SEAP template'!D87</f>
        <v>0</v>
      </c>
      <c r="E17" s="1030">
        <f>'SEAP template'!E87</f>
        <v>0</v>
      </c>
      <c r="F17" s="1030">
        <f>'SEAP template'!F87</f>
        <v>0</v>
      </c>
      <c r="G17" s="1030">
        <f>'SEAP template'!G87</f>
        <v>0</v>
      </c>
      <c r="H17" s="1030">
        <f>'SEAP template'!H87</f>
        <v>0</v>
      </c>
      <c r="I17" s="1030">
        <f>'SEAP template'!I87</f>
        <v>148.89705882352942</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126.5625</v>
      </c>
      <c r="C20" s="1031">
        <f>SUM(C17:C19)</f>
        <v>0</v>
      </c>
      <c r="D20" s="1031">
        <f t="shared" ref="D20:H20" si="2">SUM(D17:D19)</f>
        <v>0</v>
      </c>
      <c r="E20" s="1031">
        <f t="shared" si="2"/>
        <v>0</v>
      </c>
      <c r="F20" s="1031">
        <f t="shared" si="2"/>
        <v>0</v>
      </c>
      <c r="G20" s="1031">
        <f t="shared" si="2"/>
        <v>0</v>
      </c>
      <c r="H20" s="1031">
        <f t="shared" si="2"/>
        <v>0</v>
      </c>
      <c r="I20" s="1031">
        <f>SUM(I17:I19)</f>
        <v>148.89705882352942</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0.19664442373283147</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0.19664442373283147</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0.19664442373283147</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6026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297.55</v>
      </c>
      <c r="C14" s="330"/>
      <c r="D14" s="330"/>
      <c r="E14" s="330"/>
      <c r="F14" s="330"/>
    </row>
    <row r="15" spans="1:6">
      <c r="A15" s="1298" t="s">
        <v>183</v>
      </c>
      <c r="B15" s="1299">
        <v>0</v>
      </c>
      <c r="C15" s="330"/>
      <c r="D15" s="330"/>
      <c r="E15" s="330"/>
      <c r="F15" s="330"/>
    </row>
    <row r="16" spans="1:6">
      <c r="A16" s="1298" t="s">
        <v>6</v>
      </c>
      <c r="B16" s="1299">
        <v>0</v>
      </c>
      <c r="C16" s="330"/>
      <c r="D16" s="330"/>
      <c r="E16" s="330"/>
      <c r="F16" s="330"/>
    </row>
    <row r="17" spans="1:6">
      <c r="A17" s="1298" t="s">
        <v>7</v>
      </c>
      <c r="B17" s="1299">
        <v>44</v>
      </c>
      <c r="C17" s="330"/>
      <c r="D17" s="330"/>
      <c r="E17" s="330"/>
      <c r="F17" s="330"/>
    </row>
    <row r="18" spans="1:6">
      <c r="A18" s="1298" t="s">
        <v>8</v>
      </c>
      <c r="B18" s="1299">
        <v>31</v>
      </c>
      <c r="C18" s="330"/>
      <c r="D18" s="330"/>
      <c r="E18" s="330"/>
      <c r="F18" s="330"/>
    </row>
    <row r="19" spans="1:6">
      <c r="A19" s="1298" t="s">
        <v>9</v>
      </c>
      <c r="B19" s="1299">
        <v>32</v>
      </c>
      <c r="C19" s="330"/>
      <c r="D19" s="330"/>
      <c r="E19" s="330"/>
      <c r="F19" s="330"/>
    </row>
    <row r="20" spans="1:6">
      <c r="A20" s="1298" t="s">
        <v>10</v>
      </c>
      <c r="B20" s="1299">
        <v>36</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0</v>
      </c>
      <c r="C26" s="330"/>
      <c r="D26" s="330"/>
      <c r="E26" s="330"/>
      <c r="F26" s="330"/>
    </row>
    <row r="27" spans="1:6">
      <c r="A27" s="1298" t="s">
        <v>17</v>
      </c>
      <c r="B27" s="1299">
        <v>1</v>
      </c>
      <c r="C27" s="330"/>
      <c r="D27" s="330"/>
      <c r="E27" s="330"/>
      <c r="F27" s="330"/>
    </row>
    <row r="28" spans="1:6" s="43" customFormat="1">
      <c r="A28" s="1300" t="s">
        <v>18</v>
      </c>
      <c r="B28" s="1301">
        <v>57884</v>
      </c>
      <c r="C28" s="336"/>
      <c r="D28" s="336"/>
      <c r="E28" s="336"/>
      <c r="F28" s="336"/>
    </row>
    <row r="29" spans="1:6">
      <c r="A29" s="1300" t="s">
        <v>705</v>
      </c>
      <c r="B29" s="1301">
        <v>61</v>
      </c>
      <c r="C29" s="336"/>
      <c r="D29" s="336"/>
      <c r="E29" s="336"/>
      <c r="F29" s="336"/>
    </row>
    <row r="30" spans="1:6">
      <c r="A30" s="1293" t="s">
        <v>706</v>
      </c>
      <c r="B30" s="1302">
        <v>8</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862.74699999999996</v>
      </c>
    </row>
    <row r="39" spans="1:6">
      <c r="A39" s="1298" t="s">
        <v>29</v>
      </c>
      <c r="B39" s="1298" t="s">
        <v>30</v>
      </c>
      <c r="C39" s="1299">
        <v>2342</v>
      </c>
      <c r="D39" s="1299">
        <v>36936405.340000004</v>
      </c>
      <c r="E39" s="1299">
        <v>5984</v>
      </c>
      <c r="F39" s="1299">
        <v>23560911.689999998</v>
      </c>
    </row>
    <row r="40" spans="1:6">
      <c r="A40" s="1298" t="s">
        <v>29</v>
      </c>
      <c r="B40" s="1298" t="s">
        <v>28</v>
      </c>
      <c r="C40" s="1299">
        <v>0</v>
      </c>
      <c r="D40" s="1299">
        <v>0</v>
      </c>
      <c r="E40" s="1299">
        <v>0</v>
      </c>
      <c r="F40" s="1299">
        <v>0</v>
      </c>
    </row>
    <row r="41" spans="1:6">
      <c r="A41" s="1298" t="s">
        <v>31</v>
      </c>
      <c r="B41" s="1298" t="s">
        <v>32</v>
      </c>
      <c r="C41" s="1299">
        <v>18</v>
      </c>
      <c r="D41" s="1299">
        <v>284074.83799999999</v>
      </c>
      <c r="E41" s="1299">
        <v>109</v>
      </c>
      <c r="F41" s="1299">
        <v>844370.06199999992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6</v>
      </c>
      <c r="F44" s="1299">
        <v>140682</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27</v>
      </c>
      <c r="D48" s="1299">
        <v>762598.72900000005</v>
      </c>
      <c r="E48" s="1299">
        <v>11</v>
      </c>
      <c r="F48" s="1299">
        <v>104079.542</v>
      </c>
    </row>
    <row r="49" spans="1:6">
      <c r="A49" s="1298" t="s">
        <v>31</v>
      </c>
      <c r="B49" s="1298" t="s">
        <v>39</v>
      </c>
      <c r="C49" s="1299">
        <v>0</v>
      </c>
      <c r="D49" s="1299">
        <v>0</v>
      </c>
      <c r="E49" s="1299">
        <v>0</v>
      </c>
      <c r="F49" s="1299">
        <v>0</v>
      </c>
    </row>
    <row r="50" spans="1:6">
      <c r="A50" s="1298" t="s">
        <v>31</v>
      </c>
      <c r="B50" s="1298" t="s">
        <v>40</v>
      </c>
      <c r="C50" s="1299">
        <v>0</v>
      </c>
      <c r="D50" s="1299">
        <v>0</v>
      </c>
      <c r="E50" s="1299">
        <v>5</v>
      </c>
      <c r="F50" s="1299">
        <v>183947.185</v>
      </c>
    </row>
    <row r="51" spans="1:6">
      <c r="A51" s="1298" t="s">
        <v>41</v>
      </c>
      <c r="B51" s="1298" t="s">
        <v>42</v>
      </c>
      <c r="C51" s="1299">
        <v>0</v>
      </c>
      <c r="D51" s="1299">
        <v>0</v>
      </c>
      <c r="E51" s="1299">
        <v>10</v>
      </c>
      <c r="F51" s="1299">
        <v>213865</v>
      </c>
    </row>
    <row r="52" spans="1:6">
      <c r="A52" s="1298" t="s">
        <v>41</v>
      </c>
      <c r="B52" s="1298" t="s">
        <v>28</v>
      </c>
      <c r="C52" s="1299">
        <v>1</v>
      </c>
      <c r="D52" s="1299">
        <v>13571.871999999999</v>
      </c>
      <c r="E52" s="1299">
        <v>3</v>
      </c>
      <c r="F52" s="1299">
        <v>1551570.56</v>
      </c>
    </row>
    <row r="53" spans="1:6">
      <c r="A53" s="1298" t="s">
        <v>43</v>
      </c>
      <c r="B53" s="1298" t="s">
        <v>44</v>
      </c>
      <c r="C53" s="1299">
        <v>59</v>
      </c>
      <c r="D53" s="1299">
        <v>1000434.956</v>
      </c>
      <c r="E53" s="1299">
        <v>184</v>
      </c>
      <c r="F53" s="1299">
        <v>751213.49199999997</v>
      </c>
    </row>
    <row r="54" spans="1:6">
      <c r="A54" s="1298" t="s">
        <v>45</v>
      </c>
      <c r="B54" s="1298" t="s">
        <v>46</v>
      </c>
      <c r="C54" s="1299">
        <v>0</v>
      </c>
      <c r="D54" s="1299">
        <v>0</v>
      </c>
      <c r="E54" s="1299">
        <v>2</v>
      </c>
      <c r="F54" s="1299">
        <v>987851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37</v>
      </c>
      <c r="D57" s="1299">
        <v>1403649.5330000001</v>
      </c>
      <c r="E57" s="1299">
        <v>141</v>
      </c>
      <c r="F57" s="1299">
        <v>1402973.581</v>
      </c>
    </row>
    <row r="58" spans="1:6">
      <c r="A58" s="1298" t="s">
        <v>48</v>
      </c>
      <c r="B58" s="1298" t="s">
        <v>50</v>
      </c>
      <c r="C58" s="1299">
        <v>3</v>
      </c>
      <c r="D58" s="1299">
        <v>111396.38</v>
      </c>
      <c r="E58" s="1299">
        <v>27</v>
      </c>
      <c r="F58" s="1299">
        <v>289213.82400000002</v>
      </c>
    </row>
    <row r="59" spans="1:6">
      <c r="A59" s="1298" t="s">
        <v>48</v>
      </c>
      <c r="B59" s="1298" t="s">
        <v>51</v>
      </c>
      <c r="C59" s="1299">
        <v>31</v>
      </c>
      <c r="D59" s="1299">
        <v>1161610.5419999999</v>
      </c>
      <c r="E59" s="1299">
        <v>137</v>
      </c>
      <c r="F59" s="1299">
        <v>3764930.642</v>
      </c>
    </row>
    <row r="60" spans="1:6">
      <c r="A60" s="1298" t="s">
        <v>48</v>
      </c>
      <c r="B60" s="1298" t="s">
        <v>52</v>
      </c>
      <c r="C60" s="1299">
        <v>23</v>
      </c>
      <c r="D60" s="1299">
        <v>1176604.598</v>
      </c>
      <c r="E60" s="1299">
        <v>62</v>
      </c>
      <c r="F60" s="1299">
        <v>1318576.868</v>
      </c>
    </row>
    <row r="61" spans="1:6">
      <c r="A61" s="1298" t="s">
        <v>48</v>
      </c>
      <c r="B61" s="1298" t="s">
        <v>53</v>
      </c>
      <c r="C61" s="1299">
        <v>49</v>
      </c>
      <c r="D61" s="1299">
        <v>976340.49100000004</v>
      </c>
      <c r="E61" s="1299">
        <v>208</v>
      </c>
      <c r="F61" s="1299">
        <v>1585170.6660000002</v>
      </c>
    </row>
    <row r="62" spans="1:6">
      <c r="A62" s="1298" t="s">
        <v>48</v>
      </c>
      <c r="B62" s="1298" t="s">
        <v>54</v>
      </c>
      <c r="C62" s="1299">
        <v>5</v>
      </c>
      <c r="D62" s="1299">
        <v>698808.78899999999</v>
      </c>
      <c r="E62" s="1299">
        <v>11</v>
      </c>
      <c r="F62" s="1299">
        <v>158108.13400000002</v>
      </c>
    </row>
    <row r="63" spans="1:6">
      <c r="A63" s="1298" t="s">
        <v>48</v>
      </c>
      <c r="B63" s="1298" t="s">
        <v>28</v>
      </c>
      <c r="C63" s="1299">
        <v>99</v>
      </c>
      <c r="D63" s="1299">
        <v>8018955.7419999996</v>
      </c>
      <c r="E63" s="1299">
        <v>88</v>
      </c>
      <c r="F63" s="1299">
        <v>2653094.3059999999</v>
      </c>
    </row>
    <row r="64" spans="1:6">
      <c r="A64" s="1298" t="s">
        <v>55</v>
      </c>
      <c r="B64" s="1298" t="s">
        <v>56</v>
      </c>
      <c r="C64" s="1299">
        <v>0</v>
      </c>
      <c r="D64" s="1299">
        <v>0</v>
      </c>
      <c r="E64" s="1299">
        <v>0</v>
      </c>
      <c r="F64" s="1299">
        <v>0</v>
      </c>
    </row>
    <row r="65" spans="1:6">
      <c r="A65" s="1298" t="s">
        <v>55</v>
      </c>
      <c r="B65" s="1298" t="s">
        <v>28</v>
      </c>
      <c r="C65" s="1299">
        <v>3</v>
      </c>
      <c r="D65" s="1299">
        <v>106463.185</v>
      </c>
      <c r="E65" s="1299">
        <v>4</v>
      </c>
      <c r="F65" s="1299">
        <v>30809.764999999999</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5</v>
      </c>
      <c r="F68" s="1302">
        <v>25251.116000000002</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4323688</v>
      </c>
      <c r="E73" s="450"/>
      <c r="F73" s="330"/>
    </row>
    <row r="74" spans="1:6">
      <c r="A74" s="1298" t="s">
        <v>63</v>
      </c>
      <c r="B74" s="1298" t="s">
        <v>647</v>
      </c>
      <c r="C74" s="1312" t="s">
        <v>649</v>
      </c>
      <c r="D74" s="1313">
        <v>271292</v>
      </c>
      <c r="E74" s="450"/>
      <c r="F74" s="330"/>
    </row>
    <row r="75" spans="1:6">
      <c r="A75" s="1298" t="s">
        <v>64</v>
      </c>
      <c r="B75" s="1298" t="s">
        <v>646</v>
      </c>
      <c r="C75" s="1312" t="s">
        <v>650</v>
      </c>
      <c r="D75" s="1313">
        <v>36341038</v>
      </c>
      <c r="E75" s="450"/>
      <c r="F75" s="330"/>
    </row>
    <row r="76" spans="1:6">
      <c r="A76" s="1298" t="s">
        <v>64</v>
      </c>
      <c r="B76" s="1298" t="s">
        <v>647</v>
      </c>
      <c r="C76" s="1312" t="s">
        <v>651</v>
      </c>
      <c r="D76" s="1313">
        <v>1181091</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226520</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3468.475851414702</v>
      </c>
      <c r="C91" s="330"/>
      <c r="D91" s="330"/>
      <c r="E91" s="330"/>
      <c r="F91" s="330"/>
    </row>
    <row r="92" spans="1:6">
      <c r="A92" s="1293" t="s">
        <v>68</v>
      </c>
      <c r="B92" s="1294">
        <v>1170.1229209773257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471</v>
      </c>
      <c r="C97" s="330"/>
      <c r="D97" s="330"/>
      <c r="E97" s="330"/>
      <c r="F97" s="330"/>
    </row>
    <row r="98" spans="1:6">
      <c r="A98" s="1298" t="s">
        <v>71</v>
      </c>
      <c r="B98" s="1299">
        <v>2</v>
      </c>
      <c r="C98" s="330"/>
      <c r="D98" s="330"/>
      <c r="E98" s="330"/>
      <c r="F98" s="330"/>
    </row>
    <row r="99" spans="1:6">
      <c r="A99" s="1298" t="s">
        <v>72</v>
      </c>
      <c r="B99" s="1299">
        <v>258</v>
      </c>
      <c r="C99" s="330"/>
      <c r="D99" s="330"/>
      <c r="E99" s="330"/>
      <c r="F99" s="330"/>
    </row>
    <row r="100" spans="1:6">
      <c r="A100" s="1298" t="s">
        <v>73</v>
      </c>
      <c r="B100" s="1299">
        <v>436</v>
      </c>
      <c r="C100" s="330"/>
      <c r="D100" s="330"/>
      <c r="E100" s="330"/>
      <c r="F100" s="330"/>
    </row>
    <row r="101" spans="1:6">
      <c r="A101" s="1298" t="s">
        <v>74</v>
      </c>
      <c r="B101" s="1299">
        <v>47</v>
      </c>
      <c r="C101" s="330"/>
      <c r="D101" s="330"/>
      <c r="E101" s="330"/>
      <c r="F101" s="330"/>
    </row>
    <row r="102" spans="1:6">
      <c r="A102" s="1298" t="s">
        <v>75</v>
      </c>
      <c r="B102" s="1299">
        <v>58</v>
      </c>
      <c r="C102" s="330"/>
      <c r="D102" s="330"/>
      <c r="E102" s="330"/>
      <c r="F102" s="330"/>
    </row>
    <row r="103" spans="1:6">
      <c r="A103" s="1298" t="s">
        <v>76</v>
      </c>
      <c r="B103" s="1299">
        <v>127</v>
      </c>
      <c r="C103" s="330"/>
      <c r="D103" s="330"/>
      <c r="E103" s="330"/>
      <c r="F103" s="330"/>
    </row>
    <row r="104" spans="1:6">
      <c r="A104" s="1298" t="s">
        <v>77</v>
      </c>
      <c r="B104" s="1299">
        <v>3603</v>
      </c>
      <c r="C104" s="330"/>
      <c r="D104" s="330"/>
      <c r="E104" s="330"/>
      <c r="F104" s="330"/>
    </row>
    <row r="105" spans="1:6">
      <c r="A105" s="1293" t="s">
        <v>78</v>
      </c>
      <c r="B105" s="1302">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41</v>
      </c>
      <c r="C123" s="1299">
        <v>47</v>
      </c>
      <c r="D123" s="330"/>
      <c r="E123" s="330"/>
      <c r="F123" s="330"/>
    </row>
    <row r="124" spans="1:6" s="43" customFormat="1">
      <c r="A124" s="1300" t="s">
        <v>88</v>
      </c>
      <c r="B124" s="1321">
        <v>2</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133</v>
      </c>
      <c r="C129" s="330"/>
      <c r="D129" s="330"/>
      <c r="E129" s="330"/>
      <c r="F129" s="330"/>
    </row>
    <row r="130" spans="1:6">
      <c r="A130" s="1298" t="s">
        <v>294</v>
      </c>
      <c r="B130" s="1299">
        <v>1</v>
      </c>
      <c r="C130" s="330"/>
      <c r="D130" s="330"/>
      <c r="E130" s="330"/>
      <c r="F130" s="330"/>
    </row>
    <row r="131" spans="1:6">
      <c r="A131" s="1298" t="s">
        <v>295</v>
      </c>
      <c r="B131" s="1299">
        <v>1</v>
      </c>
      <c r="C131" s="330"/>
      <c r="D131" s="330"/>
      <c r="E131" s="330"/>
      <c r="F131" s="330"/>
    </row>
    <row r="132" spans="1:6">
      <c r="A132" s="1293" t="s">
        <v>296</v>
      </c>
      <c r="B132" s="1294">
        <v>20</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43110.982765537578</v>
      </c>
      <c r="C3" s="43" t="s">
        <v>169</v>
      </c>
      <c r="D3" s="43"/>
      <c r="E3" s="154"/>
      <c r="F3" s="43"/>
      <c r="G3" s="43"/>
      <c r="H3" s="43"/>
      <c r="I3" s="43"/>
      <c r="J3" s="43"/>
      <c r="K3" s="96"/>
    </row>
    <row r="4" spans="1:11">
      <c r="A4" s="358" t="s">
        <v>170</v>
      </c>
      <c r="B4" s="49">
        <f>IF(ISERROR('SEAP template'!B78+'SEAP template'!C78),0,'SEAP template'!B78+'SEAP template'!C78)</f>
        <v>4751.098772392028</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0.19664442373283147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126.5625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987.851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987.851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0.19664442373283147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194.2553906289013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23560.911689999997</v>
      </c>
      <c r="C5" s="17">
        <f>IF(ISERROR('Eigen informatie GS &amp; warmtenet'!B59),0,'Eigen informatie GS &amp; warmtenet'!B59)</f>
        <v>0</v>
      </c>
      <c r="D5" s="30">
        <f>(SUM(HH_hh_gas_kWh,HH_rest_gas_kWh)/1000)*0.902</f>
        <v>33316.637616680004</v>
      </c>
      <c r="E5" s="17">
        <f>B46*B57</f>
        <v>32196.129777636088</v>
      </c>
      <c r="F5" s="17">
        <f>B51*B62</f>
        <v>39828.767032205389</v>
      </c>
      <c r="G5" s="18"/>
      <c r="H5" s="17"/>
      <c r="I5" s="17"/>
      <c r="J5" s="17">
        <f>B50*B61+C50*C61</f>
        <v>0</v>
      </c>
      <c r="K5" s="17"/>
      <c r="L5" s="17"/>
      <c r="M5" s="17"/>
      <c r="N5" s="17">
        <f>B48*B59+C48*C59</f>
        <v>7318.0355493377947</v>
      </c>
      <c r="O5" s="17">
        <f>B69*B70*B71</f>
        <v>357.1124794896657</v>
      </c>
      <c r="P5" s="17">
        <f>B77*B78*B79/1000-B77*B78*B79/1000/B80</f>
        <v>663.6394363841564</v>
      </c>
    </row>
    <row r="6" spans="1:16">
      <c r="A6" s="16" t="s">
        <v>611</v>
      </c>
      <c r="B6" s="783">
        <f>kWh_PV_kleiner_dan_10kW</f>
        <v>3468.475851414702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27029.387541414701</v>
      </c>
      <c r="C8" s="21">
        <f>C5</f>
        <v>0</v>
      </c>
      <c r="D8" s="21">
        <f>D5</f>
        <v>33316.637616680004</v>
      </c>
      <c r="E8" s="21">
        <f>E5</f>
        <v>32196.129777636088</v>
      </c>
      <c r="F8" s="21">
        <f>F5</f>
        <v>39828.767032205389</v>
      </c>
      <c r="G8" s="21"/>
      <c r="H8" s="21"/>
      <c r="I8" s="21"/>
      <c r="J8" s="21">
        <f>J5</f>
        <v>0</v>
      </c>
      <c r="K8" s="21"/>
      <c r="L8" s="21">
        <f>L5</f>
        <v>0</v>
      </c>
      <c r="M8" s="21">
        <f>M5</f>
        <v>0</v>
      </c>
      <c r="N8" s="21">
        <f>N5</f>
        <v>7318.0355493377947</v>
      </c>
      <c r="O8" s="21">
        <f>O5</f>
        <v>357.1124794896657</v>
      </c>
      <c r="P8" s="21">
        <f>P5</f>
        <v>663.6394363841564</v>
      </c>
    </row>
    <row r="9" spans="1:16">
      <c r="B9" s="19"/>
      <c r="C9" s="19"/>
      <c r="D9" s="258"/>
      <c r="E9" s="19"/>
      <c r="F9" s="19"/>
      <c r="G9" s="19"/>
      <c r="H9" s="19"/>
      <c r="I9" s="19"/>
      <c r="J9" s="19"/>
      <c r="K9" s="19"/>
      <c r="L9" s="19"/>
      <c r="M9" s="19"/>
      <c r="N9" s="19"/>
      <c r="O9" s="19"/>
      <c r="P9" s="19"/>
    </row>
    <row r="10" spans="1:16">
      <c r="A10" s="24" t="s">
        <v>213</v>
      </c>
      <c r="B10" s="25">
        <f ca="1">'EF ele_warmte'!B12</f>
        <v>0.19664442373283147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5315.1783369328687</v>
      </c>
      <c r="C12" s="23">
        <f ca="1">C10*C8</f>
        <v>0</v>
      </c>
      <c r="D12" s="23">
        <f>D8*D10</f>
        <v>6729.960798569361</v>
      </c>
      <c r="E12" s="23">
        <f>E10*E8</f>
        <v>7308.521459523392</v>
      </c>
      <c r="F12" s="23">
        <f>F10*F8</f>
        <v>10634.28079759884</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471</v>
      </c>
      <c r="C18" s="166" t="s">
        <v>110</v>
      </c>
      <c r="D18" s="228"/>
      <c r="E18" s="15"/>
    </row>
    <row r="19" spans="1:7">
      <c r="A19" s="171" t="s">
        <v>71</v>
      </c>
      <c r="B19" s="37">
        <f>aantalw2001_ander</f>
        <v>2</v>
      </c>
      <c r="C19" s="166" t="s">
        <v>110</v>
      </c>
      <c r="D19" s="229"/>
      <c r="E19" s="15"/>
    </row>
    <row r="20" spans="1:7">
      <c r="A20" s="171" t="s">
        <v>72</v>
      </c>
      <c r="B20" s="37">
        <f>aantalw2001_propaan</f>
        <v>258</v>
      </c>
      <c r="C20" s="167">
        <f>IF(ISERROR(B20/SUM($B$20,$B$21,$B$22)*100),0,B20/SUM($B$20,$B$21,$B$22)*100)</f>
        <v>34.817813765182187</v>
      </c>
      <c r="D20" s="229"/>
      <c r="E20" s="15"/>
    </row>
    <row r="21" spans="1:7">
      <c r="A21" s="171" t="s">
        <v>73</v>
      </c>
      <c r="B21" s="37">
        <f>aantalw2001_elektriciteit</f>
        <v>436</v>
      </c>
      <c r="C21" s="167">
        <f>IF(ISERROR(B21/SUM($B$20,$B$21,$B$22)*100),0,B21/SUM($B$20,$B$21,$B$22)*100)</f>
        <v>58.83940620782726</v>
      </c>
      <c r="D21" s="229"/>
      <c r="E21" s="15"/>
    </row>
    <row r="22" spans="1:7">
      <c r="A22" s="171" t="s">
        <v>74</v>
      </c>
      <c r="B22" s="37">
        <f>aantalw2001_hout</f>
        <v>47</v>
      </c>
      <c r="C22" s="167">
        <f>IF(ISERROR(B22/SUM($B$20,$B$21,$B$22)*100),0,B22/SUM($B$20,$B$21,$B$22)*100)</f>
        <v>6.3427800269905532</v>
      </c>
      <c r="D22" s="229"/>
      <c r="E22" s="15"/>
    </row>
    <row r="23" spans="1:7">
      <c r="A23" s="171" t="s">
        <v>75</v>
      </c>
      <c r="B23" s="37">
        <f>aantalw2001_niet_gespec</f>
        <v>58</v>
      </c>
      <c r="C23" s="166" t="s">
        <v>110</v>
      </c>
      <c r="D23" s="228"/>
      <c r="E23" s="15"/>
    </row>
    <row r="24" spans="1:7">
      <c r="A24" s="171" t="s">
        <v>76</v>
      </c>
      <c r="B24" s="37">
        <f>aantalw2001_steenkool</f>
        <v>127</v>
      </c>
      <c r="C24" s="166" t="s">
        <v>110</v>
      </c>
      <c r="D24" s="229"/>
      <c r="E24" s="15"/>
    </row>
    <row r="25" spans="1:7">
      <c r="A25" s="171" t="s">
        <v>77</v>
      </c>
      <c r="B25" s="37">
        <f>aantalw2001_stookolie</f>
        <v>3603</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818</v>
      </c>
      <c r="B28" s="37">
        <f>aantalHuishoudens</f>
        <v>6026</v>
      </c>
      <c r="C28" s="36"/>
      <c r="D28" s="228"/>
    </row>
    <row r="29" spans="1:7" s="15" customFormat="1">
      <c r="A29" s="230" t="s">
        <v>819</v>
      </c>
      <c r="B29" s="37">
        <f>SUM(HH_hh_gas_aantal,HH_rest_gas_aantal)</f>
        <v>2342</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2342</v>
      </c>
      <c r="C32" s="167">
        <f>IF(ISERROR(B32/SUM($B$32,$B$34,$B$35,$B$36,$B$38,$B$39)*100),0,B32/SUM($B$32,$B$34,$B$35,$B$36,$B$38,$B$39)*100)</f>
        <v>39.275532450109004</v>
      </c>
      <c r="D32" s="233"/>
      <c r="G32" s="15"/>
    </row>
    <row r="33" spans="1:7">
      <c r="A33" s="171" t="s">
        <v>71</v>
      </c>
      <c r="B33" s="34" t="s">
        <v>110</v>
      </c>
      <c r="C33" s="167"/>
      <c r="D33" s="233"/>
      <c r="G33" s="15"/>
    </row>
    <row r="34" spans="1:7">
      <c r="A34" s="171" t="s">
        <v>72</v>
      </c>
      <c r="B34" s="33">
        <f>IF((($B$28-$B$32-$B$39-$B$77-$B$38)*C20/100)&lt;0,0,($B$28-$B$32-$B$39-$B$77-$B$38)*C20/100)</f>
        <v>592.56437246963571</v>
      </c>
      <c r="C34" s="167">
        <f>IF(ISERROR(B34/SUM($B$32,$B$34,$B$35,$B$36,$B$38,$B$39)*100),0,B34/SUM($B$32,$B$34,$B$35,$B$36,$B$38,$B$39)*100)</f>
        <v>9.9373532193465657</v>
      </c>
      <c r="D34" s="233"/>
      <c r="G34" s="15"/>
    </row>
    <row r="35" spans="1:7">
      <c r="A35" s="171" t="s">
        <v>73</v>
      </c>
      <c r="B35" s="33">
        <f>IF((($B$28-$B$32-$B$39-$B$77-$B$38)*C21/100)&lt;0,0,($B$28-$B$32-$B$39-$B$77-$B$38)*C21/100)</f>
        <v>1001.3878542510122</v>
      </c>
      <c r="C35" s="167">
        <f>IF(ISERROR(B35/SUM($B$32,$B$34,$B$35,$B$36,$B$38,$B$39)*100),0,B35/SUM($B$32,$B$34,$B$35,$B$36,$B$38,$B$39)*100)</f>
        <v>16.79335660323683</v>
      </c>
      <c r="D35" s="233"/>
      <c r="G35" s="15"/>
    </row>
    <row r="36" spans="1:7">
      <c r="A36" s="171" t="s">
        <v>74</v>
      </c>
      <c r="B36" s="33">
        <f>IF((($B$28-$B$32-$B$39-$B$77-$B$38)*C22/100)&lt;0,0,($B$28-$B$32-$B$39-$B$77-$B$38)*C22/100)</f>
        <v>107.94777327935222</v>
      </c>
      <c r="C36" s="167">
        <f>IF(ISERROR(B36/SUM($B$32,$B$34,$B$35,$B$36,$B$38,$B$39)*100),0,B36/SUM($B$32,$B$34,$B$35,$B$36,$B$38,$B$39)*100)</f>
        <v>1.8102930283305758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1919.1</v>
      </c>
      <c r="C39" s="167">
        <f>IF(ISERROR(B39/SUM($B$32,$B$34,$B$35,$B$36,$B$38,$B$39)*100),0,B39/SUM($B$32,$B$34,$B$35,$B$36,$B$38,$B$39)*100)</f>
        <v>32.183464698977019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2342</v>
      </c>
      <c r="C44" s="34" t="s">
        <v>110</v>
      </c>
      <c r="D44" s="174"/>
    </row>
    <row r="45" spans="1:7">
      <c r="A45" s="171" t="s">
        <v>71</v>
      </c>
      <c r="B45" s="33" t="str">
        <f t="shared" si="0"/>
        <v>-</v>
      </c>
      <c r="C45" s="34" t="s">
        <v>110</v>
      </c>
      <c r="D45" s="174"/>
    </row>
    <row r="46" spans="1:7">
      <c r="A46" s="171" t="s">
        <v>72</v>
      </c>
      <c r="B46" s="33">
        <f t="shared" si="0"/>
        <v>592.56437246963571</v>
      </c>
      <c r="C46" s="34" t="s">
        <v>110</v>
      </c>
      <c r="D46" s="174"/>
    </row>
    <row r="47" spans="1:7">
      <c r="A47" s="171" t="s">
        <v>73</v>
      </c>
      <c r="B47" s="33">
        <f t="shared" si="0"/>
        <v>1001.3878542510122</v>
      </c>
      <c r="C47" s="34" t="s">
        <v>110</v>
      </c>
      <c r="D47" s="174"/>
    </row>
    <row r="48" spans="1:7">
      <c r="A48" s="171" t="s">
        <v>74</v>
      </c>
      <c r="B48" s="33">
        <f t="shared" si="0"/>
        <v>107.94777327935222</v>
      </c>
      <c r="C48" s="33">
        <f>B48*10</f>
        <v>1079.4777327935221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1919.1</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180</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63</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11172.068020999999</v>
      </c>
      <c r="C5" s="17">
        <f>IF(ISERROR('Eigen informatie GS &amp; warmtenet'!B60),0,'Eigen informatie GS &amp; warmtenet'!B60)</f>
        <v>0</v>
      </c>
      <c r="D5" s="30">
        <f>SUM(D6:D12)</f>
        <v>12219.72419965</v>
      </c>
      <c r="E5" s="17">
        <f>SUM(E6:E12)</f>
        <v>168.93763631018533</v>
      </c>
      <c r="F5" s="17">
        <f>SUM(F6:F12)</f>
        <v>1277.0932624541961</v>
      </c>
      <c r="G5" s="18"/>
      <c r="H5" s="17"/>
      <c r="I5" s="17"/>
      <c r="J5" s="17">
        <f>SUM(J6:J12)</f>
        <v>2.8901471014614356E-2</v>
      </c>
      <c r="K5" s="17"/>
      <c r="L5" s="17"/>
      <c r="M5" s="17"/>
      <c r="N5" s="17">
        <f>SUM(N6:N12)</f>
        <v>1134.1902764210963</v>
      </c>
      <c r="O5" s="17">
        <f>B38*B39*B40</f>
        <v>4.8972607658411542</v>
      </c>
      <c r="P5" s="17">
        <f>B46*B47*B48/1000-B46*B47*B48/1000/B49</f>
        <v>52.539138306495019</v>
      </c>
      <c r="R5" s="32"/>
    </row>
    <row r="6" spans="1:18">
      <c r="A6" s="32" t="s">
        <v>53</v>
      </c>
      <c r="B6" s="37">
        <f>B26</f>
        <v>1585.1706660000002</v>
      </c>
      <c r="C6" s="33"/>
      <c r="D6" s="37">
        <f>IF(ISERROR(TER_kantoor_gas_kWh/1000),0,TER_kantoor_gas_kWh/1000)*0.902</f>
        <v>880.65912288200002</v>
      </c>
      <c r="E6" s="33">
        <f>$C$26*'E Balans VL '!I12/100/3.6*1000000</f>
        <v>12.755360103545666</v>
      </c>
      <c r="F6" s="33">
        <f>$C$26*('E Balans VL '!L12+'E Balans VL '!N12)/100/3.6*1000000</f>
        <v>193.80378938003048</v>
      </c>
      <c r="G6" s="34"/>
      <c r="H6" s="33"/>
      <c r="I6" s="33"/>
      <c r="J6" s="33">
        <f>$C$26*('E Balans VL '!D12+'E Balans VL '!E12)/100/3.6*1000000</f>
        <v>0</v>
      </c>
      <c r="K6" s="33"/>
      <c r="L6" s="33"/>
      <c r="M6" s="33"/>
      <c r="N6" s="33">
        <f>$C$26*'E Balans VL '!Y12/100/3.6*1000000</f>
        <v>0.85195117176861501</v>
      </c>
      <c r="O6" s="33"/>
      <c r="P6" s="33"/>
      <c r="R6" s="32"/>
    </row>
    <row r="7" spans="1:18">
      <c r="A7" s="32" t="s">
        <v>52</v>
      </c>
      <c r="B7" s="37">
        <f t="shared" ref="B7:B12" si="0">B27</f>
        <v>1318.5768680000001</v>
      </c>
      <c r="C7" s="33"/>
      <c r="D7" s="37">
        <f>IF(ISERROR(TER_horeca_gas_kWh/1000),0,TER_horeca_gas_kWh/1000)*0.902</f>
        <v>1061.2973473959999</v>
      </c>
      <c r="E7" s="33">
        <f>$C$27*'E Balans VL '!I9/100/3.6*1000000</f>
        <v>14.158277703601422</v>
      </c>
      <c r="F7" s="33">
        <f>$C$27*('E Balans VL '!L9+'E Balans VL '!N9)/100/3.6*1000000</f>
        <v>158.5928234551194</v>
      </c>
      <c r="G7" s="34"/>
      <c r="H7" s="33"/>
      <c r="I7" s="33"/>
      <c r="J7" s="33">
        <f>$C$27*('E Balans VL '!D9+'E Balans VL '!E9)/100/3.6*1000000</f>
        <v>0</v>
      </c>
      <c r="K7" s="33"/>
      <c r="L7" s="33"/>
      <c r="M7" s="33"/>
      <c r="N7" s="33">
        <f>$C$27*'E Balans VL '!Y9/100/3.6*1000000</f>
        <v>0.19768139696364484</v>
      </c>
      <c r="O7" s="33"/>
      <c r="P7" s="33"/>
      <c r="R7" s="32"/>
    </row>
    <row r="8" spans="1:18">
      <c r="A8" s="6" t="s">
        <v>51</v>
      </c>
      <c r="B8" s="37">
        <f t="shared" si="0"/>
        <v>3764.9306419999998</v>
      </c>
      <c r="C8" s="33"/>
      <c r="D8" s="37">
        <f>IF(ISERROR(TER_handel_gas_kWh/1000),0,TER_handel_gas_kWh/1000)*0.902</f>
        <v>1047.7727088839999</v>
      </c>
      <c r="E8" s="33">
        <f>$C$28*'E Balans VL '!I13/100/3.6*1000000</f>
        <v>101.03921220793303</v>
      </c>
      <c r="F8" s="33">
        <f>$C$28*('E Balans VL '!L13+'E Balans VL '!N13)/100/3.6*1000000</f>
        <v>359.29042140120163</v>
      </c>
      <c r="G8" s="34"/>
      <c r="H8" s="33"/>
      <c r="I8" s="33"/>
      <c r="J8" s="33">
        <f>$C$28*('E Balans VL '!D13+'E Balans VL '!E13)/100/3.6*1000000</f>
        <v>0</v>
      </c>
      <c r="K8" s="33"/>
      <c r="L8" s="33"/>
      <c r="M8" s="33"/>
      <c r="N8" s="33">
        <f>$C$28*'E Balans VL '!Y13/100/3.6*1000000</f>
        <v>1.492461315201508</v>
      </c>
      <c r="O8" s="33"/>
      <c r="P8" s="33"/>
      <c r="R8" s="32"/>
    </row>
    <row r="9" spans="1:18">
      <c r="A9" s="32" t="s">
        <v>50</v>
      </c>
      <c r="B9" s="37">
        <f t="shared" si="0"/>
        <v>289.21382400000005</v>
      </c>
      <c r="C9" s="33"/>
      <c r="D9" s="37">
        <f>IF(ISERROR(TER_gezond_gas_kWh/1000),0,TER_gezond_gas_kWh/1000)*0.902</f>
        <v>100.47953476000001</v>
      </c>
      <c r="E9" s="33">
        <f>$C$29*'E Balans VL '!I10/100/3.6*1000000</f>
        <v>0.54208087828640517</v>
      </c>
      <c r="F9" s="33">
        <f>$C$29*('E Balans VL '!L10+'E Balans VL '!N10)/100/3.6*1000000</f>
        <v>23.776015205610111</v>
      </c>
      <c r="G9" s="34"/>
      <c r="H9" s="33"/>
      <c r="I9" s="33"/>
      <c r="J9" s="33">
        <f>$C$29*('E Balans VL '!D10+'E Balans VL '!E10)/100/3.6*1000000</f>
        <v>0</v>
      </c>
      <c r="K9" s="33"/>
      <c r="L9" s="33"/>
      <c r="M9" s="33"/>
      <c r="N9" s="33">
        <f>$C$29*'E Balans VL '!Y10/100/3.6*1000000</f>
        <v>2.2502993352381249</v>
      </c>
      <c r="O9" s="33"/>
      <c r="P9" s="33"/>
      <c r="R9" s="32"/>
    </row>
    <row r="10" spans="1:18">
      <c r="A10" s="32" t="s">
        <v>49</v>
      </c>
      <c r="B10" s="37">
        <f t="shared" si="0"/>
        <v>1402.973581</v>
      </c>
      <c r="C10" s="33"/>
      <c r="D10" s="37">
        <f>IF(ISERROR(TER_ander_gas_kWh/1000),0,TER_ander_gas_kWh/1000)*0.902</f>
        <v>1266.091878766</v>
      </c>
      <c r="E10" s="33">
        <f>$C$30*'E Balans VL '!I14/100/3.6*1000000</f>
        <v>2.1626979912231392</v>
      </c>
      <c r="F10" s="33">
        <f>$C$30*('E Balans VL '!L14+'E Balans VL '!N14)/100/3.6*1000000</f>
        <v>217.81203576240094</v>
      </c>
      <c r="G10" s="34"/>
      <c r="H10" s="33"/>
      <c r="I10" s="33"/>
      <c r="J10" s="33">
        <f>$C$30*('E Balans VL '!D14+'E Balans VL '!E14)/100/3.6*1000000</f>
        <v>2.3816956148207027E-2</v>
      </c>
      <c r="K10" s="33"/>
      <c r="L10" s="33"/>
      <c r="M10" s="33"/>
      <c r="N10" s="33">
        <f>$C$30*'E Balans VL '!Y14/100/3.6*1000000</f>
        <v>928.16235622385273</v>
      </c>
      <c r="O10" s="33"/>
      <c r="P10" s="33"/>
      <c r="R10" s="32"/>
    </row>
    <row r="11" spans="1:18">
      <c r="A11" s="32" t="s">
        <v>54</v>
      </c>
      <c r="B11" s="37">
        <f t="shared" si="0"/>
        <v>158.10813400000001</v>
      </c>
      <c r="C11" s="33"/>
      <c r="D11" s="37">
        <f>IF(ISERROR(TER_onderwijs_gas_kWh/1000),0,TER_onderwijs_gas_kWh/1000)*0.902</f>
        <v>630.32552767799996</v>
      </c>
      <c r="E11" s="33">
        <f>$C$31*'E Balans VL '!I11/100/3.6*1000000</f>
        <v>4.0328373044777912</v>
      </c>
      <c r="F11" s="33">
        <f>$C$31*('E Balans VL '!L11+'E Balans VL '!N11)/100/3.6*1000000</f>
        <v>19.013991283928721</v>
      </c>
      <c r="G11" s="34"/>
      <c r="H11" s="33"/>
      <c r="I11" s="33"/>
      <c r="J11" s="33">
        <f>$C$31*('E Balans VL '!D11+'E Balans VL '!E11)/100/3.6*1000000</f>
        <v>0</v>
      </c>
      <c r="K11" s="33"/>
      <c r="L11" s="33"/>
      <c r="M11" s="33"/>
      <c r="N11" s="33">
        <f>$C$31*'E Balans VL '!Y11/100/3.6*1000000</f>
        <v>0.35162863214428836</v>
      </c>
      <c r="O11" s="33"/>
      <c r="P11" s="33"/>
      <c r="R11" s="32"/>
    </row>
    <row r="12" spans="1:18">
      <c r="A12" s="32" t="s">
        <v>259</v>
      </c>
      <c r="B12" s="37">
        <f t="shared" si="0"/>
        <v>2653.094306</v>
      </c>
      <c r="C12" s="33"/>
      <c r="D12" s="37">
        <f>IF(ISERROR(TER_rest_gas_kWh/1000),0,TER_rest_gas_kWh/1000)*0.902</f>
        <v>7233.0980792839991</v>
      </c>
      <c r="E12" s="33">
        <f>$C$32*'E Balans VL '!I8/100/3.6*1000000</f>
        <v>34.247170121117883</v>
      </c>
      <c r="F12" s="33">
        <f>$C$32*('E Balans VL '!L8+'E Balans VL '!N8)/100/3.6*1000000</f>
        <v>304.80418596590488</v>
      </c>
      <c r="G12" s="34"/>
      <c r="H12" s="33"/>
      <c r="I12" s="33"/>
      <c r="J12" s="33">
        <f>$C$32*('E Balans VL '!D8+'E Balans VL '!E8)/100/3.6*1000000</f>
        <v>5.0845148664073287E-3</v>
      </c>
      <c r="K12" s="33"/>
      <c r="L12" s="33"/>
      <c r="M12" s="33"/>
      <c r="N12" s="33">
        <f>$C$32*'E Balans VL '!Y8/100/3.6*1000000</f>
        <v>200.88389834592732</v>
      </c>
      <c r="O12" s="33"/>
      <c r="P12" s="33"/>
      <c r="R12" s="32"/>
    </row>
    <row r="13" spans="1:18">
      <c r="A13" s="16" t="s">
        <v>478</v>
      </c>
      <c r="B13" s="247">
        <f ca="1">'lokale energieproductie'!N38+'lokale energieproductie'!N31</f>
        <v>112.5</v>
      </c>
      <c r="C13" s="247">
        <f ca="1">'lokale energieproductie'!O38+'lokale energieproductie'!O31</f>
        <v>126.5625</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-281.25</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11284.568020999999</v>
      </c>
      <c r="C16" s="21">
        <f t="shared" ca="1" si="1"/>
        <v>126.5625</v>
      </c>
      <c r="D16" s="21">
        <f t="shared" ca="1" si="1"/>
        <v>12219.72419965</v>
      </c>
      <c r="E16" s="21">
        <f t="shared" si="1"/>
        <v>168.93763631018533</v>
      </c>
      <c r="F16" s="21">
        <f t="shared" ca="1" si="1"/>
        <v>1277.0932624541961</v>
      </c>
      <c r="G16" s="21">
        <f t="shared" si="1"/>
        <v>0</v>
      </c>
      <c r="H16" s="21">
        <f t="shared" si="1"/>
        <v>0</v>
      </c>
      <c r="I16" s="21">
        <f t="shared" si="1"/>
        <v>0</v>
      </c>
      <c r="J16" s="21">
        <f t="shared" si="1"/>
        <v>2.8901471014614356E-2</v>
      </c>
      <c r="K16" s="21">
        <f t="shared" si="1"/>
        <v>0</v>
      </c>
      <c r="L16" s="21">
        <f t="shared" ca="1" si="1"/>
        <v>0</v>
      </c>
      <c r="M16" s="21">
        <f t="shared" si="1"/>
        <v>0</v>
      </c>
      <c r="N16" s="21">
        <f t="shared" ca="1" si="1"/>
        <v>1134.1902764210963</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0.19664442373283147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2219.0473755634835</v>
      </c>
      <c r="C20" s="23">
        <f t="shared" ref="C20:P20" ca="1" si="2">C16*C18</f>
        <v>0</v>
      </c>
      <c r="D20" s="23">
        <f t="shared" ca="1" si="2"/>
        <v>2468.3842883293</v>
      </c>
      <c r="E20" s="23">
        <f t="shared" si="2"/>
        <v>38.348843442412068</v>
      </c>
      <c r="F20" s="23">
        <f t="shared" ca="1" si="2"/>
        <v>340.98390107527035</v>
      </c>
      <c r="G20" s="23">
        <f t="shared" si="2"/>
        <v>0</v>
      </c>
      <c r="H20" s="23">
        <f t="shared" si="2"/>
        <v>0</v>
      </c>
      <c r="I20" s="23">
        <f t="shared" si="2"/>
        <v>0</v>
      </c>
      <c r="J20" s="23">
        <f t="shared" si="2"/>
        <v>1.0231120739173481E-2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1585.1706660000002</v>
      </c>
      <c r="C26" s="39">
        <f>IF(ISERROR(B26*3.6/1000000/'E Balans VL '!Z12*100),0,B26*3.6/1000000/'E Balans VL '!Z12*100)</f>
        <v>3.3627945414569822E-2</v>
      </c>
      <c r="D26" s="237" t="s">
        <v>708</v>
      </c>
      <c r="F26" s="6"/>
    </row>
    <row r="27" spans="1:18">
      <c r="A27" s="231" t="s">
        <v>52</v>
      </c>
      <c r="B27" s="33">
        <f>IF(ISERROR(TER_horeca_ele_kWh/1000),0,TER_horeca_ele_kWh/1000)</f>
        <v>1318.5768680000001</v>
      </c>
      <c r="C27" s="39">
        <f>IF(ISERROR(B27*3.6/1000000/'E Balans VL '!Z9*100),0,B27*3.6/1000000/'E Balans VL '!Z9*100)</f>
        <v>9.9300518782231867E-2</v>
      </c>
      <c r="D27" s="237" t="s">
        <v>708</v>
      </c>
      <c r="F27" s="6"/>
    </row>
    <row r="28" spans="1:18">
      <c r="A28" s="171" t="s">
        <v>51</v>
      </c>
      <c r="B28" s="33">
        <f>IF(ISERROR(TER_handel_ele_kWh/1000),0,TER_handel_ele_kWh/1000)</f>
        <v>3764.9306419999998</v>
      </c>
      <c r="C28" s="39">
        <f>IF(ISERROR(B28*3.6/1000000/'E Balans VL '!Z13*100),0,B28*3.6/1000000/'E Balans VL '!Z13*100)</f>
        <v>0.10928259634716972</v>
      </c>
      <c r="D28" s="237" t="s">
        <v>708</v>
      </c>
      <c r="F28" s="6"/>
    </row>
    <row r="29" spans="1:18">
      <c r="A29" s="231" t="s">
        <v>50</v>
      </c>
      <c r="B29" s="33">
        <f>IF(ISERROR(TER_gezond_ele_kWh/1000),0,TER_gezond_ele_kWh/1000)</f>
        <v>289.21382400000005</v>
      </c>
      <c r="C29" s="39">
        <f>IF(ISERROR(B29*3.6/1000000/'E Balans VL '!Z10*100),0,B29*3.6/1000000/'E Balans VL '!Z10*100)</f>
        <v>2.9167559051932662E-2</v>
      </c>
      <c r="D29" s="237" t="s">
        <v>708</v>
      </c>
      <c r="F29" s="6"/>
    </row>
    <row r="30" spans="1:18">
      <c r="A30" s="231" t="s">
        <v>49</v>
      </c>
      <c r="B30" s="33">
        <f>IF(ISERROR(TER_ander_ele_kWh/1000),0,TER_ander_ele_kWh/1000)</f>
        <v>1402.973581</v>
      </c>
      <c r="C30" s="39">
        <f>IF(ISERROR(B30*3.6/1000000/'E Balans VL '!Z14*100),0,B30*3.6/1000000/'E Balans VL '!Z14*100)</f>
        <v>0.1018048733706238</v>
      </c>
      <c r="D30" s="237" t="s">
        <v>708</v>
      </c>
      <c r="F30" s="6"/>
    </row>
    <row r="31" spans="1:18">
      <c r="A31" s="231" t="s">
        <v>54</v>
      </c>
      <c r="B31" s="33">
        <f>IF(ISERROR(TER_onderwijs_ele_kWh/1000),0,TER_onderwijs_ele_kWh/1000)</f>
        <v>158.10813400000001</v>
      </c>
      <c r="C31" s="39">
        <f>IF(ISERROR(B31*3.6/1000000/'E Balans VL '!Z11*100),0,B31*3.6/1000000/'E Balans VL '!Z11*100)</f>
        <v>4.5067256653014663E-2</v>
      </c>
      <c r="D31" s="237" t="s">
        <v>708</v>
      </c>
    </row>
    <row r="32" spans="1:18">
      <c r="A32" s="231" t="s">
        <v>259</v>
      </c>
      <c r="B32" s="33">
        <f>IF(ISERROR(TER_rest_ele_kWh/1000),0,TER_rest_ele_kWh/1000)</f>
        <v>2653.094306</v>
      </c>
      <c r="C32" s="39">
        <f>IF(ISERROR(B32*3.6/1000000/'E Balans VL '!Z8*100),0,B32*3.6/1000000/'E Balans VL '!Z8*100)</f>
        <v>2.1733608144742709E-2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1273.0787889999999</v>
      </c>
      <c r="C5" s="17">
        <f>IF(ISERROR('Eigen informatie GS &amp; warmtenet'!B61),0,'Eigen informatie GS &amp; warmtenet'!B61)</f>
        <v>0</v>
      </c>
      <c r="D5" s="30">
        <f>SUM(D6:D15)</f>
        <v>944.09955743399996</v>
      </c>
      <c r="E5" s="17">
        <f>SUM(E6:E15)</f>
        <v>240.2456651001059</v>
      </c>
      <c r="F5" s="17">
        <f>SUM(F6:F15)</f>
        <v>741.56068404793302</v>
      </c>
      <c r="G5" s="18"/>
      <c r="H5" s="17"/>
      <c r="I5" s="17"/>
      <c r="J5" s="17">
        <f>SUM(J6:J15)</f>
        <v>1.0013220909931528</v>
      </c>
      <c r="K5" s="17"/>
      <c r="L5" s="17"/>
      <c r="M5" s="17"/>
      <c r="N5" s="17">
        <f>SUM(N6:N15)</f>
        <v>77.848363102634693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140.68199999999999</v>
      </c>
      <c r="C8" s="33"/>
      <c r="D8" s="37">
        <f>IF( ISERROR(IND_metaal_Gas_kWH/1000),0,IND_metaal_Gas_kWH/1000)*0.902</f>
        <v>0</v>
      </c>
      <c r="E8" s="33">
        <f>C30*'E Balans VL '!I18/100/3.6*1000000</f>
        <v>1.0149218901442163</v>
      </c>
      <c r="F8" s="33">
        <f>C30*'E Balans VL '!L18/100/3.6*1000000+C30*'E Balans VL '!N18/100/3.6*1000000</f>
        <v>13.30592320562986</v>
      </c>
      <c r="G8" s="34"/>
      <c r="H8" s="33"/>
      <c r="I8" s="33"/>
      <c r="J8" s="40">
        <f>C30*'E Balans VL '!D18/100/3.6*1000000+C30*'E Balans VL '!E18/100/3.6*1000000</f>
        <v>0.1414987731309735</v>
      </c>
      <c r="K8" s="33"/>
      <c r="L8" s="33"/>
      <c r="M8" s="33"/>
      <c r="N8" s="33">
        <f>C30*'E Balans VL '!Y18/100/3.6*1000000</f>
        <v>1.7785926878252425</v>
      </c>
      <c r="O8" s="33"/>
      <c r="P8" s="33"/>
      <c r="R8" s="32"/>
    </row>
    <row r="9" spans="1:18">
      <c r="A9" s="6" t="s">
        <v>32</v>
      </c>
      <c r="B9" s="37">
        <f t="shared" si="0"/>
        <v>844.37006199999996</v>
      </c>
      <c r="C9" s="33"/>
      <c r="D9" s="37">
        <f>IF( ISERROR(IND_andere_gas_kWh/1000),0,IND_andere_gas_kWh/1000)*0.902</f>
        <v>256.235503876</v>
      </c>
      <c r="E9" s="33">
        <f>C31*'E Balans VL '!I19/100/3.6*1000000</f>
        <v>233.98623482244571</v>
      </c>
      <c r="F9" s="33">
        <f>C31*'E Balans VL '!L19/100/3.6*1000000+C31*'E Balans VL '!N19/100/3.6*1000000</f>
        <v>699.81573208336681</v>
      </c>
      <c r="G9" s="34"/>
      <c r="H9" s="33"/>
      <c r="I9" s="33"/>
      <c r="J9" s="40">
        <f>C31*'E Balans VL '!D19/100/3.6*1000000+C31*'E Balans VL '!E19/100/3.6*1000000</f>
        <v>0</v>
      </c>
      <c r="K9" s="33"/>
      <c r="L9" s="33"/>
      <c r="M9" s="33"/>
      <c r="N9" s="33">
        <f>C31*'E Balans VL '!Y19/100/3.6*1000000</f>
        <v>61.290938737275944</v>
      </c>
      <c r="O9" s="33"/>
      <c r="P9" s="33"/>
      <c r="R9" s="32"/>
    </row>
    <row r="10" spans="1:18">
      <c r="A10" s="6" t="s">
        <v>40</v>
      </c>
      <c r="B10" s="37">
        <f t="shared" si="0"/>
        <v>183.94718499999999</v>
      </c>
      <c r="C10" s="33"/>
      <c r="D10" s="37">
        <f>IF( ISERROR(IND_voed_gas_kWh/1000),0,IND_voed_gas_kWh/1000)*0.902</f>
        <v>0</v>
      </c>
      <c r="E10" s="33">
        <f>C32*'E Balans VL '!I20/100/3.6*1000000</f>
        <v>0.32564882435623366</v>
      </c>
      <c r="F10" s="33">
        <f>C32*'E Balans VL '!L20/100/3.6*1000000+C32*'E Balans VL '!N20/100/3.6*1000000</f>
        <v>9.9347782992765392</v>
      </c>
      <c r="G10" s="34"/>
      <c r="H10" s="33"/>
      <c r="I10" s="33"/>
      <c r="J10" s="40">
        <f>C32*'E Balans VL '!D20/100/3.6*1000000+C32*'E Balans VL '!E20/100/3.6*1000000</f>
        <v>0</v>
      </c>
      <c r="K10" s="33"/>
      <c r="L10" s="33"/>
      <c r="M10" s="33"/>
      <c r="N10" s="33">
        <f>C32*'E Balans VL '!Y20/100/3.6*1000000</f>
        <v>10.688736270657175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104.079542</v>
      </c>
      <c r="C15" s="33"/>
      <c r="D15" s="37">
        <f>IF( ISERROR(IND_rest_gas_kWh/1000),0,IND_rest_gas_kWh/1000)*0.902</f>
        <v>687.86405355800002</v>
      </c>
      <c r="E15" s="33">
        <f>C37*'E Balans VL '!I15/100/3.6*1000000</f>
        <v>4.918859563159744</v>
      </c>
      <c r="F15" s="33">
        <f>C37*'E Balans VL '!L15/100/3.6*1000000+C37*'E Balans VL '!N15/100/3.6*1000000</f>
        <v>18.504250459659875</v>
      </c>
      <c r="G15" s="34"/>
      <c r="H15" s="33"/>
      <c r="I15" s="33"/>
      <c r="J15" s="40">
        <f>C37*'E Balans VL '!D15/100/3.6*1000000+C37*'E Balans VL '!E15/100/3.6*1000000</f>
        <v>0.85982331786217925</v>
      </c>
      <c r="K15" s="33"/>
      <c r="L15" s="33"/>
      <c r="M15" s="33"/>
      <c r="N15" s="33">
        <f>C37*'E Balans VL '!Y15/100/3.6*1000000</f>
        <v>4.0900954068763307</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1273.0787889999999</v>
      </c>
      <c r="C18" s="21">
        <f>C5+C16</f>
        <v>0</v>
      </c>
      <c r="D18" s="21">
        <f>MAX((D5+D16),0)</f>
        <v>944.09955743399996</v>
      </c>
      <c r="E18" s="21">
        <f>MAX((E5+E16),0)</f>
        <v>240.2456651001059</v>
      </c>
      <c r="F18" s="21">
        <f>MAX((F5+F16),0)</f>
        <v>741.56068404793302</v>
      </c>
      <c r="G18" s="21"/>
      <c r="H18" s="21"/>
      <c r="I18" s="21"/>
      <c r="J18" s="21">
        <f>MAX((J5+J16),0)</f>
        <v>1.0013220909931528</v>
      </c>
      <c r="K18" s="21"/>
      <c r="L18" s="21">
        <f>MAX((L5+L16),0)</f>
        <v>0</v>
      </c>
      <c r="M18" s="21"/>
      <c r="N18" s="21">
        <f>MAX((N5+N16),0)</f>
        <v>77.848363102634693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0.19664442373283147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250.34384482939595</v>
      </c>
      <c r="C22" s="23">
        <f ca="1">C18*C20</f>
        <v>0</v>
      </c>
      <c r="D22" s="23">
        <f>D18*D20</f>
        <v>190.70811060166801</v>
      </c>
      <c r="E22" s="23">
        <f>E18*E20</f>
        <v>54.53576597772404</v>
      </c>
      <c r="F22" s="23">
        <f>F18*F20</f>
        <v>197.99670264079813</v>
      </c>
      <c r="G22" s="23"/>
      <c r="H22" s="23"/>
      <c r="I22" s="23"/>
      <c r="J22" s="23">
        <f>J18*J20</f>
        <v>0.35446802021157608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140.68199999999999</v>
      </c>
      <c r="C30" s="39">
        <f>IF(ISERROR(B30*3.6/1000000/'E Balans VL '!Z18*100),0,B30*3.6/1000000/'E Balans VL '!Z18*100)</f>
        <v>8.1213523471693992E-3</v>
      </c>
      <c r="D30" s="237" t="s">
        <v>708</v>
      </c>
    </row>
    <row r="31" spans="1:18">
      <c r="A31" s="6" t="s">
        <v>32</v>
      </c>
      <c r="B31" s="37">
        <f>IF( ISERROR(IND_ander_ele_kWh/1000),0,IND_ander_ele_kWh/1000)</f>
        <v>844.37006199999996</v>
      </c>
      <c r="C31" s="39">
        <f>IF(ISERROR(B31*3.6/1000000/'E Balans VL '!Z19*100),0,B31*3.6/1000000/'E Balans VL '!Z19*100)</f>
        <v>4.2469077199020218E-2</v>
      </c>
      <c r="D31" s="237" t="s">
        <v>708</v>
      </c>
    </row>
    <row r="32" spans="1:18">
      <c r="A32" s="171" t="s">
        <v>40</v>
      </c>
      <c r="B32" s="37">
        <f>IF( ISERROR(IND_voed_ele_kWh/1000),0,IND_voed_ele_kWh/1000)</f>
        <v>183.94718499999999</v>
      </c>
      <c r="C32" s="39">
        <f>IF(ISERROR(B32*3.6/1000000/'E Balans VL '!Z20*100),0,B32*3.6/1000000/'E Balans VL '!Z20*100)</f>
        <v>6.1265335845191345E-3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104.079542</v>
      </c>
      <c r="C37" s="39">
        <f>IF(ISERROR(B37*3.6/1000000/'E Balans VL '!Z15*100),0,B37*3.6/1000000/'E Balans VL '!Z15*100)</f>
        <v>8.1210504676211797E-4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1765.4355600000001</v>
      </c>
      <c r="C5" s="17">
        <f>'Eigen informatie GS &amp; warmtenet'!B62</f>
        <v>0</v>
      </c>
      <c r="D5" s="30">
        <f>IF(ISERROR(SUM(LB_lb_gas_kWh,LB_rest_gas_kWh)/1000),0,SUM(LB_lb_gas_kWh,LB_rest_gas_kWh)/1000)*0.902</f>
        <v>12.241828543999999</v>
      </c>
      <c r="E5" s="17">
        <f>B17*'E Balans VL '!I25/3.6*1000000/100</f>
        <v>55.098661658773253</v>
      </c>
      <c r="F5" s="17">
        <f>B17*('E Balans VL '!L25/3.6*1000000+'E Balans VL '!N25/3.6*1000000)/100</f>
        <v>6239.244838715651</v>
      </c>
      <c r="G5" s="18"/>
      <c r="H5" s="17"/>
      <c r="I5" s="17"/>
      <c r="J5" s="17">
        <f>('E Balans VL '!D25+'E Balans VL '!E25)/3.6*1000000*landbouw!B17/100</f>
        <v>486.38973996831015</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1765.4355600000001</v>
      </c>
      <c r="C8" s="21">
        <f>C5+C6</f>
        <v>0</v>
      </c>
      <c r="D8" s="21">
        <f>MAX((D5+D6),0)</f>
        <v>12.241828543999999</v>
      </c>
      <c r="E8" s="21">
        <f>MAX((E5+E6),0)</f>
        <v>55.098661658773253</v>
      </c>
      <c r="F8" s="21">
        <f>MAX((F5+F6),0)</f>
        <v>6239.244838715651</v>
      </c>
      <c r="G8" s="21"/>
      <c r="H8" s="21"/>
      <c r="I8" s="21"/>
      <c r="J8" s="21">
        <f>MAX((J5+J6),0)</f>
        <v>486.38973996831015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0.19664442373283147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347.16305833364862</v>
      </c>
      <c r="C12" s="23">
        <f ca="1">C8*C10</f>
        <v>0</v>
      </c>
      <c r="D12" s="23">
        <f>D8*D10</f>
        <v>2.472849365888</v>
      </c>
      <c r="E12" s="23">
        <f>E8*E10</f>
        <v>12.507396196541528</v>
      </c>
      <c r="F12" s="23">
        <f>F8*F10</f>
        <v>1665.878371937079</v>
      </c>
      <c r="G12" s="23"/>
      <c r="H12" s="23"/>
      <c r="I12" s="23"/>
      <c r="J12" s="23">
        <f>J8*J10</f>
        <v>172.18196794878179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0.26244465183488291</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9.5732266810934163</v>
      </c>
      <c r="C26" s="247">
        <f>B26*'GWP N2O_CH4'!B5</f>
        <v>201.03776030296174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1.9126521651457888</v>
      </c>
      <c r="C27" s="247">
        <f>B27*'GWP N2O_CH4'!B5</f>
        <v>40.165695468061564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0.18931081597118019</v>
      </c>
      <c r="C28" s="247">
        <f>B28*'GWP N2O_CH4'!B4</f>
        <v>58.686352951065857</v>
      </c>
      <c r="D28" s="50"/>
    </row>
    <row r="29" spans="1:4">
      <c r="A29" s="41" t="s">
        <v>276</v>
      </c>
      <c r="B29" s="247">
        <f>B34*'ha_N2O bodem landbouw'!B4</f>
        <v>2.0090155354380999</v>
      </c>
      <c r="C29" s="247">
        <f>B29*'GWP N2O_CH4'!B4</f>
        <v>622.79481598581094</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4.4054093541016952E-4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7.00141036423667E-5</v>
      </c>
      <c r="C5" s="437" t="s">
        <v>210</v>
      </c>
      <c r="D5" s="422">
        <f>SUM(D6:D11)</f>
        <v>3.6548500809413271E-4</v>
      </c>
      <c r="E5" s="422">
        <f>SUM(E6:E11)</f>
        <v>2.9800010216618657E-4</v>
      </c>
      <c r="F5" s="435" t="s">
        <v>210</v>
      </c>
      <c r="G5" s="422">
        <f>SUM(G6:G11)</f>
        <v>0.10740111982898796</v>
      </c>
      <c r="H5" s="422">
        <f>SUM(H6:H11)</f>
        <v>3.3704073797041212E-2</v>
      </c>
      <c r="I5" s="437" t="s">
        <v>210</v>
      </c>
      <c r="J5" s="437" t="s">
        <v>210</v>
      </c>
      <c r="K5" s="437" t="s">
        <v>210</v>
      </c>
      <c r="L5" s="437" t="s">
        <v>210</v>
      </c>
      <c r="M5" s="422">
        <f>SUM(M6:M11)</f>
        <v>8.4223630002854578E-3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7.4442685227795998E-6</v>
      </c>
      <c r="C6" s="423"/>
      <c r="D6" s="890">
        <f>vkm_GW_PW*SUMIFS(TableVerdeelsleutelVkm[CNG],TableVerdeelsleutelVkm[Voertuigtype],"Lichte voertuigen")*SUMIFS(TableECFTransport[EnergieConsumptieFactor (PJ per km)],TableECFTransport[Index],CONCATENATE($A6,"_CNG_CNG"))</f>
        <v>2.3980984519220815E-5</v>
      </c>
      <c r="E6" s="890">
        <f>vkm_GW_PW*SUMIFS(TableVerdeelsleutelVkm[LPG],TableVerdeelsleutelVkm[Voertuigtype],"Lichte voertuigen")*SUMIFS(TableECFTransport[EnergieConsumptieFactor (PJ per km)],TableECFTransport[Index],CONCATENATE($A6,"_LPG_LPG"))</f>
        <v>2.0507976983059847E-5</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6.6250904664573555E-3</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2.2465275454157277E-3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5.3062640353240148E-4</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2.5754742729632752E-3</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3.6826969618423727E-8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1.4845653449284537E-4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6.2569835119587094E-5</v>
      </c>
      <c r="C8" s="423"/>
      <c r="D8" s="425">
        <f>vkm_NGW_PW*SUMIFS(TableVerdeelsleutelVkm[CNG],TableVerdeelsleutelVkm[Voertuigtype],"Lichte voertuigen")*SUMIFS(TableECFTransport[EnergieConsumptieFactor (PJ per km)],TableECFTransport[Index],CONCATENATE($A8,"_CNG_CNG"))</f>
        <v>3.4150402357491189E-4</v>
      </c>
      <c r="E8" s="425">
        <f>vkm_NGW_PW*SUMIFS(TableVerdeelsleutelVkm[LPG],TableVerdeelsleutelVkm[Voertuigtype],"Lichte voertuigen")*SUMIFS(TableECFTransport[EnergieConsumptieFactor (PJ per km)],TableECFTransport[Index],CONCATENATE($A8,"_LPG_LPG"))</f>
        <v>2.7749212518312673E-4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8.3766578908638575E-2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3.1457247738732194E-2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6.9112672814677541E-3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1.4433976180928756E-2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2.6168592367592476E-7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8.3201278079245611E-4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19.448362122879637</v>
      </c>
      <c r="C14" s="21"/>
      <c r="D14" s="21">
        <f t="shared" ref="D14:M14" si="0">((D5)*10^9/3600)+D12</f>
        <v>101.5236133594813</v>
      </c>
      <c r="E14" s="21">
        <f t="shared" si="0"/>
        <v>82.777806157274043</v>
      </c>
      <c r="F14" s="21"/>
      <c r="G14" s="21">
        <f t="shared" si="0"/>
        <v>29833.644396941105</v>
      </c>
      <c r="H14" s="21">
        <f t="shared" si="0"/>
        <v>9362.2427214003383</v>
      </c>
      <c r="I14" s="21"/>
      <c r="J14" s="21"/>
      <c r="K14" s="21"/>
      <c r="L14" s="21"/>
      <c r="M14" s="21">
        <f t="shared" si="0"/>
        <v>2339.5452778570716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0.19664442373283147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3.824411962201093</v>
      </c>
      <c r="C18" s="23"/>
      <c r="D18" s="23">
        <f t="shared" ref="D18:M18" si="1">D14*D16</f>
        <v>20.507769898615223</v>
      </c>
      <c r="E18" s="23">
        <f t="shared" si="1"/>
        <v>18.790561997701207</v>
      </c>
      <c r="F18" s="23"/>
      <c r="G18" s="23">
        <f t="shared" si="1"/>
        <v>7965.583053983275</v>
      </c>
      <c r="H18" s="23">
        <f t="shared" si="1"/>
        <v>2331.1984376286841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2.8142743081193996E-3</v>
      </c>
      <c r="H50" s="319">
        <f t="shared" si="2"/>
        <v>0</v>
      </c>
      <c r="I50" s="319">
        <f t="shared" si="2"/>
        <v>0</v>
      </c>
      <c r="J50" s="319">
        <f t="shared" si="2"/>
        <v>0</v>
      </c>
      <c r="K50" s="319">
        <f t="shared" si="2"/>
        <v>0</v>
      </c>
      <c r="L50" s="319">
        <f t="shared" si="2"/>
        <v>0</v>
      </c>
      <c r="M50" s="319">
        <f t="shared" si="2"/>
        <v>1.5639306829137598E-4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2.8142743081193996E-3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1.5639306829137598E-4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781.74286336649982</v>
      </c>
      <c r="H54" s="21">
        <f t="shared" si="3"/>
        <v>0</v>
      </c>
      <c r="I54" s="21">
        <f t="shared" si="3"/>
        <v>0</v>
      </c>
      <c r="J54" s="21">
        <f t="shared" si="3"/>
        <v>0</v>
      </c>
      <c r="K54" s="21">
        <f t="shared" si="3"/>
        <v>0</v>
      </c>
      <c r="L54" s="21">
        <f t="shared" si="3"/>
        <v>0</v>
      </c>
      <c r="M54" s="21">
        <f t="shared" si="3"/>
        <v>43.442518969826658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0.19664442373283147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208.72534451885545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4638.598772392028</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112.5</v>
      </c>
      <c r="C8" s="548">
        <f>B48</f>
        <v>0</v>
      </c>
      <c r="D8" s="549"/>
      <c r="E8" s="549">
        <f>E48</f>
        <v>0</v>
      </c>
      <c r="F8" s="550"/>
      <c r="G8" s="551"/>
      <c r="H8" s="549">
        <f>I48</f>
        <v>0</v>
      </c>
      <c r="I8" s="549">
        <f>G48+F48</f>
        <v>132.35294117647058</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4751.098772392028</v>
      </c>
      <c r="C10" s="563">
        <f t="shared" ref="C10:L10" si="0">SUM(C8:C9)</f>
        <v>0</v>
      </c>
      <c r="D10" s="563">
        <f t="shared" si="0"/>
        <v>0</v>
      </c>
      <c r="E10" s="563">
        <f t="shared" si="0"/>
        <v>0</v>
      </c>
      <c r="F10" s="563">
        <f t="shared" si="0"/>
        <v>0</v>
      </c>
      <c r="G10" s="563">
        <f t="shared" si="0"/>
        <v>0</v>
      </c>
      <c r="H10" s="563">
        <f t="shared" si="0"/>
        <v>0</v>
      </c>
      <c r="I10" s="563">
        <f t="shared" si="0"/>
        <v>132.35294117647058</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126.5625</v>
      </c>
      <c r="C17" s="579">
        <f>B49</f>
        <v>0</v>
      </c>
      <c r="D17" s="580"/>
      <c r="E17" s="580">
        <f>E49</f>
        <v>0</v>
      </c>
      <c r="F17" s="581"/>
      <c r="G17" s="582"/>
      <c r="H17" s="579">
        <f>I49</f>
        <v>0</v>
      </c>
      <c r="I17" s="580">
        <f>G49+F49</f>
        <v>148.89705882352942</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126.5625</v>
      </c>
      <c r="C20" s="562">
        <f>SUM(C17:C19)</f>
        <v>0</v>
      </c>
      <c r="D20" s="562">
        <f t="shared" ref="D20:L20" si="1">SUM(D17:D19)</f>
        <v>0</v>
      </c>
      <c r="E20" s="562">
        <f t="shared" si="1"/>
        <v>0</v>
      </c>
      <c r="F20" s="562">
        <f t="shared" si="1"/>
        <v>0</v>
      </c>
      <c r="G20" s="562">
        <f t="shared" si="1"/>
        <v>0</v>
      </c>
      <c r="H20" s="562">
        <f t="shared" si="1"/>
        <v>0</v>
      </c>
      <c r="I20" s="562">
        <f t="shared" si="1"/>
        <v>148.89705882352942</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91">
        <v>24109</v>
      </c>
      <c r="C28" s="791">
        <v>3128</v>
      </c>
      <c r="D28" s="640" t="s">
        <v>888</v>
      </c>
      <c r="E28" s="639" t="s">
        <v>889</v>
      </c>
      <c r="F28" s="639" t="s">
        <v>890</v>
      </c>
      <c r="G28" s="639" t="s">
        <v>891</v>
      </c>
      <c r="H28" s="639" t="s">
        <v>892</v>
      </c>
      <c r="I28" s="639" t="s">
        <v>893</v>
      </c>
      <c r="J28" s="790">
        <v>40026</v>
      </c>
      <c r="K28" s="790">
        <v>40118</v>
      </c>
      <c r="L28" s="639" t="s">
        <v>894</v>
      </c>
      <c r="M28" s="639">
        <v>25</v>
      </c>
      <c r="N28" s="639">
        <v>112.5</v>
      </c>
      <c r="O28" s="639">
        <v>126.5625</v>
      </c>
      <c r="P28" s="639">
        <v>0</v>
      </c>
      <c r="Q28" s="639">
        <v>0</v>
      </c>
      <c r="R28" s="639">
        <v>0</v>
      </c>
      <c r="S28" s="639">
        <v>0</v>
      </c>
      <c r="T28" s="639">
        <v>0</v>
      </c>
      <c r="U28" s="639">
        <v>281.25</v>
      </c>
      <c r="V28" s="639">
        <v>0</v>
      </c>
      <c r="W28" s="639">
        <v>0</v>
      </c>
      <c r="X28" s="639">
        <v>1600</v>
      </c>
      <c r="Y28" s="639" t="s">
        <v>49</v>
      </c>
      <c r="Z28" s="641" t="s">
        <v>155</v>
      </c>
    </row>
    <row r="29" spans="1:26" s="573" customFormat="1">
      <c r="A29" s="595" t="s">
        <v>279</v>
      </c>
      <c r="B29" s="596"/>
      <c r="C29" s="596"/>
      <c r="D29" s="596"/>
      <c r="E29" s="596"/>
      <c r="F29" s="596"/>
      <c r="G29" s="596"/>
      <c r="H29" s="596"/>
      <c r="I29" s="596"/>
      <c r="J29" s="596"/>
      <c r="K29" s="596"/>
      <c r="L29" s="597"/>
      <c r="M29" s="597">
        <f>SUM(M28:M28)</f>
        <v>25</v>
      </c>
      <c r="N29" s="597">
        <f>SUM(N28:N28)</f>
        <v>112.5</v>
      </c>
      <c r="O29" s="597">
        <f>SUM(O28:O28)</f>
        <v>126.5625</v>
      </c>
      <c r="P29" s="597">
        <f>SUM(P28:P28)</f>
        <v>0</v>
      </c>
      <c r="Q29" s="597">
        <f>SUM(Q28:Q28)</f>
        <v>0</v>
      </c>
      <c r="R29" s="597">
        <f>SUM(R28:R28)</f>
        <v>0</v>
      </c>
      <c r="S29" s="597">
        <f>SUM(S28:S28)</f>
        <v>0</v>
      </c>
      <c r="T29" s="597">
        <f>SUM(T28:T28)</f>
        <v>0</v>
      </c>
      <c r="U29" s="597">
        <f>SUM(U28:U28)</f>
        <v>281.25</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25</v>
      </c>
      <c r="N31" s="597">
        <f ca="1">SUMIF($Z$28:AD28,"tertiair",N28:N28)</f>
        <v>112.5</v>
      </c>
      <c r="O31" s="597">
        <f ca="1">SUMIF($Z$28:AE28,"tertiair",O28:O28)</f>
        <v>126.5625</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281.25</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0.52941176470588236</v>
      </c>
      <c r="C45" s="622">
        <f>IF(ISERROR(N29/(O29+N29)),0,N29/(N29+O29))</f>
        <v>0.47058823529411764</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132.35294117647058</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148.89705882352942</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2020-06-20T15:32:08Z</dcterms:modified>
</cp:coreProperties>
</file>