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<sst xmlns="http://schemas.openxmlformats.org/spreadsheetml/2006/main" count="2402" uniqueCount="888">
  <si>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</si>
  <si>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</si>
  <si>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</si>
  <si>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</si>
  <si>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</si>
  <si>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</si>
  <si>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</si>
  <si>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</si>
  <si>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</si>
  <si>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</si>
  <si>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</si>
  <si>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</si>
  <si>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</si>
  <si>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</si>
  <si>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</si>
  <si>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</si>
  <si>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</si>
  <si>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</si>
  <si>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</si>
  <si>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</si>
  <si>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</si>
  <si>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</si>
  <si>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</si>
  <si>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</si>
  <si>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</si>
  <si>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</si>
  <si>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</si>
  <si>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</si>
  <si>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</si>
  <si>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</si>
  <si>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</si>
  <si>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</si>
  <si>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</si>
  <si>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</si>
  <si>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</si>
  <si>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</si>
  <si>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</si>
  <si>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</si>
  <si>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</si>
  <si>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</si>
  <si>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</si>
  <si>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</si>
  <si>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</si>
  <si>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</si>
  <si>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</si>
  <si>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</si>
  <si>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</si>
  <si>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</si>
  <si>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</si>
  <si>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</si>
  <si>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</si>
  <si>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</si>
  <si>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</si>
  <si>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</si>
  <si>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</si>
  <si>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</si>
  <si>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</si>
  <si>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</si>
  <si>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</si>
  <si>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</si>
  <si>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</si>
  <si>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</si>
  <si>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</si>
  <si>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</si>
  <si>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</si>
  <si>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</si>
  <si>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</si>
  <si>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</si>
  <si>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</si>
  <si>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</si>
  <si>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</si>
  <si>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</si>
  <si>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</si>
  <si>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</si>
  <si>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</si>
  <si>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</si>
  <si>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</si>
  <si>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</si>
  <si>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</si>
  <si>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</si>
  <si>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</si>
  <si>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</si>
  <si>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</si>
  <si>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</si>
  <si>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</si>
  <si>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</si>
  <si>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</si>
  <si>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</si>
  <si>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</si>
  <si>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</si>
  <si>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</si>
  <si>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</si>
  <si>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</si>
  <si>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</si>
  <si>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</si>
  <si>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</si>
  <si>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</si>
  <si>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</si>
  <si>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</si>
  <si>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</si>
  <si>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</si>
  <si>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</si>
  <si>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</si>
  <si>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</si>
  <si>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</si>
  <si>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</si>
  <si>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</si>
  <si>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</si>
  <si>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</si>
  <si>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</si>
  <si>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</si>
  <si>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</si>
  <si>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</si>
  <si>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</si>
  <si>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</si>
  <si>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</si>
  <si>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</si>
  <si>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</si>
  <si>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</si>
  <si>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</si>
  <si>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</si>
  <si>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</si>
  <si>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</si>
  <si>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</si>
  <si>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</si>
  <si>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</si>
  <si>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</si>
  <si>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</si>
  <si>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</si>
  <si>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</si>
  <si>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</si>
  <si>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</si>
  <si>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</si>
  <si>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</si>
  <si>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</si>
  <si>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</si>
  <si>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</si>
  <si>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</si>
  <si>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</si>
  <si>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</si>
  <si>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</si>
  <si>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</si>
  <si>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</si>
  <si>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</si>
  <si>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</si>
  <si>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</si>
  <si>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</si>
  <si>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</si>
  <si>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</si>
  <si>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</si>
  <si>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</si>
  <si>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</si>
  <si>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</si>
  <si>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</si>
  <si>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</si>
  <si>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</si>
  <si>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</si>
  <si>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</si>
  <si>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</si>
  <si>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</si>
  <si>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</si>
  <si>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</si>
  <si>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</si>
  <si>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</si>
  <si>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</si>
  <si>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</si>
  <si>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</si>
  <si>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</si>
  <si>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</si>
  <si>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</si>
  <si>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</si>
  <si>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</si>
  <si>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</si>
  <si>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</si>
  <si>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</si>
  <si>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</si>
  <si>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</si>
  <si>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</si>
  <si>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</si>
  <si>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</si>
  <si>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</si>
  <si>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</si>
  <si>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</si>
  <si>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</si>
  <si>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</si>
  <si>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</si>
  <si>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</si>
  <si>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</si>
  <si>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</si>
  <si>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</si>
  <si>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</si>
  <si>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</si>
  <si>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</si>
  <si>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</si>
  <si>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</si>
  <si>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</si>
  <si>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</si>
  <si>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</si>
  <si>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</si>
  <si>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</si>
  <si>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</si>
  <si>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</si>
  <si>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</si>
  <si>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</si>
  <si>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</si>
  <si>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</si>
  <si>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</si>
  <si>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</si>
  <si>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</si>
  <si>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</si>
  <si>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</si>
  <si>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</si>
  <si>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</si>
  <si>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</si>
  <si>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</si>
  <si>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</si>
  <si>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</si>
  <si>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</si>
  <si>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</si>
  <si>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</si>
  <si>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</si>
  <si>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</si>
  <si>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</si>
  <si>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</si>
  <si>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</si>
  <si>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</si>
  <si>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</si>
  <si>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</si>
  <si>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</si>
  <si>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</si>
  <si>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</si>
  <si>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</si>
  <si>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</si>
  <si>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</si>
  <si>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</si>
  <si>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</si>
  <si>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</si>
  <si>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</si>
  <si>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</si>
  <si>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</si>
  <si>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</si>
  <si>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</si>
  <si>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</si>
  <si>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</si>
  <si>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</si>
  <si>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</si>
  <si>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</si>
  <si>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</si>
  <si>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</si>
  <si>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</si>
  <si>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</si>
  <si>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</si>
  <si>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</si>
  <si>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</si>
  <si>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</si>
  <si>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</si>
  <si>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</si>
  <si>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</si>
  <si>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</si>
  <si>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</si>
  <si>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</si>
  <si>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</si>
  <si>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</si>
  <si>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</si>
  <si>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</si>
  <si>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</si>
  <si>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</si>
  <si>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</si>
  <si>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</si>
  <si>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</si>
  <si>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</si>
  <si>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</si>
  <si>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</si>
  <si>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</si>
  <si>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</si>
  <si>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</si>
  <si>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</si>
  <si>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</si>
  <si>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</si>
  <si>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</si>
  <si>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</si>
  <si>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</si>
  <si>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</si>
  <si>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</si>
  <si>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</si>
  <si>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</si>
  <si>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</si>
  <si>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</si>
  <si>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</si>
  <si>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</si>
  <si>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</si>
  <si>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</si>
  <si>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</si>
  <si>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</si>
  <si>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</si>
  <si>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</si>
  <si>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</si>
  <si>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</si>
  <si>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</si>
  <si>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</si>
  <si>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</si>
  <si>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</si>
  <si>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</si>
  <si>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</si>
  <si>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</si>
  <si>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</si>
  <si>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</si>
  <si>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</si>
  <si>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</si>
  <si>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</si>
  <si>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</si>
  <si>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</si>
  <si>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</si>
  <si>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</si>
  <si>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</si>
  <si>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</si>
  <si>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</si>
  <si>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</si>
  <si>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</si>
  <si>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</si>
  <si>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</si>
  <si>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</si>
  <si>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</si>
  <si>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</si>
  <si>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</si>
  <si>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</si>
  <si>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</si>
  <si>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</si>
  <si>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</si>
  <si>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</si>
  <si>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</si>
  <si>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</si>
  <si>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</si>
  <si>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</si>
  <si>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</si>
  <si>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</si>
  <si>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</si>
  <si>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</si>
  <si>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</si>
  <si>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</si>
  <si>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</si>
  <si>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</si>
  <si>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</si>
  <si>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</si>
  <si>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</si>
  <si>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</si>
  <si>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</si>
  <si>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</si>
  <si>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</si>
  <si>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</si>
  <si>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</si>
  <si>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</si>
  <si>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</si>
  <si>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</si>
  <si>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</si>
  <si>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</si>
  <si>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</si>
  <si>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</si>
  <si>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</si>
  <si>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</si>
  <si>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</si>
  <si>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</si>
  <si>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</si>
  <si>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</si>
  <si>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</si>
  <si>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</si>
  <si>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</si>
  <si>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</si>
  <si>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</si>
  <si>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</si>
  <si>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</si>
  <si>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</si>
  <si>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</si>
  <si>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</si>
  <si>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</si>
  <si>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</si>
  <si>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</si>
  <si>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</si>
  <si>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</si>
  <si>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</si>
  <si>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</si>
  <si>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</si>
  <si>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</si>
  <si>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</si>
  <si>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</si>
  <si>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</si>
  <si>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</si>
  <si>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</si>
  <si>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</si>
  <si>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</si>
  <si>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</si>
  <si>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</si>
  <si>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</si>
  <si>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</si>
  <si>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</si>
  <si>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</si>
  <si>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</si>
  <si>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</si>
  <si>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</si>
  <si>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</si>
  <si>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</si>
  <si>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</si>
  <si>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</si>
  <si>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</si>
  <si>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</si>
  <si>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</si>
  <si>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</si>
  <si>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</si>
  <si>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</si>
  <si>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</si>
  <si>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</si>
  <si>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</si>
  <si>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</si>
  <si>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</si>
  <si>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</si>
  <si>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</si>
  <si>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</si>
  <si>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</si>
  <si>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</si>
  <si>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</si>
  <si>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</si>
  <si>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</si>
  <si>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</si>
  <si>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</si>
  <si>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</si>
  <si>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</si>
  <si>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</si>
  <si>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</si>
  <si>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</si>
  <si>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</si>
  <si>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</si>
  <si>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</si>
  <si>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</si>
  <si>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</si>
  <si>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</si>
  <si>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</si>
  <si>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</si>
  <si>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</si>
  <si>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</si>
  <si>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</si>
  <si>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</si>
  <si>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</si>
  <si>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</si>
  <si>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</si>
  <si>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</si>
  <si>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</si>
  <si>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</si>
  <si>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</si>
  <si>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</si>
  <si>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</si>
  <si>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</si>
  <si>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</si>
  <si>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</si>
  <si>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</si>
  <si>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</si>
  <si>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</si>
  <si>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</si>
  <si>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</si>
  <si>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</si>
  <si>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</si>
  <si>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</si>
  <si>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</si>
  <si>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</si>
  <si>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</si>
  <si>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</si>
  <si>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</si>
  <si>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</si>
  <si>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</si>
  <si>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</si>
  <si>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</si>
  <si>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</si>
  <si>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</si>
  <si>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</si>
  <si>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</si>
  <si>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</si>
  <si>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</si>
  <si>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</si>
  <si>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</si>
  <si>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</si>
  <si>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</si>
  <si>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</si>
  <si>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</si>
  <si>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</si>
  <si>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</si>
  <si>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</si>
  <si>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</si>
  <si>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</si>
  <si>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</si>
  <si>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</si>
  <si>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</si>
  <si>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</si>
  <si>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</si>
  <si>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</si>
  <si>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</si>
  <si>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</si>
  <si>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</si>
  <si>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</si>
  <si>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</si>
  <si>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</si>
  <si>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</si>
  <si>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</si>
  <si>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</si>
  <si>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</si>
  <si>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</si>
  <si>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</si>
  <si>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</si>
  <si>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</si>
  <si>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</si>
  <si>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</si>
  <si>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</si>
  <si>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</si>
  <si>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</si>
  <si>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</si>
  <si>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</si>
  <si>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</si>
  <si>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</si>
  <si>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</si>
  <si>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</si>
  <si>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</si>
  <si>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</si>
  <si>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</si>
  <si>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</si>
  <si>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</si>
  <si>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</si>
  <si>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</si>
  <si>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</si>
  <si>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</si>
  <si>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</si>
  <si>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</si>
  <si>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</si>
  <si>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</si>
  <si>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</si>
  <si>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</si>
  <si>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</si>
  <si>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</si>
  <si>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</si>
  <si>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</si>
  <si>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</si>
  <si>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</si>
  <si>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</si>
  <si>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</si>
  <si>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</si>
  <si>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</si>
  <si>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</si>
  <si>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</si>
  <si>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</si>
  <si>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</si>
  <si>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</si>
  <si>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</si>
  <si>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</si>
  <si>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</si>
  <si>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</si>
  <si>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</si>
  <si>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</si>
  <si>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</si>
  <si>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</si>
  <si>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</si>
  <si>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</si>
  <si>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</si>
  <si>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</si>
  <si>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</si>
  <si>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</si>
  <si>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</si>
  <si>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</si>
  <si>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</si>
  <si>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</si>
  <si>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</si>
  <si>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</si>
  <si>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</si>
  <si>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</si>
  <si>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</si>
  <si>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</si>
  <si>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</si>
  <si>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</si>
  <si>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</si>
  <si>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</si>
  <si>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</si>
  <si>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</si>
  <si>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</si>
  <si>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</si>
  <si>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</si>
  <si>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</si>
  <si>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</si>
  <si>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</si>
  <si>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</si>
  <si>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</si>
  <si>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</si>
  <si>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</si>
  <si>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</si>
  <si>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</si>
  <si>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</si>
  <si>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</si>
  <si>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</si>
  <si>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</si>
  <si>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</si>
  <si>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</si>
  <si>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</si>
  <si>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</si>
  <si>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</si>
  <si>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</si>
  <si>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</si>
  <si>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</si>
  <si>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</si>
  <si>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</si>
  <si>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</si>
  <si>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</si>
  <si>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</si>
  <si>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</si>
  <si>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</si>
  <si>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</si>
  <si>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</si>
  <si>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</si>
  <si>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</si>
  <si>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</si>
  <si>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</si>
  <si>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</si>
  <si>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</si>
  <si>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</si>
  <si>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</si>
  <si>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</si>
  <si>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</si>
  <si>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</si>
  <si>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</si>
  <si>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</si>
  <si>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</si>
  <si>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</si>
  <si>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</si>
  <si>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</si>
  <si>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</si>
  <si>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</si>
  <si>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</si>
  <si>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</si>
  <si>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</si>
  <si>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</si>
  <si>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</si>
  <si>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</si>
  <si>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</si>
  <si>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</si>
  <si>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</si>
  <si>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</si>
  <si>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</si>
  <si>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</si>
  <si>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</si>
  <si>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</si>
  <si>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</si>
  <si>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</si>
  <si>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</si>
  <si>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</si>
  <si>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</si>
  <si>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</si>
  <si>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</si>
  <si>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</si>
  <si>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</si>
  <si>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</si>
  <si>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</si>
  <si>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</si>
  <si>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</si>
  <si>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</si>
  <si>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</si>
  <si>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</si>
  <si>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</si>
  <si>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</si>
  <si>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</si>
  <si>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</si>
  <si>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</si>
  <si>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</si>
  <si>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</si>
  <si>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</si>
  <si>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</si>
  <si>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</si>
  <si>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</si>
  <si>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</si>
  <si>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</si>
  <si>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</si>
  <si>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</si>
  <si>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</si>
  <si>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</si>
  <si>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</si>
  <si>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</si>
  <si>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</si>
  <si>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</si>
  <si>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</si>
  <si>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</si>
  <si>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</si>
  <si>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</si>
  <si>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</si>
  <si>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</si>
  <si>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</si>
  <si>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</si>
  <si>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</si>
  <si>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</si>
  <si>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</si>
  <si>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</si>
  <si>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</si>
  <si>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</si>
  <si>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</si>
  <si>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</si>
  <si>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</si>
  <si>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</si>
  <si>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</si>
  <si>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</si>
  <si>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</si>
  <si>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</si>
  <si>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</si>
  <si>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</si>
  <si>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</si>
  <si>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</si>
  <si>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</si>
  <si>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</si>
  <si>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</si>
  <si>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</si>
  <si>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</si>
  <si>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</si>
  <si>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</si>
  <si>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</si>
  <si>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</si>
  <si>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</si>
  <si>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</si>
  <si>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</si>
  <si>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</si>
  <si>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</si>
  <si>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</si>
  <si>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</si>
  <si>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</si>
  <si>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</si>
  <si>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</si>
  <si>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</si>
  <si>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</si>
  <si>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</si>
  <si>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</si>
  <si>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</si>
  <si>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</si>
  <si>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</si>
  <si>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</si>
  <si>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</si>
  <si>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</si>
  <si>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</si>
  <si>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</si>
  <si>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</si>
  <si>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</si>
  <si>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</si>
  <si>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</si>
  <si>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</si>
  <si>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</si>
  <si>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</si>
  <si>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</si>
  <si>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</si>
  <si>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</si>
  <si>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</si>
  <si>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</si>
  <si>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</si>
  <si>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</si>
  <si>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</si>
  <si>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</si>
  <si>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</si>
  <si>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</si>
  <si>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</si>
  <si>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</si>
  <si>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</si>
  <si>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</si>
  <si>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</si>
  <si>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</si>
  <si>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</si>
  <si>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</si>
  <si>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</si>
  <si>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</si>
  <si>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</si>
  <si>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</si>
  <si>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</si>
  <si>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</si>
  <si>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</si>
  <si>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</si>
  <si>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</si>
  <si>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</si>
  <si>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</si>
  <si>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</si>
  <si>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</si>
  <si>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</si>
  <si>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</si>
  <si>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</si>
  <si>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</si>
  <si>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</si>
  <si>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</si>
  <si>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</si>
  <si>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</si>
  <si>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</si>
  <si>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</si>
  <si>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</si>
  <si>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</si>
  <si>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</si>
  <si>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</si>
  <si>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</si>
  <si>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</si>
  <si>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</si>
  <si>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</si>
  <si>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</si>
  <si>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</si>
  <si>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</si>
  <si>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</si>
  <si>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</si>
  <si>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</si>
  <si>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</si>
  <si>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</si>
  <si>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</si>
  <si>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</si>
  <si>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</si>
  <si>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</si>
  <si>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</si>
  <si>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</si>
  <si>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</si>
  <si>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</si>
  <si>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</si>
  <si>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</si>
  <si>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</si>
  <si>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</si>
  <si>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</si>
  <si>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</si>
  <si>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</si>
  <si>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</si>
  <si>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</si>
  <si>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</si>
  <si>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</si>
  <si>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</si>
  <si>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</si>
  <si>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</si>
  <si>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</si>
  <si>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</si>
  <si>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</si>
  <si>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</si>
  <si>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</si>
  <si>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</si>
  <si>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</si>
  <si>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</si>
  <si>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</si>
  <si>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</si>
  <si>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</si>
  <si>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</si>
  <si>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</si>
  <si>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</si>
  <si>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</si>
  <si>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</si>
  <si>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</si>
  <si>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</si>
  <si>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</si>
  <si>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</si>
  <si>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</si>
  <si>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</si>
  <si>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</si>
  <si>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</si>
  <si>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</si>
  <si>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</si>
  <si>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</si>
  <si>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</si>
  <si>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</si>
  <si>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</si>
  <si>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</si>
  <si>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</si>
  <si>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</si>
  <si>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</si>
  <si>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</si>
  <si>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</si>
  <si>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</si>
  <si>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</si>
  <si>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</si>
  <si>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</si>
  <si>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</si>
  <si>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</si>
  <si>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</si>
  <si>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</si>
  <si>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</si>
  <si>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</si>
  <si>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</si>
  <si>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</si>
  <si>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</si>
  <si>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</si>
  <si>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</si>
  <si>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</si>
  <si>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</si>
  <si>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</si>
  <si>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</si>
  <si>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</si>
  <si>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</si>
  <si>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</si>
  <si>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</si>
  <si>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</si>
  <si>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24107</t>
  </si>
  <si>
    <t>TIENEN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</si>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</sst>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271145.15872458892</c:v>
                </c:pt>
                <c:pt idx="1">
                  <c:v>168871.39472688662</c:v>
                </c:pt>
                <c:pt idx="2">
                  <c:v>2346.0709999999999</c:v>
                </c:pt>
                <c:pt idx="3">
                  <c:v>11552.390335433583</c:v>
                </c:pt>
                <c:pt idx="4">
                  <c:v>155706.95467396788</c:v>
                </c:pt>
                <c:pt idx="5">
                  <c:v>228794.95203757216</c:v>
                </c:pt>
                <c:pt idx="6">
                  <c:v>3434.5154018958742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271145.15872458892</c:v>
                </c:pt>
                <c:pt idx="1">
                  <c:v>168871.39472688662</c:v>
                </c:pt>
                <c:pt idx="2">
                  <c:v>2346.0709999999999</c:v>
                </c:pt>
                <c:pt idx="3">
                  <c:v>11552.390335433583</c:v>
                </c:pt>
                <c:pt idx="4">
                  <c:v>155706.95467396788</c:v>
                </c:pt>
                <c:pt idx="5">
                  <c:v>228794.95203757216</c:v>
                </c:pt>
                <c:pt idx="6">
                  <c:v>3434.5154018958742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55571.998625936576</c:v>
                </c:pt>
                <c:pt idx="1">
                  <c:v>34542.701951558272</c:v>
                </c:pt>
                <c:pt idx="2">
                  <c:v>493.81138774436369</c:v>
                </c:pt>
                <c:pt idx="3">
                  <c:v>2969.1167785205898</c:v>
                </c:pt>
                <c:pt idx="4">
                  <c:v>33567.492434788517</c:v>
                </c:pt>
                <c:pt idx="5">
                  <c:v>56945.00284465916</c:v>
                </c:pt>
                <c:pt idx="6">
                  <c:v>868.73862026781751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55571.998625936576</c:v>
                </c:pt>
                <c:pt idx="1">
                  <c:v>34542.701951558272</c:v>
                </c:pt>
                <c:pt idx="2">
                  <c:v>493.81138774436369</c:v>
                </c:pt>
                <c:pt idx="3">
                  <c:v>2969.1167785205898</c:v>
                </c:pt>
                <c:pt idx="4">
                  <c:v>33567.492434788517</c:v>
                </c:pt>
                <c:pt idx="5">
                  <c:v>56945.00284465916</c:v>
                </c:pt>
                <c:pt idx="6">
                  <c:v>868.73862026781751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24107</v>
      </c>
      <c r="B6" s="390"/>
      <c r="C6" s="391"/>
    </row>
    <row r="7" spans="1:7" s="388" customFormat="1" ht="15.75" customHeight="1">
      <c r="A7" s="392" t="str">
        <f>txtMunicipality</f>
        <v>TIENEN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0.21048441745555174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0.21048441745555174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15107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4717.8999999999996</v>
      </c>
      <c r="C14" s="330"/>
      <c r="D14" s="330"/>
      <c r="E14" s="330"/>
      <c r="F14" s="330"/>
    </row>
    <row r="15" spans="1:6">
      <c r="A15" s="1298" t="s">
        <v>183</v>
      </c>
      <c r="B15" s="1299">
        <v>25</v>
      </c>
      <c r="C15" s="330"/>
      <c r="D15" s="330"/>
      <c r="E15" s="330"/>
      <c r="F15" s="330"/>
    </row>
    <row r="16" spans="1:6">
      <c r="A16" s="1298" t="s">
        <v>6</v>
      </c>
      <c r="B16" s="1299">
        <v>1199</v>
      </c>
      <c r="C16" s="330"/>
      <c r="D16" s="330"/>
      <c r="E16" s="330"/>
      <c r="F16" s="330"/>
    </row>
    <row r="17" spans="1:6">
      <c r="A17" s="1298" t="s">
        <v>7</v>
      </c>
      <c r="B17" s="1299">
        <v>822</v>
      </c>
      <c r="C17" s="330"/>
      <c r="D17" s="330"/>
      <c r="E17" s="330"/>
      <c r="F17" s="330"/>
    </row>
    <row r="18" spans="1:6">
      <c r="A18" s="1298" t="s">
        <v>8</v>
      </c>
      <c r="B18" s="1299">
        <v>1290</v>
      </c>
      <c r="C18" s="330"/>
      <c r="D18" s="330"/>
      <c r="E18" s="330"/>
      <c r="F18" s="330"/>
    </row>
    <row r="19" spans="1:6">
      <c r="A19" s="1298" t="s">
        <v>9</v>
      </c>
      <c r="B19" s="1299">
        <v>1011</v>
      </c>
      <c r="C19" s="330"/>
      <c r="D19" s="330"/>
      <c r="E19" s="330"/>
      <c r="F19" s="330"/>
    </row>
    <row r="20" spans="1:6">
      <c r="A20" s="1298" t="s">
        <v>10</v>
      </c>
      <c r="B20" s="1299">
        <v>743</v>
      </c>
      <c r="C20" s="330"/>
      <c r="D20" s="330"/>
      <c r="E20" s="330"/>
      <c r="F20" s="330"/>
    </row>
    <row r="21" spans="1:6">
      <c r="A21" s="1298" t="s">
        <v>11</v>
      </c>
      <c r="B21" s="1299">
        <v>1485</v>
      </c>
      <c r="C21" s="330"/>
      <c r="D21" s="330"/>
      <c r="E21" s="330"/>
      <c r="F21" s="330"/>
    </row>
    <row r="22" spans="1:6">
      <c r="A22" s="1298" t="s">
        <v>12</v>
      </c>
      <c r="B22" s="1299">
        <v>8333</v>
      </c>
      <c r="C22" s="330"/>
      <c r="D22" s="330"/>
      <c r="E22" s="330"/>
      <c r="F22" s="330"/>
    </row>
    <row r="23" spans="1:6">
      <c r="A23" s="1298" t="s">
        <v>13</v>
      </c>
      <c r="B23" s="1299">
        <v>54</v>
      </c>
      <c r="C23" s="330"/>
      <c r="D23" s="330"/>
      <c r="E23" s="330"/>
      <c r="F23" s="330"/>
    </row>
    <row r="24" spans="1:6">
      <c r="A24" s="1298" t="s">
        <v>14</v>
      </c>
      <c r="B24" s="1299">
        <v>13</v>
      </c>
      <c r="C24" s="330"/>
      <c r="D24" s="330"/>
      <c r="E24" s="330"/>
      <c r="F24" s="330"/>
    </row>
    <row r="25" spans="1:6">
      <c r="A25" s="1298" t="s">
        <v>15</v>
      </c>
      <c r="B25" s="1299">
        <v>228</v>
      </c>
      <c r="C25" s="330"/>
      <c r="D25" s="330"/>
      <c r="E25" s="330"/>
      <c r="F25" s="330"/>
    </row>
    <row r="26" spans="1:6">
      <c r="A26" s="1298" t="s">
        <v>16</v>
      </c>
      <c r="B26" s="1299">
        <v>235</v>
      </c>
      <c r="C26" s="330"/>
      <c r="D26" s="330"/>
      <c r="E26" s="330"/>
      <c r="F26" s="330"/>
    </row>
    <row r="27" spans="1:6">
      <c r="A27" s="1298" t="s">
        <v>17</v>
      </c>
      <c r="B27" s="1299">
        <v>6</v>
      </c>
      <c r="C27" s="330"/>
      <c r="D27" s="330"/>
      <c r="E27" s="330"/>
      <c r="F27" s="330"/>
    </row>
    <row r="28" spans="1:6" s="43" customFormat="1">
      <c r="A28" s="1300" t="s">
        <v>18</v>
      </c>
      <c r="B28" s="1301">
        <v>22262</v>
      </c>
      <c r="C28" s="336"/>
      <c r="D28" s="336"/>
      <c r="E28" s="336"/>
      <c r="F28" s="336"/>
    </row>
    <row r="29" spans="1:6">
      <c r="A29" s="1300" t="s">
        <v>705</v>
      </c>
      <c r="B29" s="1301">
        <v>187</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18</v>
      </c>
      <c r="F36" s="1299">
        <v>50684</v>
      </c>
    </row>
    <row r="37" spans="1:6">
      <c r="A37" s="1298" t="s">
        <v>24</v>
      </c>
      <c r="B37" s="1298" t="s">
        <v>27</v>
      </c>
      <c r="C37" s="1299">
        <v>0</v>
      </c>
      <c r="D37" s="1299">
        <v>0</v>
      </c>
      <c r="E37" s="1299">
        <v>0</v>
      </c>
      <c r="F37" s="1299">
        <v>0</v>
      </c>
    </row>
    <row r="38" spans="1:6">
      <c r="A38" s="1298" t="s">
        <v>24</v>
      </c>
      <c r="B38" s="1298" t="s">
        <v>28</v>
      </c>
      <c r="C38" s="1299">
        <v>1</v>
      </c>
      <c r="D38" s="1299">
        <v>179580.61300000001</v>
      </c>
      <c r="E38" s="1299">
        <v>2</v>
      </c>
      <c r="F38" s="1299">
        <v>12100</v>
      </c>
    </row>
    <row r="39" spans="1:6">
      <c r="A39" s="1298" t="s">
        <v>29</v>
      </c>
      <c r="B39" s="1298" t="s">
        <v>30</v>
      </c>
      <c r="C39" s="1299">
        <v>11165</v>
      </c>
      <c r="D39" s="1299">
        <v>174633238.80000001</v>
      </c>
      <c r="E39" s="1299">
        <v>15126</v>
      </c>
      <c r="F39" s="1299">
        <v>47184151.600000001</v>
      </c>
    </row>
    <row r="40" spans="1:6">
      <c r="A40" s="1298" t="s">
        <v>29</v>
      </c>
      <c r="B40" s="1298" t="s">
        <v>28</v>
      </c>
      <c r="C40" s="1299">
        <v>0</v>
      </c>
      <c r="D40" s="1299">
        <v>0</v>
      </c>
      <c r="E40" s="1299">
        <v>0</v>
      </c>
      <c r="F40" s="1299">
        <v>0</v>
      </c>
    </row>
    <row r="41" spans="1:6">
      <c r="A41" s="1298" t="s">
        <v>31</v>
      </c>
      <c r="B41" s="1298" t="s">
        <v>32</v>
      </c>
      <c r="C41" s="1299">
        <v>180</v>
      </c>
      <c r="D41" s="1299">
        <v>3553567.6880000001</v>
      </c>
      <c r="E41" s="1299">
        <v>297</v>
      </c>
      <c r="F41" s="1299">
        <v>13244299.619999999</v>
      </c>
    </row>
    <row r="42" spans="1:6">
      <c r="A42" s="1298" t="s">
        <v>31</v>
      </c>
      <c r="B42" s="1298" t="s">
        <v>33</v>
      </c>
      <c r="C42" s="1299">
        <v>3</v>
      </c>
      <c r="D42" s="1299">
        <v>64190.608</v>
      </c>
      <c r="E42" s="1299">
        <v>0</v>
      </c>
      <c r="F42" s="1299">
        <v>0</v>
      </c>
    </row>
    <row r="43" spans="1:6">
      <c r="A43" s="1298" t="s">
        <v>31</v>
      </c>
      <c r="B43" s="1298" t="s">
        <v>34</v>
      </c>
      <c r="C43" s="1299">
        <v>0</v>
      </c>
      <c r="D43" s="1299">
        <v>0</v>
      </c>
      <c r="E43" s="1299">
        <v>0</v>
      </c>
      <c r="F43" s="1299">
        <v>0</v>
      </c>
    </row>
    <row r="44" spans="1:6">
      <c r="A44" s="1298" t="s">
        <v>31</v>
      </c>
      <c r="B44" s="1298" t="s">
        <v>35</v>
      </c>
      <c r="C44" s="1299">
        <v>12</v>
      </c>
      <c r="D44" s="1299">
        <v>297661.777</v>
      </c>
      <c r="E44" s="1299">
        <v>32</v>
      </c>
      <c r="F44" s="1299">
        <v>551044.25399999996</v>
      </c>
    </row>
    <row r="45" spans="1:6">
      <c r="A45" s="1298" t="s">
        <v>31</v>
      </c>
      <c r="B45" s="1298" t="s">
        <v>36</v>
      </c>
      <c r="C45" s="1299">
        <v>0</v>
      </c>
      <c r="D45" s="1299">
        <v>0</v>
      </c>
      <c r="E45" s="1299">
        <v>0</v>
      </c>
      <c r="F45" s="1299">
        <v>0</v>
      </c>
    </row>
    <row r="46" spans="1:6">
      <c r="A46" s="1298" t="s">
        <v>31</v>
      </c>
      <c r="B46" s="1298" t="s">
        <v>37</v>
      </c>
      <c r="C46" s="1299">
        <v>3</v>
      </c>
      <c r="D46" s="1299">
        <v>3488047.2880000002</v>
      </c>
      <c r="E46" s="1299">
        <v>3</v>
      </c>
      <c r="F46" s="1299">
        <v>22546298.760000002</v>
      </c>
    </row>
    <row r="47" spans="1:6">
      <c r="A47" s="1298" t="s">
        <v>31</v>
      </c>
      <c r="B47" s="1298" t="s">
        <v>38</v>
      </c>
      <c r="C47" s="1299">
        <v>0</v>
      </c>
      <c r="D47" s="1299">
        <v>0</v>
      </c>
      <c r="E47" s="1299">
        <v>0</v>
      </c>
      <c r="F47" s="1299">
        <v>0</v>
      </c>
    </row>
    <row r="48" spans="1:6">
      <c r="A48" s="1298" t="s">
        <v>31</v>
      </c>
      <c r="B48" s="1298" t="s">
        <v>28</v>
      </c>
      <c r="C48" s="1299">
        <v>28</v>
      </c>
      <c r="D48" s="1299">
        <v>20197783.949999999</v>
      </c>
      <c r="E48" s="1299">
        <v>41</v>
      </c>
      <c r="F48" s="1299">
        <v>50317415.100000001</v>
      </c>
    </row>
    <row r="49" spans="1:6">
      <c r="A49" s="1298" t="s">
        <v>31</v>
      </c>
      <c r="B49" s="1298" t="s">
        <v>39</v>
      </c>
      <c r="C49" s="1299">
        <v>0</v>
      </c>
      <c r="D49" s="1299">
        <v>0</v>
      </c>
      <c r="E49" s="1299">
        <v>0</v>
      </c>
      <c r="F49" s="1299">
        <v>0</v>
      </c>
    </row>
    <row r="50" spans="1:6">
      <c r="A50" s="1298" t="s">
        <v>31</v>
      </c>
      <c r="B50" s="1298" t="s">
        <v>40</v>
      </c>
      <c r="C50" s="1299">
        <v>19</v>
      </c>
      <c r="D50" s="1299">
        <v>701604.223</v>
      </c>
      <c r="E50" s="1299">
        <v>23</v>
      </c>
      <c r="F50" s="1299">
        <v>12151888.35</v>
      </c>
    </row>
    <row r="51" spans="1:6">
      <c r="A51" s="1298" t="s">
        <v>41</v>
      </c>
      <c r="B51" s="1298" t="s">
        <v>42</v>
      </c>
      <c r="C51" s="1299">
        <v>23</v>
      </c>
      <c r="D51" s="1299">
        <v>510497.56300000002</v>
      </c>
      <c r="E51" s="1299">
        <v>111</v>
      </c>
      <c r="F51" s="1299">
        <v>2190381.3229999999</v>
      </c>
    </row>
    <row r="52" spans="1:6">
      <c r="A52" s="1298" t="s">
        <v>41</v>
      </c>
      <c r="B52" s="1298" t="s">
        <v>28</v>
      </c>
      <c r="C52" s="1299">
        <v>7</v>
      </c>
      <c r="D52" s="1299">
        <v>152979.334</v>
      </c>
      <c r="E52" s="1299">
        <v>7</v>
      </c>
      <c r="F52" s="1299">
        <v>72441.395000000004</v>
      </c>
    </row>
    <row r="53" spans="1:6">
      <c r="A53" s="1298" t="s">
        <v>43</v>
      </c>
      <c r="B53" s="1298" t="s">
        <v>44</v>
      </c>
      <c r="C53" s="1299">
        <v>353</v>
      </c>
      <c r="D53" s="1299">
        <v>6602453.3629999999</v>
      </c>
      <c r="E53" s="1299">
        <v>647</v>
      </c>
      <c r="F53" s="1299">
        <v>2112639.0750000002</v>
      </c>
    </row>
    <row r="54" spans="1:6">
      <c r="A54" s="1298" t="s">
        <v>45</v>
      </c>
      <c r="B54" s="1298" t="s">
        <v>46</v>
      </c>
      <c r="C54" s="1299">
        <v>0</v>
      </c>
      <c r="D54" s="1299">
        <v>0</v>
      </c>
      <c r="E54" s="1299">
        <v>1</v>
      </c>
      <c r="F54" s="1299">
        <v>2346071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100</v>
      </c>
      <c r="D57" s="1299">
        <v>3479732.2749999999</v>
      </c>
      <c r="E57" s="1299">
        <v>155</v>
      </c>
      <c r="F57" s="1299">
        <v>3790410.8650000002</v>
      </c>
    </row>
    <row r="58" spans="1:6">
      <c r="A58" s="1298" t="s">
        <v>48</v>
      </c>
      <c r="B58" s="1298" t="s">
        <v>50</v>
      </c>
      <c r="C58" s="1299">
        <v>106</v>
      </c>
      <c r="D58" s="1299">
        <v>16938332.510000002</v>
      </c>
      <c r="E58" s="1299">
        <v>134</v>
      </c>
      <c r="F58" s="1299">
        <v>7890318.8849999998</v>
      </c>
    </row>
    <row r="59" spans="1:6">
      <c r="A59" s="1298" t="s">
        <v>48</v>
      </c>
      <c r="B59" s="1298" t="s">
        <v>51</v>
      </c>
      <c r="C59" s="1299">
        <v>306</v>
      </c>
      <c r="D59" s="1299">
        <v>16697210.49</v>
      </c>
      <c r="E59" s="1299">
        <v>484</v>
      </c>
      <c r="F59" s="1299">
        <v>16789351.149999999</v>
      </c>
    </row>
    <row r="60" spans="1:6">
      <c r="A60" s="1298" t="s">
        <v>48</v>
      </c>
      <c r="B60" s="1298" t="s">
        <v>52</v>
      </c>
      <c r="C60" s="1299">
        <v>166</v>
      </c>
      <c r="D60" s="1299">
        <v>11595477</v>
      </c>
      <c r="E60" s="1299">
        <v>179</v>
      </c>
      <c r="F60" s="1299">
        <v>5449448.7470000004</v>
      </c>
    </row>
    <row r="61" spans="1:6">
      <c r="A61" s="1298" t="s">
        <v>48</v>
      </c>
      <c r="B61" s="1298" t="s">
        <v>53</v>
      </c>
      <c r="C61" s="1299">
        <v>461</v>
      </c>
      <c r="D61" s="1299">
        <v>41481083.32</v>
      </c>
      <c r="E61" s="1299">
        <v>886</v>
      </c>
      <c r="F61" s="1299">
        <v>29811454.329999998</v>
      </c>
    </row>
    <row r="62" spans="1:6">
      <c r="A62" s="1298" t="s">
        <v>48</v>
      </c>
      <c r="B62" s="1298" t="s">
        <v>54</v>
      </c>
      <c r="C62" s="1299">
        <v>20</v>
      </c>
      <c r="D62" s="1299">
        <v>3817805.2409999999</v>
      </c>
      <c r="E62" s="1299">
        <v>20</v>
      </c>
      <c r="F62" s="1299">
        <v>862094.25199999998</v>
      </c>
    </row>
    <row r="63" spans="1:6">
      <c r="A63" s="1298" t="s">
        <v>48</v>
      </c>
      <c r="B63" s="1298" t="s">
        <v>28</v>
      </c>
      <c r="C63" s="1299">
        <v>96</v>
      </c>
      <c r="D63" s="1299">
        <v>5265539.9589999998</v>
      </c>
      <c r="E63" s="1299">
        <v>85</v>
      </c>
      <c r="F63" s="1299">
        <v>3051651.9569999999</v>
      </c>
    </row>
    <row r="64" spans="1:6">
      <c r="A64" s="1298" t="s">
        <v>55</v>
      </c>
      <c r="B64" s="1298" t="s">
        <v>56</v>
      </c>
      <c r="C64" s="1299">
        <v>0</v>
      </c>
      <c r="D64" s="1299">
        <v>0</v>
      </c>
      <c r="E64" s="1299">
        <v>0</v>
      </c>
      <c r="F64" s="1299">
        <v>0</v>
      </c>
    </row>
    <row r="65" spans="1:6">
      <c r="A65" s="1298" t="s">
        <v>55</v>
      </c>
      <c r="B65" s="1298" t="s">
        <v>28</v>
      </c>
      <c r="C65" s="1299">
        <v>4</v>
      </c>
      <c r="D65" s="1299">
        <v>204417.88099999999</v>
      </c>
      <c r="E65" s="1299">
        <v>2</v>
      </c>
      <c r="F65" s="1299">
        <v>4703.0339999999997</v>
      </c>
    </row>
    <row r="66" spans="1:6">
      <c r="A66" s="1298" t="s">
        <v>55</v>
      </c>
      <c r="B66" s="1298" t="s">
        <v>57</v>
      </c>
      <c r="C66" s="1299">
        <v>0</v>
      </c>
      <c r="D66" s="1299">
        <v>0</v>
      </c>
      <c r="E66" s="1299">
        <v>29</v>
      </c>
      <c r="F66" s="1299">
        <v>660970.89399999997</v>
      </c>
    </row>
    <row r="67" spans="1:6">
      <c r="A67" s="1300" t="s">
        <v>55</v>
      </c>
      <c r="B67" s="1300" t="s">
        <v>58</v>
      </c>
      <c r="C67" s="1299">
        <v>0</v>
      </c>
      <c r="D67" s="1299">
        <v>0</v>
      </c>
      <c r="E67" s="1299">
        <v>0</v>
      </c>
      <c r="F67" s="1299">
        <v>0</v>
      </c>
    </row>
    <row r="68" spans="1:6">
      <c r="A68" s="1293" t="s">
        <v>55</v>
      </c>
      <c r="B68" s="1293" t="s">
        <v>59</v>
      </c>
      <c r="C68" s="1302">
        <v>6</v>
      </c>
      <c r="D68" s="1302">
        <v>283796.58100000001</v>
      </c>
      <c r="E68" s="1302">
        <v>20</v>
      </c>
      <c r="F68" s="1302">
        <v>1286081.284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134876688</v>
      </c>
      <c r="E73" s="450"/>
      <c r="F73" s="330"/>
    </row>
    <row r="74" spans="1:6">
      <c r="A74" s="1298" t="s">
        <v>63</v>
      </c>
      <c r="B74" s="1298" t="s">
        <v>647</v>
      </c>
      <c r="C74" s="1312" t="s">
        <v>649</v>
      </c>
      <c r="D74" s="1313">
        <v>15725229</v>
      </c>
      <c r="E74" s="450"/>
      <c r="F74" s="330"/>
    </row>
    <row r="75" spans="1:6">
      <c r="A75" s="1298" t="s">
        <v>64</v>
      </c>
      <c r="B75" s="1298" t="s">
        <v>646</v>
      </c>
      <c r="C75" s="1312" t="s">
        <v>650</v>
      </c>
      <c r="D75" s="1313">
        <v>46621256</v>
      </c>
      <c r="E75" s="450"/>
      <c r="F75" s="330"/>
    </row>
    <row r="76" spans="1:6">
      <c r="A76" s="1298" t="s">
        <v>64</v>
      </c>
      <c r="B76" s="1298" t="s">
        <v>647</v>
      </c>
      <c r="C76" s="1312" t="s">
        <v>651</v>
      </c>
      <c r="D76" s="1313">
        <v>1653480</v>
      </c>
      <c r="E76" s="450"/>
      <c r="F76" s="330"/>
    </row>
    <row r="77" spans="1:6">
      <c r="A77" s="1298" t="s">
        <v>65</v>
      </c>
      <c r="B77" s="1298" t="s">
        <v>646</v>
      </c>
      <c r="C77" s="1312" t="s">
        <v>652</v>
      </c>
      <c r="D77" s="1313">
        <v>52791495</v>
      </c>
      <c r="E77" s="450"/>
      <c r="F77" s="330"/>
    </row>
    <row r="78" spans="1:6">
      <c r="A78" s="1293" t="s">
        <v>65</v>
      </c>
      <c r="B78" s="1293" t="s">
        <v>647</v>
      </c>
      <c r="C78" s="1293" t="s">
        <v>653</v>
      </c>
      <c r="D78" s="1314">
        <v>6871781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942802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5452.7410077052018</v>
      </c>
      <c r="C91" s="330"/>
      <c r="D91" s="330"/>
      <c r="E91" s="330"/>
      <c r="F91" s="330"/>
    </row>
    <row r="92" spans="1:6">
      <c r="A92" s="1293" t="s">
        <v>68</v>
      </c>
      <c r="B92" s="1294">
        <v>5297.2368801340954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7932</v>
      </c>
      <c r="C97" s="330"/>
      <c r="D97" s="330"/>
      <c r="E97" s="330"/>
      <c r="F97" s="330"/>
    </row>
    <row r="98" spans="1:6">
      <c r="A98" s="1298" t="s">
        <v>71</v>
      </c>
      <c r="B98" s="1299">
        <v>4</v>
      </c>
      <c r="C98" s="330"/>
      <c r="D98" s="330"/>
      <c r="E98" s="330"/>
      <c r="F98" s="330"/>
    </row>
    <row r="99" spans="1:6">
      <c r="A99" s="1298" t="s">
        <v>72</v>
      </c>
      <c r="B99" s="1299">
        <v>90</v>
      </c>
      <c r="C99" s="330"/>
      <c r="D99" s="330"/>
      <c r="E99" s="330"/>
      <c r="F99" s="330"/>
    </row>
    <row r="100" spans="1:6">
      <c r="A100" s="1298" t="s">
        <v>73</v>
      </c>
      <c r="B100" s="1299">
        <v>630</v>
      </c>
      <c r="C100" s="330"/>
      <c r="D100" s="330"/>
      <c r="E100" s="330"/>
      <c r="F100" s="330"/>
    </row>
    <row r="101" spans="1:6">
      <c r="A101" s="1298" t="s">
        <v>74</v>
      </c>
      <c r="B101" s="1299">
        <v>56</v>
      </c>
      <c r="C101" s="330"/>
      <c r="D101" s="330"/>
      <c r="E101" s="330"/>
      <c r="F101" s="330"/>
    </row>
    <row r="102" spans="1:6">
      <c r="A102" s="1298" t="s">
        <v>75</v>
      </c>
      <c r="B102" s="1299">
        <v>307</v>
      </c>
      <c r="C102" s="330"/>
      <c r="D102" s="330"/>
      <c r="E102" s="330"/>
      <c r="F102" s="330"/>
    </row>
    <row r="103" spans="1:6">
      <c r="A103" s="1298" t="s">
        <v>76</v>
      </c>
      <c r="B103" s="1299">
        <v>329</v>
      </c>
      <c r="C103" s="330"/>
      <c r="D103" s="330"/>
      <c r="E103" s="330"/>
      <c r="F103" s="330"/>
    </row>
    <row r="104" spans="1:6">
      <c r="A104" s="1298" t="s">
        <v>77</v>
      </c>
      <c r="B104" s="1299">
        <v>4635</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34</v>
      </c>
      <c r="C123" s="1299">
        <v>36</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161</v>
      </c>
      <c r="C129" s="330"/>
      <c r="D129" s="330"/>
      <c r="E129" s="330"/>
      <c r="F129" s="330"/>
    </row>
    <row r="130" spans="1:6">
      <c r="A130" s="1298" t="s">
        <v>294</v>
      </c>
      <c r="B130" s="1299">
        <v>2</v>
      </c>
      <c r="C130" s="330"/>
      <c r="D130" s="330"/>
      <c r="E130" s="330"/>
      <c r="F130" s="330"/>
    </row>
    <row r="131" spans="1:6">
      <c r="A131" s="1298" t="s">
        <v>295</v>
      </c>
      <c r="B131" s="1299">
        <v>8</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225926.15322740912</v>
      </c>
      <c r="C3" s="43" t="s">
        <v>169</v>
      </c>
      <c r="D3" s="43"/>
      <c r="E3" s="154"/>
      <c r="F3" s="43"/>
      <c r="G3" s="43"/>
      <c r="H3" s="43"/>
      <c r="I3" s="43"/>
      <c r="J3" s="43"/>
      <c r="K3" s="96"/>
    </row>
    <row r="4" spans="1:11">
      <c r="A4" s="358" t="s">
        <v>170</v>
      </c>
      <c r="B4" s="49">
        <f>IF(ISERROR('SEAP template'!B78+'SEAP template'!C78),0,'SEAP template'!B78+'SEAP template'!C78)</f>
        <v>10749.977887839297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0.21048441745555174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2346.0709999999999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2346.0709999999999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0.21048441745555174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493.81138774436369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47184.151600000005</v>
      </c>
      <c r="C5" s="17">
        <f>IF(ISERROR('Eigen informatie GS &amp; warmtenet'!B59),0,'Eigen informatie GS &amp; warmtenet'!B59)</f>
        <v>0</v>
      </c>
      <c r="D5" s="30">
        <f>(SUM(HH_hh_gas_kWh,HH_rest_gas_kWh)/1000)*0.902</f>
        <v>157519.18139760001</v>
      </c>
      <c r="E5" s="17">
        <f>B46*B57</f>
        <v>13598.792954048773</v>
      </c>
      <c r="F5" s="17">
        <f>B51*B62</f>
        <v>35806.665499798837</v>
      </c>
      <c r="G5" s="18"/>
      <c r="H5" s="17"/>
      <c r="I5" s="17"/>
      <c r="J5" s="17">
        <f>B50*B61+C50*C61</f>
        <v>75.063890968202955</v>
      </c>
      <c r="K5" s="17"/>
      <c r="L5" s="17"/>
      <c r="M5" s="17"/>
      <c r="N5" s="17">
        <f>B48*B59+C48*C59</f>
        <v>10557.438803721943</v>
      </c>
      <c r="O5" s="17">
        <f>B69*B70*B71</f>
        <v>392.82372743863232</v>
      </c>
      <c r="P5" s="17">
        <f>B77*B78*B79/1000-B77*B78*B79/1000/B80</f>
        <v>558.29984330730622</v>
      </c>
    </row>
    <row r="6" spans="1:16">
      <c r="A6" s="16" t="s">
        <v>611</v>
      </c>
      <c r="B6" s="783">
        <f>kWh_PV_kleiner_dan_10kW</f>
        <v>5452.7410077052018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52636.892607705209</v>
      </c>
      <c r="C8" s="21">
        <f>C5</f>
        <v>0</v>
      </c>
      <c r="D8" s="21">
        <f>D5</f>
        <v>157519.18139760001</v>
      </c>
      <c r="E8" s="21">
        <f>E5</f>
        <v>13598.792954048773</v>
      </c>
      <c r="F8" s="21">
        <f>F5</f>
        <v>35806.665499798837</v>
      </c>
      <c r="G8" s="21"/>
      <c r="H8" s="21"/>
      <c r="I8" s="21"/>
      <c r="J8" s="21">
        <f>J5</f>
        <v>75.063890968202955</v>
      </c>
      <c r="K8" s="21"/>
      <c r="L8" s="21">
        <f>L5</f>
        <v>0</v>
      </c>
      <c r="M8" s="21">
        <f>M5</f>
        <v>0</v>
      </c>
      <c r="N8" s="21">
        <f>N5</f>
        <v>10557.438803721943</v>
      </c>
      <c r="O8" s="21">
        <f>O5</f>
        <v>392.82372743863232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0.21048441745555174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11079.245677203269</v>
      </c>
      <c r="C12" s="23">
        <f ca="1">C10*C8</f>
        <v>0</v>
      </c>
      <c r="D12" s="23">
        <f>D8*D10</f>
        <v>31818.874642315204</v>
      </c>
      <c r="E12" s="23">
        <f>E10*E8</f>
        <v>3086.9260005690717</v>
      </c>
      <c r="F12" s="23">
        <f>F10*F8</f>
        <v>9560.3796884462899</v>
      </c>
      <c r="G12" s="23"/>
      <c r="H12" s="23"/>
      <c r="I12" s="23"/>
      <c r="J12" s="23">
        <f>J10*J8</f>
        <v>26.572617402743845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15107</v>
      </c>
      <c r="C28" s="36"/>
      <c r="D28" s="228"/>
    </row>
    <row r="29" spans="1:7" s="15" customFormat="1">
      <c r="A29" s="230" t="s">
        <v>819</v>
      </c>
      <c r="B29" s="37">
        <f>SUM(HH_hh_gas_aantal,HH_rest_gas_aantal)</f>
        <v>11165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11165</v>
      </c>
      <c r="C32" s="167">
        <f>IF(ISERROR(B32/SUM($B$32,$B$34,$B$35,$B$36,$B$38,$B$39)*100),0,B32/SUM($B$32,$B$34,$B$35,$B$36,$B$38,$B$39)*100)</f>
        <v>74.166334529028831</v>
      </c>
      <c r="D32" s="233"/>
      <c r="G32" s="15"/>
    </row>
    <row r="33" spans="1:7">
      <c r="A33" s="171" t="s">
        <v>71</v>
      </c>
      <c r="B33" s="34" t="s">
        <v>110</v>
      </c>
      <c r="C33" s="167"/>
      <c r="D33" s="233"/>
      <c r="G33" s="15"/>
    </row>
    <row r="34" spans="1:7">
      <c r="A34" s="171" t="s">
        <v>72</v>
      </c>
      <c r="B34" s="33">
        <f>IF((($B$28-$B$32-$B$39-$B$77-$B$38)*C20/100)&lt;0,0,($B$28-$B$32-$B$39-$B$77-$B$38)*C20/100)</f>
        <v>250.28350515463922</v>
      </c>
      <c r="C34" s="167">
        <f>IF(ISERROR(B34/SUM($B$32,$B$34,$B$35,$B$36,$B$38,$B$39)*100),0,B34/SUM($B$32,$B$34,$B$35,$B$36,$B$38,$B$39)*100)</f>
        <v>1.6625714438331287</v>
      </c>
      <c r="D34" s="233"/>
      <c r="G34" s="15"/>
    </row>
    <row r="35" spans="1:7">
      <c r="A35" s="171" t="s">
        <v>73</v>
      </c>
      <c r="B35" s="33">
        <f>IF((($B$28-$B$32-$B$39-$B$77-$B$38)*C21/100)&lt;0,0,($B$28-$B$32-$B$39-$B$77-$B$38)*C21/100)</f>
        <v>1751.9845360824747</v>
      </c>
      <c r="C35" s="167">
        <f>IF(ISERROR(B35/SUM($B$32,$B$34,$B$35,$B$36,$B$38,$B$39)*100),0,B35/SUM($B$32,$B$34,$B$35,$B$36,$B$38,$B$39)*100)</f>
        <v>11.638000106831903</v>
      </c>
      <c r="D35" s="233"/>
      <c r="G35" s="15"/>
    </row>
    <row r="36" spans="1:7">
      <c r="A36" s="171" t="s">
        <v>74</v>
      </c>
      <c r="B36" s="33">
        <f>IF((($B$28-$B$32-$B$39-$B$77-$B$38)*C22/100)&lt;0,0,($B$28-$B$32-$B$39-$B$77-$B$38)*C22/100)</f>
        <v>155.73195876288662</v>
      </c>
      <c r="C36" s="167">
        <f>IF(ISERROR(B36/SUM($B$32,$B$34,$B$35,$B$36,$B$38,$B$39)*100),0,B36/SUM($B$32,$B$34,$B$35,$B$36,$B$38,$B$39)*100)</f>
        <v>1.034488898385058</v>
      </c>
      <c r="D36" s="233"/>
      <c r="G36" s="15"/>
    </row>
    <row r="37" spans="1:7">
      <c r="A37" s="171" t="s">
        <v>75</v>
      </c>
      <c r="B37" s="34" t="s">
        <v>110</v>
      </c>
      <c r="C37" s="167"/>
      <c r="D37" s="173"/>
      <c r="G37" s="15"/>
    </row>
    <row r="38" spans="1:7">
      <c r="A38" s="171" t="s">
        <v>76</v>
      </c>
      <c r="B38" s="33">
        <f>IF((B24-(B29-B18)*0.1)&lt;0,0,B24-(B29-B18)*0.1)</f>
        <v>5.6999999999999886</v>
      </c>
      <c r="C38" s="167">
        <f>IF(ISERROR(B38/SUM($B$32,$B$34,$B$35,$B$36,$B$38,$B$39)*100),0,B38/SUM($B$32,$B$34,$B$35,$B$36,$B$38,$B$39)*100)</f>
        <v>3.7863690713431569E-2</v>
      </c>
      <c r="D38" s="234"/>
      <c r="G38" s="15"/>
    </row>
    <row r="39" spans="1:7">
      <c r="A39" s="171" t="s">
        <v>77</v>
      </c>
      <c r="B39" s="33">
        <f>IF((B25-(B29-B18))&lt;0,0,B25-(B29-B18)*0.9)</f>
        <v>1725.2999999999997</v>
      </c>
      <c r="C39" s="167">
        <f>IF(ISERROR(B39/SUM($B$32,$B$34,$B$35,$B$36,$B$38,$B$39)*100),0,B39/SUM($B$32,$B$34,$B$35,$B$36,$B$38,$B$39)*100)</f>
        <v>11.46074133120765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11165</v>
      </c>
      <c r="C44" s="34" t="s">
        <v>110</v>
      </c>
      <c r="D44" s="174"/>
    </row>
    <row r="45" spans="1:7">
      <c r="A45" s="171" t="s">
        <v>71</v>
      </c>
      <c r="B45" s="33" t="str">
        <f t="shared" si="0"/>
        <v>-</v>
      </c>
      <c r="C45" s="34" t="s">
        <v>110</v>
      </c>
      <c r="D45" s="174"/>
    </row>
    <row r="46" spans="1:7">
      <c r="A46" s="171" t="s">
        <v>72</v>
      </c>
      <c r="B46" s="33">
        <f t="shared" si="0"/>
        <v>250.28350515463922</v>
      </c>
      <c r="C46" s="34" t="s">
        <v>110</v>
      </c>
      <c r="D46" s="174"/>
    </row>
    <row r="47" spans="1:7">
      <c r="A47" s="171" t="s">
        <v>73</v>
      </c>
      <c r="B47" s="33">
        <f t="shared" si="0"/>
        <v>1751.9845360824747</v>
      </c>
      <c r="C47" s="34" t="s">
        <v>110</v>
      </c>
      <c r="D47" s="174"/>
    </row>
    <row r="48" spans="1:7">
      <c r="A48" s="171" t="s">
        <v>74</v>
      </c>
      <c r="B48" s="33">
        <f t="shared" si="0"/>
        <v>155.73195876288662</v>
      </c>
      <c r="C48" s="33">
        <f>B48*10</f>
        <v>1557.3195876288662</v>
      </c>
      <c r="D48" s="234"/>
    </row>
    <row r="49" spans="1:6">
      <c r="A49" s="171" t="s">
        <v>75</v>
      </c>
      <c r="B49" s="33" t="str">
        <f t="shared" si="0"/>
        <v>-</v>
      </c>
      <c r="C49" s="34" t="s">
        <v>110</v>
      </c>
      <c r="D49" s="234"/>
    </row>
    <row r="50" spans="1:6">
      <c r="A50" s="171" t="s">
        <v>76</v>
      </c>
      <c r="B50" s="33">
        <f t="shared" si="0"/>
        <v>5.6999999999999886</v>
      </c>
      <c r="C50" s="33">
        <f>B50*2</f>
        <v>11.399999999999977</v>
      </c>
      <c r="D50" s="234"/>
    </row>
    <row r="51" spans="1:6">
      <c r="A51" s="171" t="s">
        <v>77</v>
      </c>
      <c r="B51" s="33">
        <f t="shared" si="0"/>
        <v>1725.2999999999997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67644.730186000001</v>
      </c>
      <c r="C5" s="17">
        <f>IF(ISERROR('Eigen informatie GS &amp; warmtenet'!B60),0,'Eigen informatie GS &amp; warmtenet'!B60)</f>
        <v>0</v>
      </c>
      <c r="D5" s="30">
        <f>SUM(D6:D12)</f>
        <v>89546.213077089997</v>
      </c>
      <c r="E5" s="17">
        <f>SUM(E6:E12)</f>
        <v>830.98487944800354</v>
      </c>
      <c r="F5" s="17">
        <f>SUM(F6:F12)</f>
        <v>7593.8084881723107</v>
      </c>
      <c r="G5" s="18"/>
      <c r="H5" s="17"/>
      <c r="I5" s="17"/>
      <c r="J5" s="17">
        <f>SUM(J6:J12)</f>
        <v>7.0194551412165948E-2</v>
      </c>
      <c r="K5" s="17"/>
      <c r="L5" s="17"/>
      <c r="M5" s="17"/>
      <c r="N5" s="17">
        <f>SUM(N6:N12)</f>
        <v>2825.4802736413076</v>
      </c>
      <c r="O5" s="17">
        <f>B38*B39*B40</f>
        <v>9.7945215316823084</v>
      </c>
      <c r="P5" s="17">
        <f>B46*B47*B48/1000-B46*B47*B48/1000/B49</f>
        <v>420.31310645196015</v>
      </c>
      <c r="R5" s="32"/>
    </row>
    <row r="6" spans="1:18">
      <c r="A6" s="32" t="s">
        <v>53</v>
      </c>
      <c r="B6" s="37">
        <f>B26</f>
        <v>29811.454329999997</v>
      </c>
      <c r="C6" s="33"/>
      <c r="D6" s="37">
        <f>IF(ISERROR(TER_kantoor_gas_kWh/1000),0,TER_kantoor_gas_kWh/1000)*0.902</f>
        <v>37415.93715464</v>
      </c>
      <c r="E6" s="33">
        <f>$C$26*'E Balans VL '!I12/100/3.6*1000000</f>
        <v>239.88321468822562</v>
      </c>
      <c r="F6" s="33">
        <f>$C$26*('E Balans VL '!L12+'E Balans VL '!N12)/100/3.6*1000000</f>
        <v>3644.7638983017341</v>
      </c>
      <c r="G6" s="34"/>
      <c r="H6" s="33"/>
      <c r="I6" s="33"/>
      <c r="J6" s="33">
        <f>$C$26*('E Balans VL '!D12+'E Balans VL '!E12)/100/3.6*1000000</f>
        <v>0</v>
      </c>
      <c r="K6" s="33"/>
      <c r="L6" s="33"/>
      <c r="M6" s="33"/>
      <c r="N6" s="33">
        <f>$C$26*'E Balans VL '!Y12/100/3.6*1000000</f>
        <v>16.022188647143466</v>
      </c>
      <c r="O6" s="33"/>
      <c r="P6" s="33"/>
      <c r="R6" s="32"/>
    </row>
    <row r="7" spans="1:18">
      <c r="A7" s="32" t="s">
        <v>52</v>
      </c>
      <c r="B7" s="37">
        <f t="shared" ref="B7:B12" si="0">B27</f>
        <v>5449.4487470000004</v>
      </c>
      <c r="C7" s="33"/>
      <c r="D7" s="37">
        <f>IF(ISERROR(TER_horeca_gas_kWh/1000),0,TER_horeca_gas_kWh/1000)*0.902</f>
        <v>10459.120254000001</v>
      </c>
      <c r="E7" s="33">
        <f>$C$27*'E Balans VL '!I9/100/3.6*1000000</f>
        <v>58.51369803612301</v>
      </c>
      <c r="F7" s="33">
        <f>$C$27*('E Balans VL '!L9+'E Balans VL '!N9)/100/3.6*1000000</f>
        <v>655.43654225602006</v>
      </c>
      <c r="G7" s="34"/>
      <c r="H7" s="33"/>
      <c r="I7" s="33"/>
      <c r="J7" s="33">
        <f>$C$27*('E Balans VL '!D9+'E Balans VL '!E9)/100/3.6*1000000</f>
        <v>0</v>
      </c>
      <c r="K7" s="33"/>
      <c r="L7" s="33"/>
      <c r="M7" s="33"/>
      <c r="N7" s="33">
        <f>$C$27*'E Balans VL '!Y9/100/3.6*1000000</f>
        <v>0.81698281467860856</v>
      </c>
      <c r="O7" s="33"/>
      <c r="P7" s="33"/>
      <c r="R7" s="32"/>
    </row>
    <row r="8" spans="1:18">
      <c r="A8" s="6" t="s">
        <v>51</v>
      </c>
      <c r="B8" s="37">
        <f t="shared" si="0"/>
        <v>16789.351149999999</v>
      </c>
      <c r="C8" s="33"/>
      <c r="D8" s="37">
        <f>IF(ISERROR(TER_handel_gas_kWh/1000),0,TER_handel_gas_kWh/1000)*0.902</f>
        <v>15060.883861980001</v>
      </c>
      <c r="E8" s="33">
        <f>$C$28*'E Balans VL '!I13/100/3.6*1000000</f>
        <v>450.57478476607599</v>
      </c>
      <c r="F8" s="33">
        <f>$C$28*('E Balans VL '!L13+'E Balans VL '!N13)/100/3.6*1000000</f>
        <v>1602.2215608550507</v>
      </c>
      <c r="G8" s="34"/>
      <c r="H8" s="33"/>
      <c r="I8" s="33"/>
      <c r="J8" s="33">
        <f>$C$28*('E Balans VL '!D13+'E Balans VL '!E13)/100/3.6*1000000</f>
        <v>0</v>
      </c>
      <c r="K8" s="33"/>
      <c r="L8" s="33"/>
      <c r="M8" s="33"/>
      <c r="N8" s="33">
        <f>$C$28*'E Balans VL '!Y13/100/3.6*1000000</f>
        <v>6.655489697254545</v>
      </c>
      <c r="O8" s="33"/>
      <c r="P8" s="33"/>
      <c r="R8" s="32"/>
    </row>
    <row r="9" spans="1:18">
      <c r="A9" s="32" t="s">
        <v>50</v>
      </c>
      <c r="B9" s="37">
        <f t="shared" si="0"/>
        <v>7890.3188849999997</v>
      </c>
      <c r="C9" s="33"/>
      <c r="D9" s="37">
        <f>IF(ISERROR(TER_gezond_gas_kWh/1000),0,TER_gezond_gas_kWh/1000)*0.902</f>
        <v>15278.37592402</v>
      </c>
      <c r="E9" s="33">
        <f>$C$29*'E Balans VL '!I10/100/3.6*1000000</f>
        <v>14.789026789883351</v>
      </c>
      <c r="F9" s="33">
        <f>$C$29*('E Balans VL '!L10+'E Balans VL '!N10)/100/3.6*1000000</f>
        <v>648.65620595947917</v>
      </c>
      <c r="G9" s="34"/>
      <c r="H9" s="33"/>
      <c r="I9" s="33"/>
      <c r="J9" s="33">
        <f>$C$29*('E Balans VL '!D10+'E Balans VL '!E10)/100/3.6*1000000</f>
        <v>0</v>
      </c>
      <c r="K9" s="33"/>
      <c r="L9" s="33"/>
      <c r="M9" s="33"/>
      <c r="N9" s="33">
        <f>$C$29*'E Balans VL '!Y10/100/3.6*1000000</f>
        <v>61.392567949076721</v>
      </c>
      <c r="O9" s="33"/>
      <c r="P9" s="33"/>
      <c r="R9" s="32"/>
    </row>
    <row r="10" spans="1:18">
      <c r="A10" s="32" t="s">
        <v>49</v>
      </c>
      <c r="B10" s="37">
        <f t="shared" si="0"/>
        <v>3790.4108650000003</v>
      </c>
      <c r="C10" s="33"/>
      <c r="D10" s="37">
        <f>IF(ISERROR(TER_ander_gas_kWh/1000),0,TER_ander_gas_kWh/1000)*0.902</f>
        <v>3138.7185120499998</v>
      </c>
      <c r="E10" s="33">
        <f>$C$30*'E Balans VL '!I14/100/3.6*1000000</f>
        <v>5.8429567560373474</v>
      </c>
      <c r="F10" s="33">
        <f>$C$30*('E Balans VL '!L14+'E Balans VL '!N14)/100/3.6*1000000</f>
        <v>588.46233319169903</v>
      </c>
      <c r="G10" s="34"/>
      <c r="H10" s="33"/>
      <c r="I10" s="33"/>
      <c r="J10" s="33">
        <f>$C$30*('E Balans VL '!D14+'E Balans VL '!E14)/100/3.6*1000000</f>
        <v>6.4346221894674788E-2</v>
      </c>
      <c r="K10" s="33"/>
      <c r="L10" s="33"/>
      <c r="M10" s="33"/>
      <c r="N10" s="33">
        <f>$C$30*'E Balans VL '!Y14/100/3.6*1000000</f>
        <v>2507.6143465276641</v>
      </c>
      <c r="O10" s="33"/>
      <c r="P10" s="33"/>
      <c r="R10" s="32"/>
    </row>
    <row r="11" spans="1:18">
      <c r="A11" s="32" t="s">
        <v>54</v>
      </c>
      <c r="B11" s="37">
        <f t="shared" si="0"/>
        <v>862.09425199999998</v>
      </c>
      <c r="C11" s="33"/>
      <c r="D11" s="37">
        <f>IF(ISERROR(TER_onderwijs_gas_kWh/1000),0,TER_onderwijs_gas_kWh/1000)*0.902</f>
        <v>3443.6603273820001</v>
      </c>
      <c r="E11" s="33">
        <f>$C$31*'E Balans VL '!I11/100/3.6*1000000</f>
        <v>21.989291578392027</v>
      </c>
      <c r="F11" s="33">
        <f>$C$31*('E Balans VL '!L11+'E Balans VL '!N11)/100/3.6*1000000</f>
        <v>103.67494814310473</v>
      </c>
      <c r="G11" s="34"/>
      <c r="H11" s="33"/>
      <c r="I11" s="33"/>
      <c r="J11" s="33">
        <f>$C$31*('E Balans VL '!D11+'E Balans VL '!E11)/100/3.6*1000000</f>
        <v>0</v>
      </c>
      <c r="K11" s="33"/>
      <c r="L11" s="33"/>
      <c r="M11" s="33"/>
      <c r="N11" s="33">
        <f>$C$31*'E Balans VL '!Y11/100/3.6*1000000</f>
        <v>1.9172765811669967</v>
      </c>
      <c r="O11" s="33"/>
      <c r="P11" s="33"/>
      <c r="R11" s="32"/>
    </row>
    <row r="12" spans="1:18">
      <c r="A12" s="32" t="s">
        <v>259</v>
      </c>
      <c r="B12" s="37">
        <f t="shared" si="0"/>
        <v>3051.651957</v>
      </c>
      <c r="C12" s="33"/>
      <c r="D12" s="37">
        <f>IF(ISERROR(TER_rest_gas_kWh/1000),0,TER_rest_gas_kWh/1000)*0.902</f>
        <v>4749.5170430179996</v>
      </c>
      <c r="E12" s="33">
        <f>$C$32*'E Balans VL '!I8/100/3.6*1000000</f>
        <v>39.391906833266304</v>
      </c>
      <c r="F12" s="33">
        <f>$C$32*('E Balans VL '!L8+'E Balans VL '!N8)/100/3.6*1000000</f>
        <v>350.5929994652235</v>
      </c>
      <c r="G12" s="34"/>
      <c r="H12" s="33"/>
      <c r="I12" s="33"/>
      <c r="J12" s="33">
        <f>$C$32*('E Balans VL '!D8+'E Balans VL '!E8)/100/3.6*1000000</f>
        <v>5.848329517491156E-3</v>
      </c>
      <c r="K12" s="33"/>
      <c r="L12" s="33"/>
      <c r="M12" s="33"/>
      <c r="N12" s="33">
        <f>$C$32*'E Balans VL '!Y8/100/3.6*1000000</f>
        <v>231.06142142432319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67644.730186000001</v>
      </c>
      <c r="C16" s="21">
        <f t="shared" ca="1" si="1"/>
        <v>0</v>
      </c>
      <c r="D16" s="21">
        <f t="shared" ca="1" si="1"/>
        <v>89546.213077089997</v>
      </c>
      <c r="E16" s="21">
        <f t="shared" si="1"/>
        <v>830.98487944800354</v>
      </c>
      <c r="F16" s="21">
        <f t="shared" ca="1" si="1"/>
        <v>7593.8084881723107</v>
      </c>
      <c r="G16" s="21">
        <f t="shared" si="1"/>
        <v>0</v>
      </c>
      <c r="H16" s="21">
        <f t="shared" si="1"/>
        <v>0</v>
      </c>
      <c r="I16" s="21">
        <f t="shared" si="1"/>
        <v>0</v>
      </c>
      <c r="J16" s="21">
        <f t="shared" si="1"/>
        <v>7.0194551412165948E-2</v>
      </c>
      <c r="K16" s="21">
        <f t="shared" si="1"/>
        <v>0</v>
      </c>
      <c r="L16" s="21">
        <f t="shared" ca="1" si="1"/>
        <v>0</v>
      </c>
      <c r="M16" s="21">
        <f t="shared" si="1"/>
        <v>0</v>
      </c>
      <c r="N16" s="21">
        <f t="shared" ca="1" si="1"/>
        <v>2825.4802736413076</v>
      </c>
      <c r="O16" s="21">
        <f>O5</f>
        <v>9.7945215316823084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0.21048441745555174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14238.161627138186</v>
      </c>
      <c r="C20" s="23">
        <f t="shared" ref="C20:P20" ca="1" si="2">C16*C18</f>
        <v>0</v>
      </c>
      <c r="D20" s="23">
        <f t="shared" ca="1" si="2"/>
        <v>18088.33504157218</v>
      </c>
      <c r="E20" s="23">
        <f t="shared" si="2"/>
        <v>188.63356763469682</v>
      </c>
      <c r="F20" s="23">
        <f t="shared" ca="1" si="2"/>
        <v>2027.546866342007</v>
      </c>
      <c r="G20" s="23">
        <f t="shared" si="2"/>
        <v>0</v>
      </c>
      <c r="H20" s="23">
        <f t="shared" si="2"/>
        <v>0</v>
      </c>
      <c r="I20" s="23">
        <f t="shared" si="2"/>
        <v>0</v>
      </c>
      <c r="J20" s="23">
        <f t="shared" si="2"/>
        <v>2.4848871199906745E-2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29811.454329999997</v>
      </c>
      <c r="C26" s="39">
        <f>IF(ISERROR(B26*3.6/1000000/'E Balans VL '!Z12*100),0,B26*3.6/1000000/'E Balans VL '!Z12*100)</f>
        <v>0.63242272926225152</v>
      </c>
      <c r="D26" s="237" t="s">
        <v>708</v>
      </c>
      <c r="F26" s="6"/>
    </row>
    <row r="27" spans="1:18">
      <c r="A27" s="231" t="s">
        <v>52</v>
      </c>
      <c r="B27" s="33">
        <f>IF(ISERROR(TER_horeca_ele_kWh/1000),0,TER_horeca_ele_kWh/1000)</f>
        <v>5449.4487470000004</v>
      </c>
      <c r="C27" s="39">
        <f>IF(ISERROR(B27*3.6/1000000/'E Balans VL '!Z9*100),0,B27*3.6/1000000/'E Balans VL '!Z9*100)</f>
        <v>0.41039176462656057</v>
      </c>
      <c r="D27" s="237" t="s">
        <v>708</v>
      </c>
      <c r="F27" s="6"/>
    </row>
    <row r="28" spans="1:18">
      <c r="A28" s="171" t="s">
        <v>51</v>
      </c>
      <c r="B28" s="33">
        <f>IF(ISERROR(TER_handel_ele_kWh/1000),0,TER_handel_ele_kWh/1000)</f>
        <v>16789.351149999999</v>
      </c>
      <c r="C28" s="39">
        <f>IF(ISERROR(B28*3.6/1000000/'E Balans VL '!Z13*100),0,B28*3.6/1000000/'E Balans VL '!Z13*100)</f>
        <v>0.48733537457191206</v>
      </c>
      <c r="D28" s="237" t="s">
        <v>708</v>
      </c>
      <c r="F28" s="6"/>
    </row>
    <row r="29" spans="1:18">
      <c r="A29" s="231" t="s">
        <v>50</v>
      </c>
      <c r="B29" s="33">
        <f>IF(ISERROR(TER_gezond_ele_kWh/1000),0,TER_gezond_ele_kWh/1000)</f>
        <v>7890.3188849999997</v>
      </c>
      <c r="C29" s="39">
        <f>IF(ISERROR(B29*3.6/1000000/'E Balans VL '!Z10*100),0,B29*3.6/1000000/'E Balans VL '!Z10*100)</f>
        <v>0.79574806914076457</v>
      </c>
      <c r="D29" s="237" t="s">
        <v>708</v>
      </c>
      <c r="F29" s="6"/>
    </row>
    <row r="30" spans="1:18">
      <c r="A30" s="231" t="s">
        <v>49</v>
      </c>
      <c r="B30" s="33">
        <f>IF(ISERROR(TER_ander_ele_kWh/1000),0,TER_ander_ele_kWh/1000)</f>
        <v>3790.4108650000003</v>
      </c>
      <c r="C30" s="39">
        <f>IF(ISERROR(B30*3.6/1000000/'E Balans VL '!Z14*100),0,B30*3.6/1000000/'E Balans VL '!Z14*100)</f>
        <v>0.27504601894136571</v>
      </c>
      <c r="D30" s="237" t="s">
        <v>708</v>
      </c>
      <c r="F30" s="6"/>
    </row>
    <row r="31" spans="1:18">
      <c r="A31" s="231" t="s">
        <v>54</v>
      </c>
      <c r="B31" s="33">
        <f>IF(ISERROR(TER_onderwijs_ele_kWh/1000),0,TER_onderwijs_ele_kWh/1000)</f>
        <v>862.09425199999998</v>
      </c>
      <c r="C31" s="39">
        <f>IF(ISERROR(B31*3.6/1000000/'E Balans VL '!Z11*100),0,B31*3.6/1000000/'E Balans VL '!Z11*100)</f>
        <v>0.24573196793260935</v>
      </c>
      <c r="D31" s="237" t="s">
        <v>708</v>
      </c>
    </row>
    <row r="32" spans="1:18">
      <c r="A32" s="231" t="s">
        <v>259</v>
      </c>
      <c r="B32" s="33">
        <f>IF(ISERROR(TER_rest_ele_kWh/1000),0,TER_rest_ele_kWh/1000)</f>
        <v>3051.651957</v>
      </c>
      <c r="C32" s="39">
        <f>IF(ISERROR(B32*3.6/1000000/'E Balans VL '!Z8*100),0,B32*3.6/1000000/'E Balans VL '!Z8*100)</f>
        <v>2.4998511239341985E-2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98810.946083999996</v>
      </c>
      <c r="C5" s="17">
        <f>IF(ISERROR('Eigen informatie GS &amp; warmtenet'!B61),0,'Eigen informatie GS &amp; warmtenet'!B61)</f>
        <v>0</v>
      </c>
      <c r="D5" s="30">
        <f>SUM(D6:D15)</f>
        <v>22382.957037892003</v>
      </c>
      <c r="E5" s="17">
        <f>SUM(E6:E15)</f>
        <v>6145.9139021748706</v>
      </c>
      <c r="F5" s="17">
        <f>SUM(F6:F15)</f>
        <v>21797.399627273116</v>
      </c>
      <c r="G5" s="18"/>
      <c r="H5" s="17"/>
      <c r="I5" s="17"/>
      <c r="J5" s="17">
        <f>SUM(J6:J15)</f>
        <v>2917.9167574464468</v>
      </c>
      <c r="K5" s="17"/>
      <c r="L5" s="17"/>
      <c r="M5" s="17"/>
      <c r="N5" s="17">
        <f>SUM(N6:N15)</f>
        <v>3651.8212651814501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22546.298760000001</v>
      </c>
      <c r="C7" s="33"/>
      <c r="D7" s="37">
        <f>IF( ISERROR(IND_nonf_gas_kWhh/1000),0,IND_nonf_gas_kWh/1000)*0.902</f>
        <v>0</v>
      </c>
      <c r="E7" s="33">
        <f>C29*'E Balans VL '!I17/100/3.6*1000000</f>
        <v>72.222780895404455</v>
      </c>
      <c r="F7" s="33">
        <f>C29*'E Balans VL '!L17/100/3.6*1000000+C29*'E Balans VL '!N17/100/3.6*1000000</f>
        <v>1166.1587595485951</v>
      </c>
      <c r="G7" s="34"/>
      <c r="H7" s="33"/>
      <c r="I7" s="33"/>
      <c r="J7" s="40">
        <f>C29*'E Balans VL '!D17/100/3.6*1000000+C29*'E Balans VL '!E17/100/3.6*1000000</f>
        <v>2501.6796048222582</v>
      </c>
      <c r="K7" s="33"/>
      <c r="L7" s="33"/>
      <c r="M7" s="33"/>
      <c r="N7" s="33">
        <f>C29*'E Balans VL '!Y17/100/3.6*1000000</f>
        <v>0</v>
      </c>
      <c r="O7" s="33"/>
      <c r="P7" s="33"/>
      <c r="R7" s="32"/>
    </row>
    <row r="8" spans="1:18">
      <c r="A8" s="6" t="s">
        <v>35</v>
      </c>
      <c r="B8" s="37">
        <f t="shared" si="0"/>
        <v>551.04425399999991</v>
      </c>
      <c r="C8" s="33"/>
      <c r="D8" s="37">
        <f>IF( ISERROR(IND_metaal_Gas_kWH/1000),0,IND_metaal_Gas_kWH/1000)*0.902</f>
        <v>268.49092285400002</v>
      </c>
      <c r="E8" s="33">
        <f>C30*'E Balans VL '!I18/100/3.6*1000000</f>
        <v>3.9753975336062144</v>
      </c>
      <c r="F8" s="33">
        <f>C30*'E Balans VL '!L18/100/3.6*1000000+C30*'E Balans VL '!N18/100/3.6*1000000</f>
        <v>52.118625884104517</v>
      </c>
      <c r="G8" s="34"/>
      <c r="H8" s="33"/>
      <c r="I8" s="33"/>
      <c r="J8" s="40">
        <f>C30*'E Balans VL '!D18/100/3.6*1000000+C30*'E Balans VL '!E18/100/3.6*1000000</f>
        <v>0.55424351290053098</v>
      </c>
      <c r="K8" s="33"/>
      <c r="L8" s="33"/>
      <c r="M8" s="33"/>
      <c r="N8" s="33">
        <f>C30*'E Balans VL '!Y18/100/3.6*1000000</f>
        <v>6.9666572897208976</v>
      </c>
      <c r="O8" s="33"/>
      <c r="P8" s="33"/>
      <c r="R8" s="32"/>
    </row>
    <row r="9" spans="1:18">
      <c r="A9" s="6" t="s">
        <v>32</v>
      </c>
      <c r="B9" s="37">
        <f t="shared" si="0"/>
        <v>13244.29962</v>
      </c>
      <c r="C9" s="33"/>
      <c r="D9" s="37">
        <f>IF( ISERROR(IND_andere_gas_kWh/1000),0,IND_andere_gas_kWh/1000)*0.902</f>
        <v>3205.3180545760001</v>
      </c>
      <c r="E9" s="33">
        <f>C31*'E Balans VL '!I19/100/3.6*1000000</f>
        <v>3670.1725231752107</v>
      </c>
      <c r="F9" s="33">
        <f>C31*'E Balans VL '!L19/100/3.6*1000000+C31*'E Balans VL '!N19/100/3.6*1000000</f>
        <v>10976.90414620806</v>
      </c>
      <c r="G9" s="34"/>
      <c r="H9" s="33"/>
      <c r="I9" s="33"/>
      <c r="J9" s="40">
        <f>C31*'E Balans VL '!D19/100/3.6*1000000+C31*'E Balans VL '!E19/100/3.6*1000000</f>
        <v>0</v>
      </c>
      <c r="K9" s="33"/>
      <c r="L9" s="33"/>
      <c r="M9" s="33"/>
      <c r="N9" s="33">
        <f>C31*'E Balans VL '!Y19/100/3.6*1000000</f>
        <v>961.37415709031507</v>
      </c>
      <c r="O9" s="33"/>
      <c r="P9" s="33"/>
      <c r="R9" s="32"/>
    </row>
    <row r="10" spans="1:18">
      <c r="A10" s="6" t="s">
        <v>40</v>
      </c>
      <c r="B10" s="37">
        <f t="shared" si="0"/>
        <v>12151.888349999999</v>
      </c>
      <c r="C10" s="33"/>
      <c r="D10" s="37">
        <f>IF( ISERROR(IND_voed_gas_kWh/1000),0,IND_voed_gas_kWh/1000)*0.902</f>
        <v>632.847009146</v>
      </c>
      <c r="E10" s="33">
        <f>C32*'E Balans VL '!I20/100/3.6*1000000</f>
        <v>21.512958487979645</v>
      </c>
      <c r="F10" s="33">
        <f>C32*'E Balans VL '!L20/100/3.6*1000000+C32*'E Balans VL '!N20/100/3.6*1000000</f>
        <v>656.30967212035011</v>
      </c>
      <c r="G10" s="34"/>
      <c r="H10" s="33"/>
      <c r="I10" s="33"/>
      <c r="J10" s="40">
        <f>C32*'E Balans VL '!D20/100/3.6*1000000+C32*'E Balans VL '!E20/100/3.6*1000000</f>
        <v>0</v>
      </c>
      <c r="K10" s="33"/>
      <c r="L10" s="33"/>
      <c r="M10" s="33"/>
      <c r="N10" s="33">
        <f>C32*'E Balans VL '!Y20/100/3.6*1000000</f>
        <v>706.11751826276338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57.899928416000002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50317.415099999998</v>
      </c>
      <c r="C15" s="33"/>
      <c r="D15" s="37">
        <f>IF( ISERROR(IND_rest_gas_kWh/1000),0,IND_rest_gas_kWh/1000)*0.902</f>
        <v>18218.401122900003</v>
      </c>
      <c r="E15" s="33">
        <f>C37*'E Balans VL '!I15/100/3.6*1000000</f>
        <v>2378.0302420826702</v>
      </c>
      <c r="F15" s="33">
        <f>C37*'E Balans VL '!L15/100/3.6*1000000+C37*'E Balans VL '!N15/100/3.6*1000000</f>
        <v>8945.9084235120044</v>
      </c>
      <c r="G15" s="34"/>
      <c r="H15" s="33"/>
      <c r="I15" s="33"/>
      <c r="J15" s="40">
        <f>C37*'E Balans VL '!D15/100/3.6*1000000+C37*'E Balans VL '!E15/100/3.6*1000000</f>
        <v>415.68290911128821</v>
      </c>
      <c r="K15" s="33"/>
      <c r="L15" s="33"/>
      <c r="M15" s="33"/>
      <c r="N15" s="33">
        <f>C37*'E Balans VL '!Y15/100/3.6*1000000</f>
        <v>1977.3629325386512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98810.946083999996</v>
      </c>
      <c r="C18" s="21">
        <f>C5+C16</f>
        <v>0</v>
      </c>
      <c r="D18" s="21">
        <f>MAX((D5+D16),0)</f>
        <v>22382.957037892003</v>
      </c>
      <c r="E18" s="21">
        <f>MAX((E5+E16),0)</f>
        <v>6145.9139021748706</v>
      </c>
      <c r="F18" s="21">
        <f>MAX((F5+F16),0)</f>
        <v>21797.399627273116</v>
      </c>
      <c r="G18" s="21"/>
      <c r="H18" s="21"/>
      <c r="I18" s="21"/>
      <c r="J18" s="21">
        <f>MAX((J5+J16),0)</f>
        <v>2917.9167574464468</v>
      </c>
      <c r="K18" s="21"/>
      <c r="L18" s="21">
        <f>MAX((L5+L16),0)</f>
        <v>0</v>
      </c>
      <c r="M18" s="21"/>
      <c r="N18" s="21">
        <f>MAX((N5+N16),0)</f>
        <v>3651.8212651814501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0.21048441745555174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20798.164424722672</v>
      </c>
      <c r="C22" s="23">
        <f ca="1">C18*C20</f>
        <v>0</v>
      </c>
      <c r="D22" s="23">
        <f>D18*D20</f>
        <v>4521.3573216541854</v>
      </c>
      <c r="E22" s="23">
        <f>E18*E20</f>
        <v>1395.1224557936957</v>
      </c>
      <c r="F22" s="23">
        <f>F18*F20</f>
        <v>5819.9057004819224</v>
      </c>
      <c r="G22" s="23"/>
      <c r="H22" s="23"/>
      <c r="I22" s="23"/>
      <c r="J22" s="23">
        <f>J18*J20</f>
        <v>1032.942532136042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22546.298760000001</v>
      </c>
      <c r="C29" s="39">
        <f>IF(ISERROR(B29*3.6/1000000/'E Balans VL '!Z17*100),0,B29*3.6/1000000/'E Balans VL '!Z17*100)</f>
        <v>5.5201697706132631</v>
      </c>
      <c r="D29" s="237" t="s">
        <v>708</v>
      </c>
    </row>
    <row r="30" spans="1:18">
      <c r="A30" s="171" t="s">
        <v>35</v>
      </c>
      <c r="B30" s="37">
        <f>IF( ISERROR(IND_metaal_ele_kWh/1000),0,IND_metaal_ele_kWh/1000)</f>
        <v>551.04425399999991</v>
      </c>
      <c r="C30" s="39">
        <f>IF(ISERROR(B30*3.6/1000000/'E Balans VL '!Z18*100),0,B30*3.6/1000000/'E Balans VL '!Z18*100)</f>
        <v>3.1810924962803411E-2</v>
      </c>
      <c r="D30" s="237" t="s">
        <v>708</v>
      </c>
    </row>
    <row r="31" spans="1:18">
      <c r="A31" s="6" t="s">
        <v>32</v>
      </c>
      <c r="B31" s="37">
        <f>IF( ISERROR(IND_ander_ele_kWh/1000),0,IND_ander_ele_kWh/1000)</f>
        <v>13244.29962</v>
      </c>
      <c r="C31" s="39">
        <f>IF(ISERROR(B31*3.6/1000000/'E Balans VL '!Z19*100),0,B31*3.6/1000000/'E Balans VL '!Z19*100)</f>
        <v>0.66614534115106294</v>
      </c>
      <c r="D31" s="237" t="s">
        <v>708</v>
      </c>
    </row>
    <row r="32" spans="1:18">
      <c r="A32" s="171" t="s">
        <v>40</v>
      </c>
      <c r="B32" s="37">
        <f>IF( ISERROR(IND_voed_ele_kWh/1000),0,IND_voed_ele_kWh/1000)</f>
        <v>12151.888349999999</v>
      </c>
      <c r="C32" s="39">
        <f>IF(ISERROR(B32*3.6/1000000/'E Balans VL '!Z20*100),0,B32*3.6/1000000/'E Balans VL '!Z20*100)</f>
        <v>0.40473004298272797</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50317.415099999998</v>
      </c>
      <c r="C37" s="39">
        <f>IF(ISERROR(B37*3.6/1000000/'E Balans VL '!Z15*100),0,B37*3.6/1000000/'E Balans VL '!Z15*100)</f>
        <v>0.39261343735288912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2262.8227179999999</v>
      </c>
      <c r="C5" s="17">
        <f>'Eigen informatie GS &amp; warmtenet'!B62</f>
        <v>0</v>
      </c>
      <c r="D5" s="30">
        <f>IF(ISERROR(SUM(LB_lb_gas_kWh,LB_rest_gas_kWh)/1000),0,SUM(LB_lb_gas_kWh,LB_rest_gas_kWh)/1000)*0.902</f>
        <v>598.45616109399998</v>
      </c>
      <c r="E5" s="17">
        <f>B17*'E Balans VL '!I25/3.6*1000000/100</f>
        <v>70.6219508419031</v>
      </c>
      <c r="F5" s="17">
        <f>B17*('E Balans VL '!L25/3.6*1000000+'E Balans VL '!N25/3.6*1000000)/100</f>
        <v>7997.0661541506597</v>
      </c>
      <c r="G5" s="18"/>
      <c r="H5" s="17"/>
      <c r="I5" s="17"/>
      <c r="J5" s="17">
        <f>('E Balans VL '!D25+'E Balans VL '!E25)/3.6*1000000*landbouw!B17/100</f>
        <v>623.42335134702091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2262.8227179999999</v>
      </c>
      <c r="C8" s="21">
        <f>C5+C6</f>
        <v>0</v>
      </c>
      <c r="D8" s="21">
        <f>MAX((D5+D6),0)</f>
        <v>598.45616109399998</v>
      </c>
      <c r="E8" s="21">
        <f>MAX((E5+E6),0)</f>
        <v>70.6219508419031</v>
      </c>
      <c r="F8" s="21">
        <f>MAX((F5+F6),0)</f>
        <v>7997.0661541506597</v>
      </c>
      <c r="G8" s="21"/>
      <c r="H8" s="21"/>
      <c r="I8" s="21"/>
      <c r="J8" s="21">
        <f>MAX((J5+J6),0)</f>
        <v>623.42335134702091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0.21048441745555174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476.2889216034182</v>
      </c>
      <c r="C12" s="23">
        <f ca="1">C8*C10</f>
        <v>0</v>
      </c>
      <c r="D12" s="23">
        <f>D8*D10</f>
        <v>120.88814454098801</v>
      </c>
      <c r="E12" s="23">
        <f>E8*E10</f>
        <v>16.031182841112003</v>
      </c>
      <c r="F12" s="23">
        <f>F8*F10</f>
        <v>2135.2166631582263</v>
      </c>
      <c r="G12" s="23"/>
      <c r="H12" s="23"/>
      <c r="I12" s="23"/>
      <c r="J12" s="23">
        <f>J8*J10</f>
        <v>220.69186637684538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0.33638481848047364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408.97222130343363</v>
      </c>
      <c r="C26" s="247">
        <f>B26*'GWP N2O_CH4'!B5</f>
        <v>8588.416647372107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104.65908510817862</v>
      </c>
      <c r="C27" s="247">
        <f>B27*'GWP N2O_CH4'!B5</f>
        <v>2197.8407872717507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4.9494525163780612</v>
      </c>
      <c r="C28" s="247">
        <f>B28*'GWP N2O_CH4'!B4</f>
        <v>1534.3302800771989</v>
      </c>
      <c r="D28" s="50"/>
    </row>
    <row r="29" spans="1:4">
      <c r="A29" s="41" t="s">
        <v>276</v>
      </c>
      <c r="B29" s="247">
        <f>B34*'ha_N2O bodem landbouw'!B4</f>
        <v>31.854593831770831</v>
      </c>
      <c r="C29" s="247">
        <f>B29*'GWP N2O_CH4'!B4</f>
        <v>9874.9240878489582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6.9851388982410979E-3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4.0338560413410751E-4</v>
      </c>
      <c r="C5" s="437" t="s">
        <v>210</v>
      </c>
      <c r="D5" s="422">
        <f>SUM(D6:D11)</f>
        <v>1.4796875356832479E-3</v>
      </c>
      <c r="E5" s="422">
        <f>SUM(E6:E11)</f>
        <v>1.3084789438983768E-3</v>
      </c>
      <c r="F5" s="435" t="s">
        <v>210</v>
      </c>
      <c r="G5" s="422">
        <f>SUM(G6:G11)</f>
        <v>0.63549962764506474</v>
      </c>
      <c r="H5" s="422">
        <f>SUM(H6:H11)</f>
        <v>0.139127637241653</v>
      </c>
      <c r="I5" s="437" t="s">
        <v>210</v>
      </c>
      <c r="J5" s="437" t="s">
        <v>210</v>
      </c>
      <c r="K5" s="437" t="s">
        <v>210</v>
      </c>
      <c r="L5" s="437" t="s">
        <v>210</v>
      </c>
      <c r="M5" s="422">
        <f>SUM(M6:M11)</f>
        <v>4.5843010364826353E-2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2.3222264949162959E-4</v>
      </c>
      <c r="C6" s="423"/>
      <c r="D6" s="890">
        <f>vkm_GW_PW*SUMIFS(TableVerdeelsleutelVkm[CNG],TableVerdeelsleutelVkm[Voertuigtype],"Lichte voertuigen")*SUMIFS(TableECFTransport[EnergieConsumptieFactor (PJ per km)],TableECFTransport[Index],CONCATENATE($A6,"_CNG_CNG"))</f>
        <v>7.4808260145777764E-4</v>
      </c>
      <c r="E6" s="890">
        <f>vkm_GW_PW*SUMIFS(TableVerdeelsleutelVkm[LPG],TableVerdeelsleutelVkm[Voertuigtype],"Lichte voertuigen")*SUMIFS(TableECFTransport[EnergieConsumptieFactor (PJ per km)],TableECFTransport[Index],CONCATENATE($A6,"_LPG_LPG"))</f>
        <v>6.3974274116341059E-4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0.20666853385724021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7.0080032330372341E-2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1.6552797489967321E-2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0.14928535572724597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2.1346465455146327E-6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8.605167131527626E-3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8.0269702285005201E-5</v>
      </c>
      <c r="C8" s="423"/>
      <c r="D8" s="425">
        <f>vkm_NGW_PW*SUMIFS(TableVerdeelsleutelVkm[CNG],TableVerdeelsleutelVkm[Voertuigtype],"Lichte voertuigen")*SUMIFS(TableECFTransport[EnergieConsumptieFactor (PJ per km)],TableECFTransport[Index],CONCATENATE($A8,"_CNG_CNG"))</f>
        <v>4.381092941846075E-4</v>
      </c>
      <c r="E8" s="425">
        <f>vkm_NGW_PW*SUMIFS(TableVerdeelsleutelVkm[LPG],TableVerdeelsleutelVkm[Voertuigtype],"Lichte voertuigen")*SUMIFS(TableECFTransport[EnergieConsumptieFactor (PJ per km)],TableECFTransport[Index],CONCATENATE($A8,"_LPG_LPG"))</f>
        <v>3.5598959518290586E-4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0.10746261896932716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4.0355930391499963E-2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8.8663389640585445E-3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2.0206987383395589E-2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3.6634979106577574E-7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1.1647845024513016E-3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9.0893252357472754E-5</v>
      </c>
      <c r="C10" s="423"/>
      <c r="D10" s="425">
        <f>vkm_SW_PW*SUMIFS(TableVerdeelsleutelVkm[CNG],TableVerdeelsleutelVkm[Voertuigtype],"Lichte voertuigen")*SUMIFS(TableECFTransport[EnergieConsumptieFactor (PJ per km)],TableECFTransport[Index],CONCATENATE($A10,"_CNG_CNG"))</f>
        <v>2.9349564004086266E-4</v>
      </c>
      <c r="E10" s="425">
        <f>vkm_SW_PW*SUMIFS(TableVerdeelsleutelVkm[LPG],TableVerdeelsleutelVkm[Voertuigtype],"Lichte voertuigen")*SUMIFS(TableECFTransport[EnergieConsumptieFactor (PJ per km)],TableECFTransport[Index],CONCATENATE($A10,"_LPG_LPG"))</f>
        <v>3.1274660755206034E-4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9.0019408504812715E-2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2.8688228437912872E-2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7.088347892947237E-3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6.1856723203043057E-2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9.4508553125741648E-7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3.5655743838743136E-3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112.05155670391876</v>
      </c>
      <c r="C14" s="21"/>
      <c r="D14" s="21">
        <f t="shared" ref="D14:M14" si="0">((D5)*10^9/3600)+D12</f>
        <v>411.0243154675689</v>
      </c>
      <c r="E14" s="21">
        <f t="shared" si="0"/>
        <v>363.46637330510464</v>
      </c>
      <c r="F14" s="21"/>
      <c r="G14" s="21">
        <f t="shared" si="0"/>
        <v>176527.67434585132</v>
      </c>
      <c r="H14" s="21">
        <f t="shared" si="0"/>
        <v>38646.565900459165</v>
      </c>
      <c r="I14" s="21"/>
      <c r="J14" s="21"/>
      <c r="K14" s="21"/>
      <c r="L14" s="21"/>
      <c r="M14" s="21">
        <f t="shared" si="0"/>
        <v>12734.169545785098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0.21048441745555174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23.585106637812064</v>
      </c>
      <c r="C18" s="23"/>
      <c r="D18" s="23">
        <f t="shared" ref="D18:M18" si="1">D14*D16</f>
        <v>83.026911724448922</v>
      </c>
      <c r="E18" s="23">
        <f t="shared" si="1"/>
        <v>82.506866740258758</v>
      </c>
      <c r="F18" s="23"/>
      <c r="G18" s="23">
        <f t="shared" si="1"/>
        <v>47132.889050342303</v>
      </c>
      <c r="H18" s="23">
        <f t="shared" si="1"/>
        <v>9622.9949092143324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1.171332971147619E-2</v>
      </c>
      <c r="H50" s="319">
        <f t="shared" si="2"/>
        <v>0</v>
      </c>
      <c r="I50" s="319">
        <f t="shared" si="2"/>
        <v>0</v>
      </c>
      <c r="J50" s="319">
        <f t="shared" si="2"/>
        <v>0</v>
      </c>
      <c r="K50" s="319">
        <f t="shared" si="2"/>
        <v>0</v>
      </c>
      <c r="L50" s="319">
        <f t="shared" si="2"/>
        <v>0</v>
      </c>
      <c r="M50" s="319">
        <f t="shared" si="2"/>
        <v>6.5092573534895751E-4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1.171332971147619E-2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6.5092573534895751E-4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3253.702697632275</v>
      </c>
      <c r="H54" s="21">
        <f t="shared" si="3"/>
        <v>0</v>
      </c>
      <c r="I54" s="21">
        <f t="shared" si="3"/>
        <v>0</v>
      </c>
      <c r="J54" s="21">
        <f t="shared" si="3"/>
        <v>0</v>
      </c>
      <c r="K54" s="21">
        <f t="shared" si="3"/>
        <v>0</v>
      </c>
      <c r="L54" s="21">
        <f t="shared" si="3"/>
        <v>0</v>
      </c>
      <c r="M54" s="21">
        <f t="shared" si="3"/>
        <v>180.8127042635993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0.21048441745555174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868.73862026781751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69990.801185999997</v>
      </c>
      <c r="D10" s="686">
        <f ca="1">tertiair!C16</f>
        <v>0</v>
      </c>
      <c r="E10" s="686">
        <f ca="1">tertiair!D16</f>
        <v>89546.213077089997</v>
      </c>
      <c r="F10" s="686">
        <f>tertiair!E16</f>
        <v>830.98487944800354</v>
      </c>
      <c r="G10" s="686">
        <f ca="1">tertiair!F16</f>
        <v>7593.8084881723107</v>
      </c>
      <c r="H10" s="686">
        <f>tertiair!G16</f>
        <v>0</v>
      </c>
      <c r="I10" s="686">
        <f>tertiair!H16</f>
        <v>0</v>
      </c>
      <c r="J10" s="686">
        <f>tertiair!I16</f>
        <v>0</v>
      </c>
      <c r="K10" s="686">
        <f>tertiair!J16</f>
        <v>7.0194551412165948E-2</v>
      </c>
      <c r="L10" s="686">
        <f>tertiair!K16</f>
        <v>0</v>
      </c>
      <c r="M10" s="686">
        <f ca="1">tertiair!L16</f>
        <v>0</v>
      </c>
      <c r="N10" s="686">
        <f>tertiair!M16</f>
        <v>0</v>
      </c>
      <c r="O10" s="686">
        <f ca="1">tertiair!N16</f>
        <v>2825.4802736413076</v>
      </c>
      <c r="P10" s="686">
        <f>tertiair!O16</f>
        <v>9.7945215316823084</v>
      </c>
      <c r="Q10" s="687">
        <f>tertiair!P16</f>
        <v>420.31310645196015</v>
      </c>
      <c r="R10" s="689">
        <f ca="1">SUM(C10:Q10)</f>
        <v>171217.46572688661</v>
      </c>
      <c r="S10" s="67"/>
    </row>
    <row r="11" spans="1:19" s="448" customFormat="1">
      <c r="A11" s="808" t="s">
        <v>224</v>
      </c>
      <c r="B11" s="813"/>
      <c r="C11" s="686">
        <f>huishoudens!B8</f>
        <v>52636.892607705209</v>
      </c>
      <c r="D11" s="686">
        <f>huishoudens!C8</f>
        <v>0</v>
      </c>
      <c r="E11" s="686">
        <f>huishoudens!D8</f>
        <v>157519.18139760001</v>
      </c>
      <c r="F11" s="686">
        <f>huishoudens!E8</f>
        <v>13598.792954048773</v>
      </c>
      <c r="G11" s="686">
        <f>huishoudens!F8</f>
        <v>35806.665499798837</v>
      </c>
      <c r="H11" s="686">
        <f>huishoudens!G8</f>
        <v>0</v>
      </c>
      <c r="I11" s="686">
        <f>huishoudens!H8</f>
        <v>0</v>
      </c>
      <c r="J11" s="686">
        <f>huishoudens!I8</f>
        <v>0</v>
      </c>
      <c r="K11" s="686">
        <f>huishoudens!J8</f>
        <v>75.063890968202955</v>
      </c>
      <c r="L11" s="686">
        <f>huishoudens!K8</f>
        <v>0</v>
      </c>
      <c r="M11" s="686">
        <f>huishoudens!L8</f>
        <v>0</v>
      </c>
      <c r="N11" s="686">
        <f>huishoudens!M8</f>
        <v>0</v>
      </c>
      <c r="O11" s="686">
        <f>huishoudens!N8</f>
        <v>10557.438803721943</v>
      </c>
      <c r="P11" s="686">
        <f>huishoudens!O8</f>
        <v>392.82372743863232</v>
      </c>
      <c r="Q11" s="687">
        <f>huishoudens!P8</f>
        <v>558.29984330730622</v>
      </c>
      <c r="R11" s="689">
        <f>SUM(C11:Q11)</f>
        <v>271145.15872458892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98810.946083999996</v>
      </c>
      <c r="D13" s="686">
        <f>industrie!C18</f>
        <v>0</v>
      </c>
      <c r="E13" s="686">
        <f>industrie!D18</f>
        <v>22382.957037892003</v>
      </c>
      <c r="F13" s="686">
        <f>industrie!E18</f>
        <v>6145.9139021748706</v>
      </c>
      <c r="G13" s="686">
        <f>industrie!F18</f>
        <v>21797.399627273116</v>
      </c>
      <c r="H13" s="686">
        <f>industrie!G18</f>
        <v>0</v>
      </c>
      <c r="I13" s="686">
        <f>industrie!H18</f>
        <v>0</v>
      </c>
      <c r="J13" s="686">
        <f>industrie!I18</f>
        <v>0</v>
      </c>
      <c r="K13" s="686">
        <f>industrie!J18</f>
        <v>2917.9167574464468</v>
      </c>
      <c r="L13" s="686">
        <f>industrie!K18</f>
        <v>0</v>
      </c>
      <c r="M13" s="686">
        <f>industrie!L18</f>
        <v>0</v>
      </c>
      <c r="N13" s="686">
        <f>industrie!M18</f>
        <v>0</v>
      </c>
      <c r="O13" s="686">
        <f>industrie!N18</f>
        <v>3651.8212651814501</v>
      </c>
      <c r="P13" s="686">
        <f>industrie!O18</f>
        <v>0</v>
      </c>
      <c r="Q13" s="687">
        <f>industrie!P18</f>
        <v>0</v>
      </c>
      <c r="R13" s="689">
        <f>SUM(C13:Q13)</f>
        <v>155706.95467396788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221438.63987770519</v>
      </c>
      <c r="D16" s="722">
        <f t="shared" ref="D16:R16" ca="1" si="0">SUM(D9:D15)</f>
        <v>0</v>
      </c>
      <c r="E16" s="722">
        <f t="shared" ca="1" si="0"/>
        <v>269448.35151258204</v>
      </c>
      <c r="F16" s="722">
        <f t="shared" si="0"/>
        <v>20575.691735671648</v>
      </c>
      <c r="G16" s="722">
        <f t="shared" ca="1" si="0"/>
        <v>65197.873615244265</v>
      </c>
      <c r="H16" s="722">
        <f t="shared" si="0"/>
        <v>0</v>
      </c>
      <c r="I16" s="722">
        <f t="shared" si="0"/>
        <v>0</v>
      </c>
      <c r="J16" s="722">
        <f t="shared" si="0"/>
        <v>0</v>
      </c>
      <c r="K16" s="722">
        <f t="shared" si="0"/>
        <v>2993.0508429660617</v>
      </c>
      <c r="L16" s="722">
        <f t="shared" si="0"/>
        <v>0</v>
      </c>
      <c r="M16" s="722">
        <f t="shared" ca="1" si="0"/>
        <v>0</v>
      </c>
      <c r="N16" s="722">
        <f t="shared" si="0"/>
        <v>0</v>
      </c>
      <c r="O16" s="722">
        <f t="shared" ca="1" si="0"/>
        <v>17034.740342544701</v>
      </c>
      <c r="P16" s="722">
        <f t="shared" si="0"/>
        <v>402.61824897031465</v>
      </c>
      <c r="Q16" s="722">
        <f t="shared" si="0"/>
        <v>978.61294975926637</v>
      </c>
      <c r="R16" s="722">
        <f t="shared" ca="1" si="0"/>
        <v>598069.57912544347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3253.702697632275</v>
      </c>
      <c r="I19" s="686">
        <f>transport!H54</f>
        <v>0</v>
      </c>
      <c r="J19" s="686">
        <f>transport!I54</f>
        <v>0</v>
      </c>
      <c r="K19" s="686">
        <f>transport!J54</f>
        <v>0</v>
      </c>
      <c r="L19" s="686">
        <f>transport!K54</f>
        <v>0</v>
      </c>
      <c r="M19" s="686">
        <f>transport!L54</f>
        <v>0</v>
      </c>
      <c r="N19" s="686">
        <f>transport!M54</f>
        <v>180.8127042635993</v>
      </c>
      <c r="O19" s="686">
        <f>transport!N54</f>
        <v>0</v>
      </c>
      <c r="P19" s="686">
        <f>transport!O54</f>
        <v>0</v>
      </c>
      <c r="Q19" s="687">
        <f>transport!P54</f>
        <v>0</v>
      </c>
      <c r="R19" s="689">
        <f>SUM(C19:Q19)</f>
        <v>3434.5154018958742</v>
      </c>
      <c r="S19" s="67"/>
    </row>
    <row r="20" spans="1:19" s="448" customFormat="1">
      <c r="A20" s="808" t="s">
        <v>306</v>
      </c>
      <c r="B20" s="813"/>
      <c r="C20" s="686">
        <f>transport!B14</f>
        <v>112.05155670391876</v>
      </c>
      <c r="D20" s="686">
        <f>transport!C14</f>
        <v>0</v>
      </c>
      <c r="E20" s="686">
        <f>transport!D14</f>
        <v>411.0243154675689</v>
      </c>
      <c r="F20" s="686">
        <f>transport!E14</f>
        <v>363.46637330510464</v>
      </c>
      <c r="G20" s="686">
        <f>transport!F14</f>
        <v>0</v>
      </c>
      <c r="H20" s="686">
        <f>transport!G14</f>
        <v>176527.67434585132</v>
      </c>
      <c r="I20" s="686">
        <f>transport!H14</f>
        <v>38646.565900459165</v>
      </c>
      <c r="J20" s="686">
        <f>transport!I14</f>
        <v>0</v>
      </c>
      <c r="K20" s="686">
        <f>transport!J14</f>
        <v>0</v>
      </c>
      <c r="L20" s="686">
        <f>transport!K14</f>
        <v>0</v>
      </c>
      <c r="M20" s="686">
        <f>transport!L14</f>
        <v>0</v>
      </c>
      <c r="N20" s="686">
        <f>transport!M14</f>
        <v>12734.169545785098</v>
      </c>
      <c r="O20" s="686">
        <f>transport!N14</f>
        <v>0</v>
      </c>
      <c r="P20" s="686">
        <f>transport!O14</f>
        <v>0</v>
      </c>
      <c r="Q20" s="687">
        <f>transport!P14</f>
        <v>0</v>
      </c>
      <c r="R20" s="689">
        <f>SUM(C20:Q20)</f>
        <v>228794.95203757216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112.05155670391876</v>
      </c>
      <c r="D22" s="811">
        <f t="shared" ref="D22:R22" si="1">SUM(D18:D21)</f>
        <v>0</v>
      </c>
      <c r="E22" s="811">
        <f t="shared" si="1"/>
        <v>411.0243154675689</v>
      </c>
      <c r="F22" s="811">
        <f t="shared" si="1"/>
        <v>363.46637330510464</v>
      </c>
      <c r="G22" s="811">
        <f t="shared" si="1"/>
        <v>0</v>
      </c>
      <c r="H22" s="811">
        <f t="shared" si="1"/>
        <v>179781.3770434836</v>
      </c>
      <c r="I22" s="811">
        <f t="shared" si="1"/>
        <v>38646.565900459165</v>
      </c>
      <c r="J22" s="811">
        <f t="shared" si="1"/>
        <v>0</v>
      </c>
      <c r="K22" s="811">
        <f t="shared" si="1"/>
        <v>0</v>
      </c>
      <c r="L22" s="811">
        <f t="shared" si="1"/>
        <v>0</v>
      </c>
      <c r="M22" s="811">
        <f t="shared" si="1"/>
        <v>0</v>
      </c>
      <c r="N22" s="811">
        <f t="shared" si="1"/>
        <v>12914.982250048697</v>
      </c>
      <c r="O22" s="811">
        <f t="shared" si="1"/>
        <v>0</v>
      </c>
      <c r="P22" s="811">
        <f t="shared" si="1"/>
        <v>0</v>
      </c>
      <c r="Q22" s="811">
        <f t="shared" si="1"/>
        <v>0</v>
      </c>
      <c r="R22" s="811">
        <f t="shared" si="1"/>
        <v>232229.46743946805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2262.8227179999999</v>
      </c>
      <c r="D24" s="686">
        <f>+landbouw!C8</f>
        <v>0</v>
      </c>
      <c r="E24" s="686">
        <f>+landbouw!D8</f>
        <v>598.45616109399998</v>
      </c>
      <c r="F24" s="686">
        <f>+landbouw!E8</f>
        <v>70.6219508419031</v>
      </c>
      <c r="G24" s="686">
        <f>+landbouw!F8</f>
        <v>7997.0661541506597</v>
      </c>
      <c r="H24" s="686">
        <f>+landbouw!G8</f>
        <v>0</v>
      </c>
      <c r="I24" s="686">
        <f>+landbouw!H8</f>
        <v>0</v>
      </c>
      <c r="J24" s="686">
        <f>+landbouw!I8</f>
        <v>0</v>
      </c>
      <c r="K24" s="686">
        <f>+landbouw!J8</f>
        <v>623.42335134702091</v>
      </c>
      <c r="L24" s="686">
        <f>+landbouw!K8</f>
        <v>0</v>
      </c>
      <c r="M24" s="686">
        <f>+landbouw!L8</f>
        <v>0</v>
      </c>
      <c r="N24" s="686">
        <f>+landbouw!M8</f>
        <v>0</v>
      </c>
      <c r="O24" s="686">
        <f>+landbouw!N8</f>
        <v>0</v>
      </c>
      <c r="P24" s="686">
        <f>+landbouw!O8</f>
        <v>0</v>
      </c>
      <c r="Q24" s="687">
        <f>+landbouw!P8</f>
        <v>0</v>
      </c>
      <c r="R24" s="689">
        <f>SUM(C24:Q24)</f>
        <v>11552.390335433583</v>
      </c>
      <c r="S24" s="67"/>
    </row>
    <row r="25" spans="1:19" s="448" customFormat="1" ht="15" thickBot="1">
      <c r="A25" s="830" t="s">
        <v>724</v>
      </c>
      <c r="B25" s="949"/>
      <c r="C25" s="950">
        <f>IF(Onbekend_ele_kWh="---",0,Onbekend_ele_kWh)/1000+IF(REST_rest_ele_kWh="---",0,REST_rest_ele_kWh)/1000</f>
        <v>2112.639075</v>
      </c>
      <c r="D25" s="950"/>
      <c r="E25" s="950">
        <f>IF(onbekend_gas_kWh="---",0,onbekend_gas_kWh)/1000+IF(REST_rest_gas_kWh="---",0,REST_rest_gas_kWh)/1000</f>
        <v>6602.4533629999996</v>
      </c>
      <c r="F25" s="950"/>
      <c r="G25" s="950"/>
      <c r="H25" s="950"/>
      <c r="I25" s="950"/>
      <c r="J25" s="950"/>
      <c r="K25" s="950"/>
      <c r="L25" s="950"/>
      <c r="M25" s="950"/>
      <c r="N25" s="950"/>
      <c r="O25" s="950"/>
      <c r="P25" s="950"/>
      <c r="Q25" s="951"/>
      <c r="R25" s="689">
        <f>SUM(C25:Q25)</f>
        <v>8715.0924379999997</v>
      </c>
      <c r="S25" s="67"/>
    </row>
    <row r="26" spans="1:19" s="448" customFormat="1" ht="15.75" thickBot="1">
      <c r="A26" s="694" t="s">
        <v>725</v>
      </c>
      <c r="B26" s="816"/>
      <c r="C26" s="811">
        <f>SUM(C24:C25)</f>
        <v>4375.4617930000004</v>
      </c>
      <c r="D26" s="811">
        <f t="shared" ref="D26:R26" si="2">SUM(D24:D25)</f>
        <v>0</v>
      </c>
      <c r="E26" s="811">
        <f t="shared" si="2"/>
        <v>7200.9095240939996</v>
      </c>
      <c r="F26" s="811">
        <f t="shared" si="2"/>
        <v>70.6219508419031</v>
      </c>
      <c r="G26" s="811">
        <f t="shared" si="2"/>
        <v>7997.0661541506597</v>
      </c>
      <c r="H26" s="811">
        <f t="shared" si="2"/>
        <v>0</v>
      </c>
      <c r="I26" s="811">
        <f t="shared" si="2"/>
        <v>0</v>
      </c>
      <c r="J26" s="811">
        <f t="shared" si="2"/>
        <v>0</v>
      </c>
      <c r="K26" s="811">
        <f t="shared" si="2"/>
        <v>623.42335134702091</v>
      </c>
      <c r="L26" s="811">
        <f t="shared" si="2"/>
        <v>0</v>
      </c>
      <c r="M26" s="811">
        <f t="shared" si="2"/>
        <v>0</v>
      </c>
      <c r="N26" s="811">
        <f t="shared" si="2"/>
        <v>0</v>
      </c>
      <c r="O26" s="811">
        <f t="shared" si="2"/>
        <v>0</v>
      </c>
      <c r="P26" s="811">
        <f t="shared" si="2"/>
        <v>0</v>
      </c>
      <c r="Q26" s="811">
        <f t="shared" si="2"/>
        <v>0</v>
      </c>
      <c r="R26" s="811">
        <f t="shared" si="2"/>
        <v>20267.482773433585</v>
      </c>
      <c r="S26" s="67"/>
    </row>
    <row r="27" spans="1:19" s="448" customFormat="1" ht="17.25" thickTop="1" thickBot="1">
      <c r="A27" s="695" t="s">
        <v>115</v>
      </c>
      <c r="B27" s="803"/>
      <c r="C27" s="696">
        <f ca="1">C22+C16+C26</f>
        <v>225926.15322740912</v>
      </c>
      <c r="D27" s="696">
        <f t="shared" ref="D27:R27" ca="1" si="3">D22+D16+D26</f>
        <v>0</v>
      </c>
      <c r="E27" s="696">
        <f t="shared" ca="1" si="3"/>
        <v>277060.28535214363</v>
      </c>
      <c r="F27" s="696">
        <f t="shared" si="3"/>
        <v>21009.780059818655</v>
      </c>
      <c r="G27" s="696">
        <f t="shared" ca="1" si="3"/>
        <v>73194.939769394929</v>
      </c>
      <c r="H27" s="696">
        <f t="shared" si="3"/>
        <v>179781.3770434836</v>
      </c>
      <c r="I27" s="696">
        <f t="shared" si="3"/>
        <v>38646.565900459165</v>
      </c>
      <c r="J27" s="696">
        <f t="shared" si="3"/>
        <v>0</v>
      </c>
      <c r="K27" s="696">
        <f t="shared" si="3"/>
        <v>3616.4741943130825</v>
      </c>
      <c r="L27" s="696">
        <f t="shared" si="3"/>
        <v>0</v>
      </c>
      <c r="M27" s="696">
        <f t="shared" ca="1" si="3"/>
        <v>0</v>
      </c>
      <c r="N27" s="696">
        <f t="shared" si="3"/>
        <v>12914.982250048697</v>
      </c>
      <c r="O27" s="696">
        <f t="shared" ca="1" si="3"/>
        <v>17034.740342544701</v>
      </c>
      <c r="P27" s="696">
        <f t="shared" si="3"/>
        <v>402.61824897031465</v>
      </c>
      <c r="Q27" s="696">
        <f t="shared" si="3"/>
        <v>978.61294975926637</v>
      </c>
      <c r="R27" s="696">
        <f t="shared" ca="1" si="3"/>
        <v>850566.52933834505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14731.973014882549</v>
      </c>
      <c r="D40" s="686">
        <f ca="1">tertiair!C20</f>
        <v>0</v>
      </c>
      <c r="E40" s="686">
        <f ca="1">tertiair!D20</f>
        <v>18088.33504157218</v>
      </c>
      <c r="F40" s="686">
        <f>tertiair!E20</f>
        <v>188.63356763469682</v>
      </c>
      <c r="G40" s="686">
        <f ca="1">tertiair!F20</f>
        <v>2027.546866342007</v>
      </c>
      <c r="H40" s="686">
        <f>tertiair!G20</f>
        <v>0</v>
      </c>
      <c r="I40" s="686">
        <f>tertiair!H20</f>
        <v>0</v>
      </c>
      <c r="J40" s="686">
        <f>tertiair!I20</f>
        <v>0</v>
      </c>
      <c r="K40" s="686">
        <f>tertiair!J20</f>
        <v>2.4848871199906745E-2</v>
      </c>
      <c r="L40" s="686">
        <f>tertiair!K20</f>
        <v>0</v>
      </c>
      <c r="M40" s="686">
        <f ca="1">tertiair!L20</f>
        <v>0</v>
      </c>
      <c r="N40" s="686">
        <f>tertiair!M20</f>
        <v>0</v>
      </c>
      <c r="O40" s="686">
        <f ca="1">tertiair!N20</f>
        <v>0</v>
      </c>
      <c r="P40" s="686">
        <f>tertiair!O20</f>
        <v>0</v>
      </c>
      <c r="Q40" s="769">
        <f>tertiair!P20</f>
        <v>0</v>
      </c>
      <c r="R40" s="849">
        <f t="shared" ca="1" si="4"/>
        <v>35036.513339302626</v>
      </c>
    </row>
    <row r="41" spans="1:18">
      <c r="A41" s="821" t="s">
        <v>224</v>
      </c>
      <c r="B41" s="828"/>
      <c r="C41" s="686">
        <f ca="1">huishoudens!B12</f>
        <v>11079.245677203269</v>
      </c>
      <c r="D41" s="686">
        <f ca="1">huishoudens!C12</f>
        <v>0</v>
      </c>
      <c r="E41" s="686">
        <f>huishoudens!D12</f>
        <v>31818.874642315204</v>
      </c>
      <c r="F41" s="686">
        <f>huishoudens!E12</f>
        <v>3086.9260005690717</v>
      </c>
      <c r="G41" s="686">
        <f>huishoudens!F12</f>
        <v>9560.3796884462899</v>
      </c>
      <c r="H41" s="686">
        <f>huishoudens!G12</f>
        <v>0</v>
      </c>
      <c r="I41" s="686">
        <f>huishoudens!H12</f>
        <v>0</v>
      </c>
      <c r="J41" s="686">
        <f>huishoudens!I12</f>
        <v>0</v>
      </c>
      <c r="K41" s="686">
        <f>huishoudens!J12</f>
        <v>26.572617402743845</v>
      </c>
      <c r="L41" s="686">
        <f>huishoudens!K12</f>
        <v>0</v>
      </c>
      <c r="M41" s="686">
        <f>huishoudens!L12</f>
        <v>0</v>
      </c>
      <c r="N41" s="686">
        <f>huishoudens!M12</f>
        <v>0</v>
      </c>
      <c r="O41" s="686">
        <f>huishoudens!N12</f>
        <v>0</v>
      </c>
      <c r="P41" s="686">
        <f>huishoudens!O12</f>
        <v>0</v>
      </c>
      <c r="Q41" s="769">
        <f>huishoudens!P12</f>
        <v>0</v>
      </c>
      <c r="R41" s="849">
        <f t="shared" ca="1" si="4"/>
        <v>55571.998625936576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20798.164424722672</v>
      </c>
      <c r="D43" s="686">
        <f ca="1">industrie!C22</f>
        <v>0</v>
      </c>
      <c r="E43" s="686">
        <f>industrie!D22</f>
        <v>4521.3573216541854</v>
      </c>
      <c r="F43" s="686">
        <f>industrie!E22</f>
        <v>1395.1224557936957</v>
      </c>
      <c r="G43" s="686">
        <f>industrie!F22</f>
        <v>5819.9057004819224</v>
      </c>
      <c r="H43" s="686">
        <f>industrie!G22</f>
        <v>0</v>
      </c>
      <c r="I43" s="686">
        <f>industrie!H22</f>
        <v>0</v>
      </c>
      <c r="J43" s="686">
        <f>industrie!I22</f>
        <v>0</v>
      </c>
      <c r="K43" s="686">
        <f>industrie!J22</f>
        <v>1032.942532136042</v>
      </c>
      <c r="L43" s="686">
        <f>industrie!K22</f>
        <v>0</v>
      </c>
      <c r="M43" s="686">
        <f>industrie!L22</f>
        <v>0</v>
      </c>
      <c r="N43" s="686">
        <f>industrie!M22</f>
        <v>0</v>
      </c>
      <c r="O43" s="686">
        <f>industrie!N22</f>
        <v>0</v>
      </c>
      <c r="P43" s="686">
        <f>industrie!O22</f>
        <v>0</v>
      </c>
      <c r="Q43" s="769">
        <f>industrie!P22</f>
        <v>0</v>
      </c>
      <c r="R43" s="848">
        <f t="shared" ca="1" si="4"/>
        <v>33567.492434788517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46609.383116808487</v>
      </c>
      <c r="D46" s="722">
        <f t="shared" ref="D46:Q46" ca="1" si="5">SUM(D39:D45)</f>
        <v>0</v>
      </c>
      <c r="E46" s="722">
        <f t="shared" ca="1" si="5"/>
        <v>54428.567005541569</v>
      </c>
      <c r="F46" s="722">
        <f t="shared" si="5"/>
        <v>4670.6820239974641</v>
      </c>
      <c r="G46" s="722">
        <f t="shared" ca="1" si="5"/>
        <v>17407.832255270219</v>
      </c>
      <c r="H46" s="722">
        <f t="shared" si="5"/>
        <v>0</v>
      </c>
      <c r="I46" s="722">
        <f t="shared" si="5"/>
        <v>0</v>
      </c>
      <c r="J46" s="722">
        <f t="shared" si="5"/>
        <v>0</v>
      </c>
      <c r="K46" s="722">
        <f t="shared" si="5"/>
        <v>1059.5399984099859</v>
      </c>
      <c r="L46" s="722">
        <f t="shared" si="5"/>
        <v>0</v>
      </c>
      <c r="M46" s="722">
        <f t="shared" ca="1" si="5"/>
        <v>0</v>
      </c>
      <c r="N46" s="722">
        <f t="shared" si="5"/>
        <v>0</v>
      </c>
      <c r="O46" s="722">
        <f t="shared" ca="1" si="5"/>
        <v>0</v>
      </c>
      <c r="P46" s="722">
        <f t="shared" si="5"/>
        <v>0</v>
      </c>
      <c r="Q46" s="722">
        <f t="shared" si="5"/>
        <v>0</v>
      </c>
      <c r="R46" s="722">
        <f ca="1">SUM(R39:R45)</f>
        <v>124176.00440002771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868.73862026781751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868.73862026781751</v>
      </c>
    </row>
    <row r="50" spans="1:18">
      <c r="A50" s="824" t="s">
        <v>306</v>
      </c>
      <c r="B50" s="834"/>
      <c r="C50" s="692">
        <f ca="1">transport!B18</f>
        <v>23.585106637812064</v>
      </c>
      <c r="D50" s="692">
        <f>transport!C18</f>
        <v>0</v>
      </c>
      <c r="E50" s="692">
        <f>transport!D18</f>
        <v>83.026911724448922</v>
      </c>
      <c r="F50" s="692">
        <f>transport!E18</f>
        <v>82.506866740258758</v>
      </c>
      <c r="G50" s="692">
        <f>transport!F18</f>
        <v>0</v>
      </c>
      <c r="H50" s="692">
        <f>transport!G18</f>
        <v>47132.889050342303</v>
      </c>
      <c r="I50" s="692">
        <f>transport!H18</f>
        <v>9622.9949092143324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56945.00284465916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23.585106637812064</v>
      </c>
      <c r="D52" s="722">
        <f t="shared" ref="D52:Q52" ca="1" si="6">SUM(D48:D51)</f>
        <v>0</v>
      </c>
      <c r="E52" s="722">
        <f t="shared" si="6"/>
        <v>83.026911724448922</v>
      </c>
      <c r="F52" s="722">
        <f t="shared" si="6"/>
        <v>82.506866740258758</v>
      </c>
      <c r="G52" s="722">
        <f t="shared" si="6"/>
        <v>0</v>
      </c>
      <c r="H52" s="722">
        <f t="shared" si="6"/>
        <v>48001.62767061012</v>
      </c>
      <c r="I52" s="722">
        <f t="shared" si="6"/>
        <v>9622.9949092143324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57813.741464926978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476.2889216034182</v>
      </c>
      <c r="D54" s="692">
        <f ca="1">+landbouw!C12</f>
        <v>0</v>
      </c>
      <c r="E54" s="692">
        <f>+landbouw!D12</f>
        <v>120.88814454098801</v>
      </c>
      <c r="F54" s="692">
        <f>+landbouw!E12</f>
        <v>16.031182841112003</v>
      </c>
      <c r="G54" s="692">
        <f>+landbouw!F12</f>
        <v>2135.2166631582263</v>
      </c>
      <c r="H54" s="692">
        <f>+landbouw!G12</f>
        <v>0</v>
      </c>
      <c r="I54" s="692">
        <f>+landbouw!H12</f>
        <v>0</v>
      </c>
      <c r="J54" s="692">
        <f>+landbouw!I12</f>
        <v>0</v>
      </c>
      <c r="K54" s="692">
        <f>+landbouw!J12</f>
        <v>220.69186637684538</v>
      </c>
      <c r="L54" s="692">
        <f>+landbouw!K12</f>
        <v>0</v>
      </c>
      <c r="M54" s="692">
        <f>+landbouw!L12</f>
        <v>0</v>
      </c>
      <c r="N54" s="692">
        <f>+landbouw!M12</f>
        <v>0</v>
      </c>
      <c r="O54" s="692">
        <f>+landbouw!N12</f>
        <v>0</v>
      </c>
      <c r="P54" s="692">
        <f>+landbouw!O12</f>
        <v>0</v>
      </c>
      <c r="Q54" s="693">
        <f>+landbouw!P12</f>
        <v>0</v>
      </c>
      <c r="R54" s="721">
        <f ca="1">SUM(C54:Q54)</f>
        <v>2969.1167785205898</v>
      </c>
    </row>
    <row r="55" spans="1:18" ht="15" thickBot="1">
      <c r="A55" s="824" t="s">
        <v>724</v>
      </c>
      <c r="B55" s="834"/>
      <c r="C55" s="692">
        <f ca="1">C25*'EF ele_warmte'!B12</f>
        <v>444.67760499521069</v>
      </c>
      <c r="D55" s="692"/>
      <c r="E55" s="692">
        <f>E25*EF_CO2_aardgas</f>
        <v>1333.6955793259999</v>
      </c>
      <c r="F55" s="692"/>
      <c r="G55" s="692"/>
      <c r="H55" s="692"/>
      <c r="I55" s="692"/>
      <c r="J55" s="692"/>
      <c r="K55" s="692"/>
      <c r="L55" s="692"/>
      <c r="M55" s="692"/>
      <c r="N55" s="692"/>
      <c r="O55" s="692"/>
      <c r="P55" s="692"/>
      <c r="Q55" s="693"/>
      <c r="R55" s="721">
        <f ca="1">SUM(C55:Q55)</f>
        <v>1778.3731843212106</v>
      </c>
    </row>
    <row r="56" spans="1:18" ht="15.75" thickBot="1">
      <c r="A56" s="822" t="s">
        <v>725</v>
      </c>
      <c r="B56" s="835"/>
      <c r="C56" s="722">
        <f ca="1">SUM(C54:C55)</f>
        <v>920.96652659862889</v>
      </c>
      <c r="D56" s="722">
        <f t="shared" ref="D56:Q56" ca="1" si="7">SUM(D54:D55)</f>
        <v>0</v>
      </c>
      <c r="E56" s="722">
        <f t="shared" si="7"/>
        <v>1454.5837238669878</v>
      </c>
      <c r="F56" s="722">
        <f t="shared" si="7"/>
        <v>16.031182841112003</v>
      </c>
      <c r="G56" s="722">
        <f t="shared" si="7"/>
        <v>2135.2166631582263</v>
      </c>
      <c r="H56" s="722">
        <f t="shared" si="7"/>
        <v>0</v>
      </c>
      <c r="I56" s="722">
        <f t="shared" si="7"/>
        <v>0</v>
      </c>
      <c r="J56" s="722">
        <f t="shared" si="7"/>
        <v>0</v>
      </c>
      <c r="K56" s="722">
        <f t="shared" si="7"/>
        <v>220.69186637684538</v>
      </c>
      <c r="L56" s="722">
        <f t="shared" si="7"/>
        <v>0</v>
      </c>
      <c r="M56" s="722">
        <f t="shared" si="7"/>
        <v>0</v>
      </c>
      <c r="N56" s="722">
        <f t="shared" si="7"/>
        <v>0</v>
      </c>
      <c r="O56" s="722">
        <f t="shared" si="7"/>
        <v>0</v>
      </c>
      <c r="P56" s="722">
        <f t="shared" si="7"/>
        <v>0</v>
      </c>
      <c r="Q56" s="723">
        <f t="shared" si="7"/>
        <v>0</v>
      </c>
      <c r="R56" s="724">
        <f ca="1">SUM(R54:R55)</f>
        <v>4747.4899628418007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47553.934750044922</v>
      </c>
      <c r="D61" s="730">
        <f t="shared" ref="D61:Q61" ca="1" si="8">D46+D52+D56</f>
        <v>0</v>
      </c>
      <c r="E61" s="730">
        <f t="shared" ca="1" si="8"/>
        <v>55966.177641132999</v>
      </c>
      <c r="F61" s="730">
        <f t="shared" si="8"/>
        <v>4769.2200735788347</v>
      </c>
      <c r="G61" s="730">
        <f t="shared" ca="1" si="8"/>
        <v>19543.048918428445</v>
      </c>
      <c r="H61" s="730">
        <f t="shared" si="8"/>
        <v>48001.62767061012</v>
      </c>
      <c r="I61" s="730">
        <f t="shared" si="8"/>
        <v>9622.9949092143324</v>
      </c>
      <c r="J61" s="730">
        <f t="shared" si="8"/>
        <v>0</v>
      </c>
      <c r="K61" s="730">
        <f t="shared" si="8"/>
        <v>1280.2318647868312</v>
      </c>
      <c r="L61" s="730">
        <f t="shared" si="8"/>
        <v>0</v>
      </c>
      <c r="M61" s="730">
        <f t="shared" ca="1" si="8"/>
        <v>0</v>
      </c>
      <c r="N61" s="730">
        <f t="shared" si="8"/>
        <v>0</v>
      </c>
      <c r="O61" s="730">
        <f t="shared" ca="1" si="8"/>
        <v>0</v>
      </c>
      <c r="P61" s="730">
        <f t="shared" si="8"/>
        <v>0</v>
      </c>
      <c r="Q61" s="730">
        <f t="shared" si="8"/>
        <v>0</v>
      </c>
      <c r="R61" s="730">
        <f ca="1">R46+R52+R56</f>
        <v>186737.23582779648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0.21048441745555171</v>
      </c>
      <c r="D63" s="776">
        <f t="shared" ca="1" si="9"/>
        <v>0</v>
      </c>
      <c r="E63" s="975">
        <f t="shared" ca="1" si="9"/>
        <v>0.20199999999999996</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10749.977887839297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10749.977887839297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10749.977887839297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10749.977887839297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52636.892607705209</v>
      </c>
      <c r="C4" s="452">
        <f>huishoudens!C8</f>
        <v>0</v>
      </c>
      <c r="D4" s="452">
        <f>huishoudens!D8</f>
        <v>157519.18139760001</v>
      </c>
      <c r="E4" s="452">
        <f>huishoudens!E8</f>
        <v>13598.792954048773</v>
      </c>
      <c r="F4" s="452">
        <f>huishoudens!F8</f>
        <v>35806.665499798837</v>
      </c>
      <c r="G4" s="452">
        <f>huishoudens!G8</f>
        <v>0</v>
      </c>
      <c r="H4" s="452">
        <f>huishoudens!H8</f>
        <v>0</v>
      </c>
      <c r="I4" s="452">
        <f>huishoudens!I8</f>
        <v>0</v>
      </c>
      <c r="J4" s="452">
        <f>huishoudens!J8</f>
        <v>75.063890968202955</v>
      </c>
      <c r="K4" s="452">
        <f>huishoudens!K8</f>
        <v>0</v>
      </c>
      <c r="L4" s="452">
        <f>huishoudens!L8</f>
        <v>0</v>
      </c>
      <c r="M4" s="452">
        <f>huishoudens!M8</f>
        <v>0</v>
      </c>
      <c r="N4" s="452">
        <f>huishoudens!N8</f>
        <v>10557.438803721943</v>
      </c>
      <c r="O4" s="452">
        <f>huishoudens!O8</f>
        <v>392.82372743863232</v>
      </c>
      <c r="P4" s="453">
        <f>huishoudens!P8</f>
        <v>558.29984330730622</v>
      </c>
      <c r="Q4" s="454">
        <f>SUM(B4:P4)</f>
        <v>271145.15872458892</v>
      </c>
    </row>
    <row r="5" spans="1:17">
      <c r="A5" s="451" t="s">
        <v>155</v>
      </c>
      <c r="B5" s="452">
        <f ca="1">tertiair!B16</f>
        <v>67644.730186000001</v>
      </c>
      <c r="C5" s="452">
        <f ca="1">tertiair!C16</f>
        <v>0</v>
      </c>
      <c r="D5" s="452">
        <f ca="1">tertiair!D16</f>
        <v>89546.213077089997</v>
      </c>
      <c r="E5" s="452">
        <f>tertiair!E16</f>
        <v>830.98487944800354</v>
      </c>
      <c r="F5" s="452">
        <f ca="1">tertiair!F16</f>
        <v>7593.8084881723107</v>
      </c>
      <c r="G5" s="452">
        <f>tertiair!G16</f>
        <v>0</v>
      </c>
      <c r="H5" s="452">
        <f>tertiair!H16</f>
        <v>0</v>
      </c>
      <c r="I5" s="452">
        <f>tertiair!I16</f>
        <v>0</v>
      </c>
      <c r="J5" s="452">
        <f>tertiair!J16</f>
        <v>7.0194551412165948E-2</v>
      </c>
      <c r="K5" s="452">
        <f>tertiair!K16</f>
        <v>0</v>
      </c>
      <c r="L5" s="452">
        <f ca="1">tertiair!L16</f>
        <v>0</v>
      </c>
      <c r="M5" s="452">
        <f>tertiair!M16</f>
        <v>0</v>
      </c>
      <c r="N5" s="452">
        <f ca="1">tertiair!N16</f>
        <v>2825.4802736413076</v>
      </c>
      <c r="O5" s="452">
        <f>tertiair!O16</f>
        <v>9.7945215316823084</v>
      </c>
      <c r="P5" s="453">
        <f>tertiair!P16</f>
        <v>420.31310645196015</v>
      </c>
      <c r="Q5" s="451">
        <f t="shared" ref="Q5:Q14" ca="1" si="0">SUM(B5:P5)</f>
        <v>168871.39472688662</v>
      </c>
    </row>
    <row r="6" spans="1:17">
      <c r="A6" s="451" t="s">
        <v>193</v>
      </c>
      <c r="B6" s="452">
        <f>'openbare verlichting'!B8</f>
        <v>2346.0709999999999</v>
      </c>
      <c r="C6" s="452"/>
      <c r="D6" s="452"/>
      <c r="E6" s="452"/>
      <c r="F6" s="452"/>
      <c r="G6" s="452"/>
      <c r="H6" s="452"/>
      <c r="I6" s="452"/>
      <c r="J6" s="452"/>
      <c r="K6" s="452"/>
      <c r="L6" s="452"/>
      <c r="M6" s="452"/>
      <c r="N6" s="452"/>
      <c r="O6" s="452"/>
      <c r="P6" s="453"/>
      <c r="Q6" s="451">
        <f t="shared" si="0"/>
        <v>2346.0709999999999</v>
      </c>
    </row>
    <row r="7" spans="1:17">
      <c r="A7" s="451" t="s">
        <v>111</v>
      </c>
      <c r="B7" s="452">
        <f>landbouw!B8</f>
        <v>2262.8227179999999</v>
      </c>
      <c r="C7" s="452">
        <f>landbouw!C8</f>
        <v>0</v>
      </c>
      <c r="D7" s="452">
        <f>landbouw!D8</f>
        <v>598.45616109399998</v>
      </c>
      <c r="E7" s="452">
        <f>landbouw!E8</f>
        <v>70.6219508419031</v>
      </c>
      <c r="F7" s="452">
        <f>landbouw!F8</f>
        <v>7997.0661541506597</v>
      </c>
      <c r="G7" s="452">
        <f>landbouw!G8</f>
        <v>0</v>
      </c>
      <c r="H7" s="452">
        <f>landbouw!H8</f>
        <v>0</v>
      </c>
      <c r="I7" s="452">
        <f>landbouw!I8</f>
        <v>0</v>
      </c>
      <c r="J7" s="452">
        <f>landbouw!J8</f>
        <v>623.42335134702091</v>
      </c>
      <c r="K7" s="452">
        <f>landbouw!K8</f>
        <v>0</v>
      </c>
      <c r="L7" s="452">
        <f>landbouw!L8</f>
        <v>0</v>
      </c>
      <c r="M7" s="452">
        <f>landbouw!M8</f>
        <v>0</v>
      </c>
      <c r="N7" s="452">
        <f>landbouw!N8</f>
        <v>0</v>
      </c>
      <c r="O7" s="452">
        <f>landbouw!O8</f>
        <v>0</v>
      </c>
      <c r="P7" s="453">
        <f>landbouw!P8</f>
        <v>0</v>
      </c>
      <c r="Q7" s="451">
        <f t="shared" si="0"/>
        <v>11552.390335433583</v>
      </c>
    </row>
    <row r="8" spans="1:17">
      <c r="A8" s="451" t="s">
        <v>625</v>
      </c>
      <c r="B8" s="452">
        <f>industrie!B18</f>
        <v>98810.946083999996</v>
      </c>
      <c r="C8" s="452">
        <f>industrie!C18</f>
        <v>0</v>
      </c>
      <c r="D8" s="452">
        <f>industrie!D18</f>
        <v>22382.957037892003</v>
      </c>
      <c r="E8" s="452">
        <f>industrie!E18</f>
        <v>6145.9139021748706</v>
      </c>
      <c r="F8" s="452">
        <f>industrie!F18</f>
        <v>21797.399627273116</v>
      </c>
      <c r="G8" s="452">
        <f>industrie!G18</f>
        <v>0</v>
      </c>
      <c r="H8" s="452">
        <f>industrie!H18</f>
        <v>0</v>
      </c>
      <c r="I8" s="452">
        <f>industrie!I18</f>
        <v>0</v>
      </c>
      <c r="J8" s="452">
        <f>industrie!J18</f>
        <v>2917.9167574464468</v>
      </c>
      <c r="K8" s="452">
        <f>industrie!K18</f>
        <v>0</v>
      </c>
      <c r="L8" s="452">
        <f>industrie!L18</f>
        <v>0</v>
      </c>
      <c r="M8" s="452">
        <f>industrie!M18</f>
        <v>0</v>
      </c>
      <c r="N8" s="452">
        <f>industrie!N18</f>
        <v>3651.8212651814501</v>
      </c>
      <c r="O8" s="452">
        <f>industrie!O18</f>
        <v>0</v>
      </c>
      <c r="P8" s="453">
        <f>industrie!P18</f>
        <v>0</v>
      </c>
      <c r="Q8" s="451">
        <f t="shared" si="0"/>
        <v>155706.95467396788</v>
      </c>
    </row>
    <row r="9" spans="1:17" s="457" customFormat="1">
      <c r="A9" s="455" t="s">
        <v>551</v>
      </c>
      <c r="B9" s="456">
        <f>transport!B14</f>
        <v>112.05155670391876</v>
      </c>
      <c r="C9" s="456">
        <f>transport!C14</f>
        <v>0</v>
      </c>
      <c r="D9" s="456">
        <f>transport!D14</f>
        <v>411.0243154675689</v>
      </c>
      <c r="E9" s="456">
        <f>transport!E14</f>
        <v>363.46637330510464</v>
      </c>
      <c r="F9" s="456">
        <f>transport!F14</f>
        <v>0</v>
      </c>
      <c r="G9" s="456">
        <f>transport!G14</f>
        <v>176527.67434585132</v>
      </c>
      <c r="H9" s="456">
        <f>transport!H14</f>
        <v>38646.565900459165</v>
      </c>
      <c r="I9" s="456">
        <f>transport!I14</f>
        <v>0</v>
      </c>
      <c r="J9" s="456">
        <f>transport!J14</f>
        <v>0</v>
      </c>
      <c r="K9" s="456">
        <f>transport!K14</f>
        <v>0</v>
      </c>
      <c r="L9" s="456">
        <f>transport!L14</f>
        <v>0</v>
      </c>
      <c r="M9" s="456">
        <f>transport!M14</f>
        <v>12734.169545785098</v>
      </c>
      <c r="N9" s="456">
        <f>transport!N14</f>
        <v>0</v>
      </c>
      <c r="O9" s="456">
        <f>transport!O14</f>
        <v>0</v>
      </c>
      <c r="P9" s="456">
        <f>transport!P14</f>
        <v>0</v>
      </c>
      <c r="Q9" s="455">
        <f>SUM(B9:P9)</f>
        <v>228794.95203757216</v>
      </c>
    </row>
    <row r="10" spans="1:17">
      <c r="A10" s="451" t="s">
        <v>541</v>
      </c>
      <c r="B10" s="452">
        <f>transport!B54</f>
        <v>0</v>
      </c>
      <c r="C10" s="452">
        <f>transport!C54</f>
        <v>0</v>
      </c>
      <c r="D10" s="452">
        <f>transport!D54</f>
        <v>0</v>
      </c>
      <c r="E10" s="452">
        <f>transport!E54</f>
        <v>0</v>
      </c>
      <c r="F10" s="452">
        <f>transport!F54</f>
        <v>0</v>
      </c>
      <c r="G10" s="452">
        <f>transport!G54</f>
        <v>3253.702697632275</v>
      </c>
      <c r="H10" s="452">
        <f>transport!H54</f>
        <v>0</v>
      </c>
      <c r="I10" s="452">
        <f>transport!I54</f>
        <v>0</v>
      </c>
      <c r="J10" s="452">
        <f>transport!J54</f>
        <v>0</v>
      </c>
      <c r="K10" s="452">
        <f>transport!K54</f>
        <v>0</v>
      </c>
      <c r="L10" s="452">
        <f>transport!L54</f>
        <v>0</v>
      </c>
      <c r="M10" s="452">
        <f>transport!M54</f>
        <v>180.8127042635993</v>
      </c>
      <c r="N10" s="452">
        <f>transport!N54</f>
        <v>0</v>
      </c>
      <c r="O10" s="452">
        <f>transport!O54</f>
        <v>0</v>
      </c>
      <c r="P10" s="453">
        <f>transport!P54</f>
        <v>0</v>
      </c>
      <c r="Q10" s="451">
        <f t="shared" si="0"/>
        <v>3434.5154018958742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2112.639075</v>
      </c>
      <c r="C14" s="459"/>
      <c r="D14" s="459">
        <f>'SEAP template'!E25</f>
        <v>6602.4533629999996</v>
      </c>
      <c r="E14" s="459"/>
      <c r="F14" s="459"/>
      <c r="G14" s="459"/>
      <c r="H14" s="459"/>
      <c r="I14" s="459"/>
      <c r="J14" s="459"/>
      <c r="K14" s="459"/>
      <c r="L14" s="459"/>
      <c r="M14" s="459"/>
      <c r="N14" s="459"/>
      <c r="O14" s="459"/>
      <c r="P14" s="460"/>
      <c r="Q14" s="451">
        <f t="shared" si="0"/>
        <v>8715.0924379999997</v>
      </c>
    </row>
    <row r="15" spans="1:17" s="463" customFormat="1">
      <c r="A15" s="461" t="s">
        <v>545</v>
      </c>
      <c r="B15" s="462">
        <f ca="1">SUM(B4:B14)</f>
        <v>225926.15322740912</v>
      </c>
      <c r="C15" s="462">
        <f t="shared" ref="C15:Q15" ca="1" si="1">SUM(C4:C14)</f>
        <v>0</v>
      </c>
      <c r="D15" s="462">
        <f t="shared" ca="1" si="1"/>
        <v>277060.28535214363</v>
      </c>
      <c r="E15" s="462">
        <f t="shared" si="1"/>
        <v>21009.780059818659</v>
      </c>
      <c r="F15" s="462">
        <f t="shared" ca="1" si="1"/>
        <v>73194.939769394929</v>
      </c>
      <c r="G15" s="462">
        <f t="shared" si="1"/>
        <v>179781.3770434836</v>
      </c>
      <c r="H15" s="462">
        <f t="shared" si="1"/>
        <v>38646.565900459165</v>
      </c>
      <c r="I15" s="462">
        <f t="shared" si="1"/>
        <v>0</v>
      </c>
      <c r="J15" s="462">
        <f t="shared" si="1"/>
        <v>3616.474194313083</v>
      </c>
      <c r="K15" s="462">
        <f t="shared" si="1"/>
        <v>0</v>
      </c>
      <c r="L15" s="462">
        <f t="shared" ca="1" si="1"/>
        <v>0</v>
      </c>
      <c r="M15" s="462">
        <f t="shared" si="1"/>
        <v>12914.982250048697</v>
      </c>
      <c r="N15" s="462">
        <f t="shared" ca="1" si="1"/>
        <v>17034.740342544701</v>
      </c>
      <c r="O15" s="462">
        <f t="shared" si="1"/>
        <v>402.61824897031465</v>
      </c>
      <c r="P15" s="462">
        <f t="shared" si="1"/>
        <v>978.61294975926637</v>
      </c>
      <c r="Q15" s="462">
        <f t="shared" ca="1" si="1"/>
        <v>850566.52933834505</v>
      </c>
    </row>
    <row r="17" spans="1:17">
      <c r="A17" s="464" t="s">
        <v>546</v>
      </c>
      <c r="B17" s="781">
        <f ca="1">huishoudens!B10</f>
        <v>0.21048441745555174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11079.245677203269</v>
      </c>
      <c r="C22" s="452">
        <f t="shared" ref="C22:C32" ca="1" si="3">C4*$C$17</f>
        <v>0</v>
      </c>
      <c r="D22" s="452">
        <f t="shared" ref="D22:D32" si="4">D4*$D$17</f>
        <v>31818.874642315204</v>
      </c>
      <c r="E22" s="452">
        <f t="shared" ref="E22:E32" si="5">E4*$E$17</f>
        <v>3086.9260005690717</v>
      </c>
      <c r="F22" s="452">
        <f t="shared" ref="F22:F32" si="6">F4*$F$17</f>
        <v>9560.3796884462899</v>
      </c>
      <c r="G22" s="452">
        <f t="shared" ref="G22:G32" si="7">G4*$G$17</f>
        <v>0</v>
      </c>
      <c r="H22" s="452">
        <f t="shared" ref="H22:H32" si="8">H4*$H$17</f>
        <v>0</v>
      </c>
      <c r="I22" s="452">
        <f t="shared" ref="I22:I32" si="9">I4*$I$17</f>
        <v>0</v>
      </c>
      <c r="J22" s="452">
        <f t="shared" ref="J22:J32" si="10">J4*$J$17</f>
        <v>26.572617402743845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55571.998625936576</v>
      </c>
    </row>
    <row r="23" spans="1:17">
      <c r="A23" s="451" t="s">
        <v>155</v>
      </c>
      <c r="B23" s="452">
        <f t="shared" ca="1" si="2"/>
        <v>14238.161627138186</v>
      </c>
      <c r="C23" s="452">
        <f t="shared" ca="1" si="3"/>
        <v>0</v>
      </c>
      <c r="D23" s="452">
        <f t="shared" ca="1" si="4"/>
        <v>18088.33504157218</v>
      </c>
      <c r="E23" s="452">
        <f t="shared" si="5"/>
        <v>188.63356763469682</v>
      </c>
      <c r="F23" s="452">
        <f t="shared" ca="1" si="6"/>
        <v>2027.546866342007</v>
      </c>
      <c r="G23" s="452">
        <f t="shared" si="7"/>
        <v>0</v>
      </c>
      <c r="H23" s="452">
        <f t="shared" si="8"/>
        <v>0</v>
      </c>
      <c r="I23" s="452">
        <f t="shared" si="9"/>
        <v>0</v>
      </c>
      <c r="J23" s="452">
        <f t="shared" si="10"/>
        <v>2.4848871199906745E-2</v>
      </c>
      <c r="K23" s="452">
        <f t="shared" si="11"/>
        <v>0</v>
      </c>
      <c r="L23" s="452">
        <f t="shared" ca="1" si="12"/>
        <v>0</v>
      </c>
      <c r="M23" s="452">
        <f t="shared" si="13"/>
        <v>0</v>
      </c>
      <c r="N23" s="452">
        <f t="shared" ca="1" si="14"/>
        <v>0</v>
      </c>
      <c r="O23" s="452">
        <f t="shared" si="15"/>
        <v>0</v>
      </c>
      <c r="P23" s="453">
        <f t="shared" si="16"/>
        <v>0</v>
      </c>
      <c r="Q23" s="451">
        <f t="shared" ref="Q23:Q31" ca="1" si="17">SUM(B23:P23)</f>
        <v>34542.701951558272</v>
      </c>
    </row>
    <row r="24" spans="1:17">
      <c r="A24" s="451" t="s">
        <v>193</v>
      </c>
      <c r="B24" s="452">
        <f t="shared" ca="1" si="2"/>
        <v>493.81138774436369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493.81138774436369</v>
      </c>
    </row>
    <row r="25" spans="1:17">
      <c r="A25" s="451" t="s">
        <v>111</v>
      </c>
      <c r="B25" s="452">
        <f t="shared" ca="1" si="2"/>
        <v>476.2889216034182</v>
      </c>
      <c r="C25" s="452">
        <f t="shared" ca="1" si="3"/>
        <v>0</v>
      </c>
      <c r="D25" s="452">
        <f t="shared" si="4"/>
        <v>120.88814454098801</v>
      </c>
      <c r="E25" s="452">
        <f t="shared" si="5"/>
        <v>16.031182841112003</v>
      </c>
      <c r="F25" s="452">
        <f t="shared" si="6"/>
        <v>2135.2166631582263</v>
      </c>
      <c r="G25" s="452">
        <f t="shared" si="7"/>
        <v>0</v>
      </c>
      <c r="H25" s="452">
        <f t="shared" si="8"/>
        <v>0</v>
      </c>
      <c r="I25" s="452">
        <f t="shared" si="9"/>
        <v>0</v>
      </c>
      <c r="J25" s="452">
        <f t="shared" si="10"/>
        <v>220.69186637684538</v>
      </c>
      <c r="K25" s="452">
        <f t="shared" si="11"/>
        <v>0</v>
      </c>
      <c r="L25" s="452">
        <f t="shared" si="12"/>
        <v>0</v>
      </c>
      <c r="M25" s="452">
        <f t="shared" si="13"/>
        <v>0</v>
      </c>
      <c r="N25" s="452">
        <f t="shared" si="14"/>
        <v>0</v>
      </c>
      <c r="O25" s="452">
        <f t="shared" si="15"/>
        <v>0</v>
      </c>
      <c r="P25" s="453">
        <f t="shared" si="16"/>
        <v>0</v>
      </c>
      <c r="Q25" s="451">
        <f t="shared" ca="1" si="17"/>
        <v>2969.1167785205898</v>
      </c>
    </row>
    <row r="26" spans="1:17">
      <c r="A26" s="451" t="s">
        <v>625</v>
      </c>
      <c r="B26" s="452">
        <f t="shared" ca="1" si="2"/>
        <v>20798.164424722672</v>
      </c>
      <c r="C26" s="452">
        <f t="shared" ca="1" si="3"/>
        <v>0</v>
      </c>
      <c r="D26" s="452">
        <f t="shared" si="4"/>
        <v>4521.3573216541854</v>
      </c>
      <c r="E26" s="452">
        <f t="shared" si="5"/>
        <v>1395.1224557936957</v>
      </c>
      <c r="F26" s="452">
        <f t="shared" si="6"/>
        <v>5819.9057004819224</v>
      </c>
      <c r="G26" s="452">
        <f t="shared" si="7"/>
        <v>0</v>
      </c>
      <c r="H26" s="452">
        <f t="shared" si="8"/>
        <v>0</v>
      </c>
      <c r="I26" s="452">
        <f t="shared" si="9"/>
        <v>0</v>
      </c>
      <c r="J26" s="452">
        <f t="shared" si="10"/>
        <v>1032.942532136042</v>
      </c>
      <c r="K26" s="452">
        <f t="shared" si="11"/>
        <v>0</v>
      </c>
      <c r="L26" s="452">
        <f t="shared" si="12"/>
        <v>0</v>
      </c>
      <c r="M26" s="452">
        <f t="shared" si="13"/>
        <v>0</v>
      </c>
      <c r="N26" s="452">
        <f t="shared" si="14"/>
        <v>0</v>
      </c>
      <c r="O26" s="452">
        <f t="shared" si="15"/>
        <v>0</v>
      </c>
      <c r="P26" s="453">
        <f t="shared" si="16"/>
        <v>0</v>
      </c>
      <c r="Q26" s="451">
        <f t="shared" ca="1" si="17"/>
        <v>33567.492434788517</v>
      </c>
    </row>
    <row r="27" spans="1:17" s="457" customFormat="1">
      <c r="A27" s="455" t="s">
        <v>551</v>
      </c>
      <c r="B27" s="775">
        <f t="shared" ca="1" si="2"/>
        <v>23.585106637812064</v>
      </c>
      <c r="C27" s="456">
        <f t="shared" ca="1" si="3"/>
        <v>0</v>
      </c>
      <c r="D27" s="456">
        <f t="shared" si="4"/>
        <v>83.026911724448922</v>
      </c>
      <c r="E27" s="456">
        <f t="shared" si="5"/>
        <v>82.506866740258758</v>
      </c>
      <c r="F27" s="456">
        <f t="shared" si="6"/>
        <v>0</v>
      </c>
      <c r="G27" s="456">
        <f t="shared" si="7"/>
        <v>47132.889050342303</v>
      </c>
      <c r="H27" s="456">
        <f t="shared" si="8"/>
        <v>9622.9949092143324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56945.00284465916</v>
      </c>
    </row>
    <row r="28" spans="1:17" ht="16.5" customHeight="1">
      <c r="A28" s="451" t="s">
        <v>541</v>
      </c>
      <c r="B28" s="452">
        <f t="shared" ca="1" si="2"/>
        <v>0</v>
      </c>
      <c r="C28" s="452">
        <f t="shared" ca="1" si="3"/>
        <v>0</v>
      </c>
      <c r="D28" s="452">
        <f t="shared" si="4"/>
        <v>0</v>
      </c>
      <c r="E28" s="452">
        <f t="shared" si="5"/>
        <v>0</v>
      </c>
      <c r="F28" s="452">
        <f t="shared" si="6"/>
        <v>0</v>
      </c>
      <c r="G28" s="452">
        <f t="shared" si="7"/>
        <v>868.73862026781751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868.73862026781751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444.67760499521069</v>
      </c>
      <c r="C32" s="452">
        <f t="shared" ca="1" si="3"/>
        <v>0</v>
      </c>
      <c r="D32" s="452">
        <f t="shared" si="4"/>
        <v>1333.6955793259999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1778.3731843212106</v>
      </c>
    </row>
    <row r="33" spans="1:17" s="463" customFormat="1">
      <c r="A33" s="461" t="s">
        <v>545</v>
      </c>
      <c r="B33" s="462">
        <f ca="1">SUM(B22:B32)</f>
        <v>47553.934750044929</v>
      </c>
      <c r="C33" s="462">
        <f t="shared" ref="C33:Q33" ca="1" si="19">SUM(C22:C32)</f>
        <v>0</v>
      </c>
      <c r="D33" s="462">
        <f t="shared" ca="1" si="19"/>
        <v>55966.177641132999</v>
      </c>
      <c r="E33" s="462">
        <f t="shared" si="19"/>
        <v>4769.2200735788347</v>
      </c>
      <c r="F33" s="462">
        <f t="shared" ca="1" si="19"/>
        <v>19543.048918428445</v>
      </c>
      <c r="G33" s="462">
        <f t="shared" si="19"/>
        <v>48001.62767061012</v>
      </c>
      <c r="H33" s="462">
        <f t="shared" si="19"/>
        <v>9622.9949092143324</v>
      </c>
      <c r="I33" s="462">
        <f t="shared" si="19"/>
        <v>0</v>
      </c>
      <c r="J33" s="462">
        <f t="shared" si="19"/>
        <v>1280.2318647868312</v>
      </c>
      <c r="K33" s="462">
        <f t="shared" si="19"/>
        <v>0</v>
      </c>
      <c r="L33" s="462">
        <f t="shared" ca="1" si="19"/>
        <v>0</v>
      </c>
      <c r="M33" s="462">
        <f t="shared" si="19"/>
        <v>0</v>
      </c>
      <c r="N33" s="462">
        <f t="shared" ca="1" si="19"/>
        <v>0</v>
      </c>
      <c r="O33" s="462">
        <f t="shared" si="19"/>
        <v>0</v>
      </c>
      <c r="P33" s="462">
        <f t="shared" si="19"/>
        <v>0</v>
      </c>
      <c r="Q33" s="462">
        <f t="shared" ca="1" si="19"/>
        <v>186737.23582779651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10749.977887839297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10749.977887839297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0.21048441745555174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0.21048441745555174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2020-06-20T15:32:06Z</dcterms:modified>
</cp:coreProperties>
</file>