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C6" i="17" s="1"/>
  <c r="N32" i="18"/>
  <c r="M32" i="18"/>
  <c r="W31" i="18"/>
  <c r="V31" i="18"/>
  <c r="U31" i="18"/>
  <c r="T31" i="18"/>
  <c r="S31" i="18"/>
  <c r="R31" i="18"/>
  <c r="Q31" i="18"/>
  <c r="P31" i="18"/>
  <c r="O31" i="18"/>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<sst xmlns="http://schemas.openxmlformats.org/spreadsheetml/2006/main" count="2402" uniqueCount="888">
  <si>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</si>
  <si>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</si>
  <si>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</si>
  <si>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</si>
  <si>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</si>
  <si>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</si>
  <si>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</si>
  <si>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</si>
  <si>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</si>
  <si>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</si>
  <si>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</si>
  <si>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</si>
  <si>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</si>
  <si>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</si>
  <si>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</si>
  <si>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</si>
  <si>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</si>
  <si>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</si>
  <si>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</si>
  <si>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</si>
  <si>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</si>
  <si>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</si>
  <si>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</si>
  <si>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</si>
  <si>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</si>
  <si>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</si>
  <si>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</si>
  <si>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</si>
  <si>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</si>
  <si>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</si>
  <si>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</si>
  <si>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</si>
  <si>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</si>
  <si>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</si>
  <si>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</si>
  <si>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</si>
  <si>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</si>
  <si>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</si>
  <si>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</si>
  <si>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</si>
  <si>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</si>
  <si>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</si>
  <si>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</si>
  <si>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</si>
  <si>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</si>
  <si>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</si>
  <si>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</si>
  <si>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</si>
  <si>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</si>
  <si>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</si>
  <si>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</si>
  <si>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</si>
  <si>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</si>
  <si>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</si>
  <si>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</si>
  <si>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</si>
  <si>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</si>
  <si>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</si>
  <si>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</si>
  <si>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</si>
  <si>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</si>
  <si>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</si>
  <si>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</si>
  <si>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</si>
  <si>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</si>
  <si>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</si>
  <si>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</si>
  <si>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</si>
  <si>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</si>
  <si>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</si>
  <si>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</si>
  <si>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</si>
  <si>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</si>
  <si>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</si>
  <si>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</si>
  <si>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</si>
  <si>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</si>
  <si>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</si>
  <si>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</si>
  <si>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</si>
  <si>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</si>
  <si>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</si>
  <si>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</si>
  <si>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</si>
  <si>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</si>
  <si>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</si>
  <si>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</si>
  <si>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</si>
  <si>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</si>
  <si>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</si>
  <si>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</si>
  <si>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</si>
  <si>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</si>
  <si>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</si>
  <si>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</si>
  <si>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</si>
  <si>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</si>
  <si>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</si>
  <si>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</si>
  <si>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</si>
  <si>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</si>
  <si>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</si>
  <si>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</si>
  <si>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</si>
  <si>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</si>
  <si>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</si>
  <si>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</si>
  <si>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</si>
  <si>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</si>
  <si>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</si>
  <si>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</si>
  <si>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</si>
  <si>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</si>
  <si>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</si>
  <si>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</si>
  <si>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</si>
  <si>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</si>
  <si>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</si>
  <si>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</si>
  <si>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</si>
  <si>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</si>
  <si>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</si>
  <si>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</si>
  <si>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</si>
  <si>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</si>
  <si>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</si>
  <si>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</si>
  <si>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</si>
  <si>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</si>
  <si>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</si>
  <si>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</si>
  <si>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</si>
  <si>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</si>
  <si>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</si>
  <si>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</si>
  <si>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</si>
  <si>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</si>
  <si>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</si>
  <si>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</si>
  <si>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</si>
  <si>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</si>
  <si>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</si>
  <si>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</si>
  <si>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</si>
  <si>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</si>
  <si>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</si>
  <si>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</si>
  <si>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</si>
  <si>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</si>
  <si>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</si>
  <si>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</si>
  <si>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</si>
  <si>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</si>
  <si>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</si>
  <si>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</si>
  <si>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</si>
  <si>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</si>
  <si>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</si>
  <si>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</si>
  <si>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</si>
  <si>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</si>
  <si>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</si>
  <si>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</si>
  <si>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</si>
  <si>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</si>
  <si>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</si>
  <si>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</si>
  <si>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</si>
  <si>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</si>
  <si>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</si>
  <si>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</si>
  <si>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</si>
  <si>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</si>
  <si>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</si>
  <si>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</si>
  <si>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</si>
  <si>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</si>
  <si>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</si>
  <si>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</si>
  <si>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</si>
  <si>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</si>
  <si>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</si>
  <si>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</si>
  <si>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</si>
  <si>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</si>
  <si>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</si>
  <si>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</si>
  <si>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</si>
  <si>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</si>
  <si>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</si>
  <si>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</si>
  <si>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</si>
  <si>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</si>
  <si>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</si>
  <si>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</si>
  <si>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</si>
  <si>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</si>
  <si>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</si>
  <si>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</si>
  <si>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</si>
  <si>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</si>
  <si>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</si>
  <si>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</si>
  <si>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</si>
  <si>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</si>
  <si>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</si>
  <si>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</si>
  <si>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</si>
  <si>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</si>
  <si>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</si>
  <si>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</si>
  <si>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</si>
  <si>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</si>
  <si>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</si>
  <si>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</si>
  <si>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</si>
  <si>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</si>
  <si>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</si>
  <si>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</si>
  <si>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</si>
  <si>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</si>
  <si>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</si>
  <si>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</si>
  <si>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</si>
  <si>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</si>
  <si>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</si>
  <si>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</si>
  <si>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</si>
  <si>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</si>
  <si>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</si>
  <si>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</si>
  <si>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</si>
  <si>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</si>
  <si>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</si>
  <si>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</si>
  <si>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</si>
  <si>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</si>
  <si>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</si>
  <si>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</si>
  <si>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</si>
  <si>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</si>
  <si>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</si>
  <si>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</si>
  <si>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</si>
  <si>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</si>
  <si>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</si>
  <si>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</si>
  <si>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</si>
  <si>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</si>
  <si>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</si>
  <si>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</si>
  <si>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</si>
  <si>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</si>
  <si>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</si>
  <si>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</si>
  <si>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</si>
  <si>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</si>
  <si>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</si>
  <si>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</si>
  <si>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</si>
  <si>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</si>
  <si>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</si>
  <si>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</si>
  <si>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</si>
  <si>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</si>
  <si>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</si>
  <si>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</si>
  <si>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</si>
  <si>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</si>
  <si>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</si>
  <si>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</si>
  <si>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</si>
  <si>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</si>
  <si>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</si>
  <si>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</si>
  <si>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</si>
  <si>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</si>
  <si>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</si>
  <si>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</si>
  <si>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</si>
  <si>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</si>
  <si>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</si>
  <si>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</si>
  <si>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</si>
  <si>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</si>
  <si>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</si>
  <si>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</si>
  <si>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</si>
  <si>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</si>
  <si>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</si>
  <si>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</si>
  <si>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</si>
  <si>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</si>
  <si>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</si>
  <si>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</si>
  <si>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</si>
  <si>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</si>
  <si>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</si>
  <si>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</si>
  <si>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</si>
  <si>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</si>
  <si>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</si>
  <si>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</si>
  <si>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</si>
  <si>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</si>
  <si>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</si>
  <si>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</si>
  <si>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</si>
  <si>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</si>
  <si>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</si>
  <si>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</si>
  <si>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</si>
  <si>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</si>
  <si>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</si>
  <si>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</si>
  <si>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</si>
  <si>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</si>
  <si>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</si>
  <si>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</si>
  <si>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</si>
  <si>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</si>
  <si>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</si>
  <si>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</si>
  <si>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</si>
  <si>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</si>
  <si>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</si>
  <si>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</si>
  <si>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</si>
  <si>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</si>
  <si>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</si>
  <si>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</si>
  <si>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</si>
  <si>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</si>
  <si>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</si>
  <si>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</si>
  <si>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</si>
  <si>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</si>
  <si>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</si>
  <si>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</si>
  <si>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</si>
  <si>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</si>
  <si>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</si>
  <si>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</si>
  <si>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</si>
  <si>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</si>
  <si>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</si>
  <si>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</si>
  <si>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</si>
  <si>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</si>
  <si>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</si>
  <si>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</si>
  <si>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</si>
  <si>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</si>
  <si>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</si>
  <si>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</si>
  <si>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</si>
  <si>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</si>
  <si>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</si>
  <si>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</si>
  <si>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</si>
  <si>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</si>
  <si>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</si>
  <si>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</si>
  <si>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</si>
  <si>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</si>
  <si>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</si>
  <si>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</si>
  <si>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</si>
  <si>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</si>
  <si>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</si>
  <si>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</si>
  <si>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</si>
  <si>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</si>
  <si>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</si>
  <si>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</si>
  <si>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</si>
  <si>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</si>
  <si>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</si>
  <si>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</si>
  <si>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</si>
  <si>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</si>
  <si>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</si>
  <si>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</si>
  <si>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</si>
  <si>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</si>
  <si>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</si>
  <si>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</si>
  <si>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</si>
  <si>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</si>
  <si>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</si>
  <si>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</si>
  <si>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</si>
  <si>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</si>
  <si>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</si>
  <si>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</si>
  <si>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</si>
  <si>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</si>
  <si>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</si>
  <si>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</si>
  <si>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</si>
  <si>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</si>
  <si>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</si>
  <si>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</si>
  <si>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</si>
  <si>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</si>
  <si>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</si>
  <si>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</si>
  <si>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</si>
  <si>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</si>
  <si>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</si>
  <si>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</si>
  <si>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</si>
  <si>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</si>
  <si>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</si>
  <si>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</si>
  <si>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</si>
  <si>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</si>
  <si>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</si>
  <si>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</si>
  <si>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</si>
  <si>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</si>
  <si>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</si>
  <si>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</si>
  <si>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</si>
  <si>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</si>
  <si>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</si>
  <si>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</si>
  <si>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</si>
  <si>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</si>
  <si>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</si>
  <si>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</si>
  <si>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</si>
  <si>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</si>
  <si>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</si>
  <si>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</si>
  <si>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</si>
  <si>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</si>
  <si>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</si>
  <si>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</si>
  <si>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</si>
  <si>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</si>
  <si>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</si>
  <si>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</si>
  <si>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</si>
  <si>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</si>
  <si>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</si>
  <si>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</si>
  <si>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</si>
  <si>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</si>
  <si>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</si>
  <si>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</si>
  <si>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</si>
  <si>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</si>
  <si>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</si>
  <si>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</si>
  <si>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</si>
  <si>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</si>
  <si>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</si>
  <si>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</si>
  <si>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</si>
  <si>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</si>
  <si>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</si>
  <si>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</si>
  <si>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</si>
  <si>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</si>
  <si>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</si>
  <si>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</si>
  <si>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</si>
  <si>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</si>
  <si>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</si>
  <si>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</si>
  <si>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</si>
  <si>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</si>
  <si>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</si>
  <si>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</si>
  <si>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</si>
  <si>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</si>
  <si>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</si>
  <si>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</si>
  <si>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</si>
  <si>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</si>
  <si>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</si>
  <si>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</si>
  <si>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</si>
  <si>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</si>
  <si>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</si>
  <si>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</si>
  <si>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</si>
  <si>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</si>
  <si>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</si>
  <si>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</si>
  <si>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</si>
  <si>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</si>
  <si>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</si>
  <si>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</si>
  <si>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</si>
  <si>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</si>
  <si>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</si>
  <si>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</si>
  <si>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</si>
  <si>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</si>
  <si>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</si>
  <si>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</si>
  <si>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</si>
  <si>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</si>
  <si>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</si>
  <si>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</si>
  <si>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</si>
  <si>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</si>
  <si>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</si>
  <si>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</si>
  <si>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</si>
  <si>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</si>
  <si>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</si>
  <si>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</si>
  <si>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</si>
  <si>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</si>
  <si>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</si>
  <si>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</si>
  <si>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</si>
  <si>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</si>
  <si>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</si>
  <si>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</si>
  <si>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</si>
  <si>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</si>
  <si>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</si>
  <si>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</si>
  <si>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</si>
  <si>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</si>
  <si>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</si>
  <si>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</si>
  <si>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</si>
  <si>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</si>
  <si>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</si>
  <si>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</si>
  <si>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</si>
  <si>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</si>
  <si>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</si>
  <si>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</si>
  <si>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</si>
  <si>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</si>
  <si>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</si>
  <si>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</si>
  <si>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</si>
  <si>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</si>
  <si>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</si>
  <si>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</si>
  <si>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</si>
  <si>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</si>
  <si>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</si>
  <si>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</si>
  <si>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</si>
  <si>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</si>
  <si>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</si>
  <si>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</si>
  <si>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</si>
  <si>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</si>
  <si>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</si>
  <si>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</si>
  <si>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</si>
  <si>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</si>
  <si>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</si>
  <si>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</si>
  <si>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</si>
  <si>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</si>
  <si>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</si>
  <si>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</si>
  <si>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</si>
  <si>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</si>
  <si>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</si>
  <si>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</si>
  <si>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</si>
  <si>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</si>
  <si>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</si>
  <si>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</si>
  <si>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</si>
  <si>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</si>
  <si>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</si>
  <si>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</si>
  <si>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</si>
  <si>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</si>
  <si>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</si>
  <si>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</si>
  <si>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</si>
  <si>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</si>
  <si>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</si>
  <si>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</si>
  <si>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</si>
  <si>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</si>
  <si>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</si>
  <si>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</si>
  <si>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</si>
  <si>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</si>
  <si>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</si>
  <si>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</si>
  <si>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</si>
  <si>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</si>
  <si>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</si>
  <si>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</si>
  <si>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</si>
  <si>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</si>
  <si>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</si>
  <si>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</si>
  <si>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</si>
  <si>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</si>
  <si>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</si>
  <si>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</si>
  <si>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</si>
  <si>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</si>
  <si>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</si>
  <si>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</si>
  <si>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</si>
  <si>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</si>
  <si>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</si>
  <si>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</si>
  <si>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</si>
  <si>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</si>
  <si>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</si>
  <si>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</si>
  <si>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</si>
  <si>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</si>
  <si>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</si>
  <si>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</si>
  <si>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</si>
  <si>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</si>
  <si>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</si>
  <si>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</si>
  <si>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</si>
  <si>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</si>
  <si>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</si>
  <si>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</si>
  <si>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</si>
  <si>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</si>
  <si>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</si>
  <si>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</si>
  <si>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</si>
  <si>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</si>
  <si>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</si>
  <si>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</si>
  <si>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</si>
  <si>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</si>
  <si>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</si>
  <si>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</si>
  <si>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</si>
  <si>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</si>
  <si>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</si>
  <si>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</si>
  <si>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</si>
  <si>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</si>
  <si>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</si>
  <si>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</si>
  <si>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</si>
  <si>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</si>
  <si>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</si>
  <si>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</si>
  <si>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</si>
  <si>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</si>
  <si>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</si>
  <si>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</si>
  <si>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</si>
  <si>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</si>
  <si>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</si>
  <si>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</si>
  <si>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</si>
  <si>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</si>
  <si>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</si>
  <si>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</si>
  <si>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</si>
  <si>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</si>
  <si>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</si>
  <si>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</si>
  <si>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</si>
  <si>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</si>
  <si>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</si>
  <si>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</si>
  <si>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</si>
  <si>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</si>
  <si>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</si>
  <si>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</si>
  <si>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</si>
  <si>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</si>
  <si>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</si>
  <si>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</si>
  <si>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</si>
  <si>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</si>
  <si>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</si>
  <si>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</si>
  <si>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</si>
  <si>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</si>
  <si>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</si>
  <si>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</si>
  <si>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</si>
  <si>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</si>
  <si>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</si>
  <si>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</si>
  <si>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</si>
  <si>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</si>
  <si>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</si>
  <si>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</si>
  <si>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</si>
  <si>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</si>
  <si>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</si>
  <si>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</si>
  <si>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</si>
  <si>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</si>
  <si>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</si>
  <si>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</si>
  <si>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</si>
  <si>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</si>
  <si>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</si>
  <si>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</si>
  <si>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</si>
  <si>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</si>
  <si>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</si>
  <si>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</si>
  <si>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</si>
  <si>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</si>
  <si>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</si>
  <si>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</si>
  <si>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</si>
  <si>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</si>
  <si>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</si>
  <si>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</si>
  <si>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</si>
  <si>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</si>
  <si>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</si>
  <si>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</si>
  <si>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</si>
  <si>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</si>
  <si>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</si>
  <si>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</si>
  <si>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</si>
  <si>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</si>
  <si>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</si>
  <si>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</si>
  <si>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</si>
  <si>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</si>
  <si>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</si>
  <si>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</si>
  <si>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</si>
  <si>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</si>
  <si>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</si>
  <si>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</si>
  <si>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</si>
  <si>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</si>
  <si>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</si>
  <si>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</si>
  <si>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</si>
  <si>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</si>
  <si>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</si>
  <si>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</si>
  <si>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</si>
  <si>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</si>
  <si>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</si>
  <si>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</si>
  <si>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</si>
  <si>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</si>
  <si>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</si>
  <si>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</si>
  <si>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</si>
  <si>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</si>
  <si>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</si>
  <si>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</si>
  <si>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</si>
  <si>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</si>
  <si>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</si>
  <si>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</si>
  <si>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</si>
  <si>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</si>
  <si>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</si>
  <si>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</si>
  <si>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</si>
  <si>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</si>
  <si>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</si>
  <si>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</si>
  <si>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</si>
  <si>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</si>
  <si>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</si>
  <si>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</si>
  <si>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</si>
  <si>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</si>
  <si>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</si>
  <si>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</si>
  <si>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</si>
  <si>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</si>
  <si>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</si>
  <si>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</si>
  <si>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</si>
  <si>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</si>
  <si>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</si>
  <si>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</si>
  <si>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</si>
  <si>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</si>
  <si>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</si>
  <si>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</si>
  <si>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</si>
  <si>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</si>
  <si>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</si>
  <si>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</si>
  <si>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</si>
  <si>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</si>
  <si>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</si>
  <si>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</si>
  <si>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</si>
  <si>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</si>
  <si>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</si>
  <si>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</si>
  <si>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</si>
  <si>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</si>
  <si>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</si>
  <si>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</si>
  <si>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</si>
  <si>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</si>
  <si>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</si>
  <si>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</si>
  <si>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</si>
  <si>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</si>
  <si>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</si>
  <si>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</si>
  <si>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</si>
  <si>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</si>
  <si>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</si>
  <si>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</si>
  <si>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</si>
  <si>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</si>
  <si>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</si>
  <si>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</si>
  <si>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</si>
  <si>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</si>
  <si>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</si>
  <si>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</si>
  <si>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</si>
  <si>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</si>
  <si>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</si>
  <si>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</si>
  <si>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</si>
  <si>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</si>
  <si>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</si>
  <si>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</si>
  <si>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</si>
  <si>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</si>
  <si>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</si>
  <si>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</si>
  <si>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</si>
  <si>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</si>
  <si>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</si>
  <si>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</si>
  <si>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</si>
  <si>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</si>
  <si>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</si>
  <si>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</si>
  <si>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</si>
  <si>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</si>
  <si>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</si>
  <si>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</si>
  <si>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</si>
  <si>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</si>
  <si>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</si>
  <si>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</si>
  <si>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</si>
  <si>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</si>
  <si>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</si>
  <si>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</si>
  <si>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</si>
  <si>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</si>
  <si>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</si>
  <si>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</si>
  <si>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</si>
  <si>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</si>
  <si>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</si>
  <si>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</si>
  <si>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</si>
  <si>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</si>
  <si>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</si>
  <si>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</si>
  <si>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</si>
  <si>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</si>
  <si>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</si>
  <si>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</si>
  <si>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</si>
  <si>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</si>
  <si>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</si>
  <si>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</si>
  <si>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</si>
  <si>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</si>
  <si>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24104</t>
  </si>
  <si>
    <t>TERVUREN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</si>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</sst>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189092.74277266537</c:v>
                </c:pt>
                <c:pt idx="1">
                  <c:v>51765.647440913272</c:v>
                </c:pt>
                <c:pt idx="2">
                  <c:v>964.69399999999996</c:v>
                </c:pt>
                <c:pt idx="3">
                  <c:v>853.9814240963766</c:v>
                </c:pt>
                <c:pt idx="4">
                  <c:v>7048.2243992660269</c:v>
                </c:pt>
                <c:pt idx="5">
                  <c:v>217408.67766775089</c:v>
                </c:pt>
                <c:pt idx="6">
                  <c:v>4548.8325986885484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189092.74277266537</c:v>
                </c:pt>
                <c:pt idx="1">
                  <c:v>51765.647440913272</c:v>
                </c:pt>
                <c:pt idx="2">
                  <c:v>964.69399999999996</c:v>
                </c:pt>
                <c:pt idx="3">
                  <c:v>853.9814240963766</c:v>
                </c:pt>
                <c:pt idx="4">
                  <c:v>7048.2243992660269</c:v>
                </c:pt>
                <c:pt idx="5">
                  <c:v>217408.67766775089</c:v>
                </c:pt>
                <c:pt idx="6">
                  <c:v>4548.8325986885484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36950.946727923758</c:v>
                </c:pt>
                <c:pt idx="1">
                  <c:v>10242.570015090072</c:v>
                </c:pt>
                <c:pt idx="2">
                  <c:v>204.41404986710103</c:v>
                </c:pt>
                <c:pt idx="3">
                  <c:v>215.09596564494268</c:v>
                </c:pt>
                <c:pt idx="4">
                  <c:v>1466.2182195853993</c:v>
                </c:pt>
                <c:pt idx="5">
                  <c:v>53974.803738051422</c:v>
                </c:pt>
                <c:pt idx="6">
                  <c:v>1150.598000938523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36950.946727923758</c:v>
                </c:pt>
                <c:pt idx="1">
                  <c:v>10242.570015090072</c:v>
                </c:pt>
                <c:pt idx="2">
                  <c:v>204.41404986710103</c:v>
                </c:pt>
                <c:pt idx="3">
                  <c:v>215.09596564494268</c:v>
                </c:pt>
                <c:pt idx="4">
                  <c:v>1466.2182195853993</c:v>
                </c:pt>
                <c:pt idx="5">
                  <c:v>53974.803738051422</c:v>
                </c:pt>
                <c:pt idx="6">
                  <c:v>1150.598000938523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24104</v>
      </c>
      <c r="B6" s="390"/>
      <c r="C6" s="391"/>
    </row>
    <row r="7" spans="1:7" s="388" customFormat="1" ht="15.75" customHeight="1">
      <c r="A7" s="392" t="str">
        <f>txtMunicipality</f>
        <v>TERVUREN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0.21189522259607818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0.21189522259607818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8681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742.69</v>
      </c>
      <c r="C14" s="330"/>
      <c r="D14" s="330"/>
      <c r="E14" s="330"/>
      <c r="F14" s="330"/>
    </row>
    <row r="15" spans="1:6">
      <c r="A15" s="1298" t="s">
        <v>183</v>
      </c>
      <c r="B15" s="1299">
        <v>1</v>
      </c>
      <c r="C15" s="330"/>
      <c r="D15" s="330"/>
      <c r="E15" s="330"/>
      <c r="F15" s="330"/>
    </row>
    <row r="16" spans="1:6">
      <c r="A16" s="1298" t="s">
        <v>6</v>
      </c>
      <c r="B16" s="1299">
        <v>57</v>
      </c>
      <c r="C16" s="330"/>
      <c r="D16" s="330"/>
      <c r="E16" s="330"/>
      <c r="F16" s="330"/>
    </row>
    <row r="17" spans="1:6">
      <c r="A17" s="1298" t="s">
        <v>7</v>
      </c>
      <c r="B17" s="1299">
        <v>72</v>
      </c>
      <c r="C17" s="330"/>
      <c r="D17" s="330"/>
      <c r="E17" s="330"/>
      <c r="F17" s="330"/>
    </row>
    <row r="18" spans="1:6">
      <c r="A18" s="1298" t="s">
        <v>8</v>
      </c>
      <c r="B18" s="1299">
        <v>155</v>
      </c>
      <c r="C18" s="330"/>
      <c r="D18" s="330"/>
      <c r="E18" s="330"/>
      <c r="F18" s="330"/>
    </row>
    <row r="19" spans="1:6">
      <c r="A19" s="1298" t="s">
        <v>9</v>
      </c>
      <c r="B19" s="1299">
        <v>335</v>
      </c>
      <c r="C19" s="330"/>
      <c r="D19" s="330"/>
      <c r="E19" s="330"/>
      <c r="F19" s="330"/>
    </row>
    <row r="20" spans="1:6">
      <c r="A20" s="1298" t="s">
        <v>10</v>
      </c>
      <c r="B20" s="1299">
        <v>71</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166</v>
      </c>
      <c r="C29" s="336"/>
      <c r="D29" s="336"/>
      <c r="E29" s="336"/>
      <c r="F29" s="336"/>
    </row>
    <row r="30" spans="1:6">
      <c r="A30" s="1293" t="s">
        <v>706</v>
      </c>
      <c r="B30" s="1302">
        <v>15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3605.9140000000002</v>
      </c>
    </row>
    <row r="37" spans="1:6">
      <c r="A37" s="1298" t="s">
        <v>24</v>
      </c>
      <c r="B37" s="1298" t="s">
        <v>27</v>
      </c>
      <c r="C37" s="1299">
        <v>0</v>
      </c>
      <c r="D37" s="1299">
        <v>0</v>
      </c>
      <c r="E37" s="1299">
        <v>0</v>
      </c>
      <c r="F37" s="1299">
        <v>0</v>
      </c>
    </row>
    <row r="38" spans="1:6">
      <c r="A38" s="1298" t="s">
        <v>24</v>
      </c>
      <c r="B38" s="1298" t="s">
        <v>28</v>
      </c>
      <c r="C38" s="1299">
        <v>2</v>
      </c>
      <c r="D38" s="1299">
        <v>293837.05</v>
      </c>
      <c r="E38" s="1299">
        <v>1</v>
      </c>
      <c r="F38" s="1299">
        <v>41983</v>
      </c>
    </row>
    <row r="39" spans="1:6">
      <c r="A39" s="1298" t="s">
        <v>29</v>
      </c>
      <c r="B39" s="1298" t="s">
        <v>30</v>
      </c>
      <c r="C39" s="1299">
        <v>6735</v>
      </c>
      <c r="D39" s="1299">
        <v>146132534.40000001</v>
      </c>
      <c r="E39" s="1299">
        <v>8691</v>
      </c>
      <c r="F39" s="1299">
        <v>33233925.109999999</v>
      </c>
    </row>
    <row r="40" spans="1:6">
      <c r="A40" s="1298" t="s">
        <v>29</v>
      </c>
      <c r="B40" s="1298" t="s">
        <v>28</v>
      </c>
      <c r="C40" s="1299">
        <v>1</v>
      </c>
      <c r="D40" s="1299">
        <v>83789.148000000001</v>
      </c>
      <c r="E40" s="1299">
        <v>0</v>
      </c>
      <c r="F40" s="1299">
        <v>0</v>
      </c>
    </row>
    <row r="41" spans="1:6">
      <c r="A41" s="1298" t="s">
        <v>31</v>
      </c>
      <c r="B41" s="1298" t="s">
        <v>32</v>
      </c>
      <c r="C41" s="1299">
        <v>44</v>
      </c>
      <c r="D41" s="1299">
        <v>1164636.9909999999</v>
      </c>
      <c r="E41" s="1299">
        <v>84</v>
      </c>
      <c r="F41" s="1299">
        <v>602632.99800000002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5</v>
      </c>
      <c r="F44" s="1299">
        <v>88094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51927.947</v>
      </c>
      <c r="E47" s="1299">
        <v>4</v>
      </c>
      <c r="F47" s="1299">
        <v>11164.841</v>
      </c>
    </row>
    <row r="48" spans="1:6">
      <c r="A48" s="1298" t="s">
        <v>31</v>
      </c>
      <c r="B48" s="1298" t="s">
        <v>28</v>
      </c>
      <c r="C48" s="1299">
        <v>23</v>
      </c>
      <c r="D48" s="1299">
        <v>2702156.5789999999</v>
      </c>
      <c r="E48" s="1299">
        <v>25</v>
      </c>
      <c r="F48" s="1299">
        <v>375949.43699999998</v>
      </c>
    </row>
    <row r="49" spans="1:6">
      <c r="A49" s="1298" t="s">
        <v>31</v>
      </c>
      <c r="B49" s="1298" t="s">
        <v>39</v>
      </c>
      <c r="C49" s="1299">
        <v>0</v>
      </c>
      <c r="D49" s="1299">
        <v>0</v>
      </c>
      <c r="E49" s="1299">
        <v>0</v>
      </c>
      <c r="F49" s="1299">
        <v>0</v>
      </c>
    </row>
    <row r="50" spans="1:6">
      <c r="A50" s="1298" t="s">
        <v>31</v>
      </c>
      <c r="B50" s="1298" t="s">
        <v>40</v>
      </c>
      <c r="C50" s="1299">
        <v>5</v>
      </c>
      <c r="D50" s="1299">
        <v>927437.20299999998</v>
      </c>
      <c r="E50" s="1299">
        <v>10</v>
      </c>
      <c r="F50" s="1299">
        <v>695697.53500000003</v>
      </c>
    </row>
    <row r="51" spans="1:6">
      <c r="A51" s="1298" t="s">
        <v>41</v>
      </c>
      <c r="B51" s="1298" t="s">
        <v>42</v>
      </c>
      <c r="C51" s="1299">
        <v>3</v>
      </c>
      <c r="D51" s="1299">
        <v>60248.824000000001</v>
      </c>
      <c r="E51" s="1299">
        <v>31</v>
      </c>
      <c r="F51" s="1299">
        <v>141200.67800000001</v>
      </c>
    </row>
    <row r="52" spans="1:6">
      <c r="A52" s="1298" t="s">
        <v>41</v>
      </c>
      <c r="B52" s="1298" t="s">
        <v>28</v>
      </c>
      <c r="C52" s="1299">
        <v>4</v>
      </c>
      <c r="D52" s="1299">
        <v>76722.676000000007</v>
      </c>
      <c r="E52" s="1299">
        <v>3</v>
      </c>
      <c r="F52" s="1299">
        <v>9689.4639999999999</v>
      </c>
    </row>
    <row r="53" spans="1:6">
      <c r="A53" s="1298" t="s">
        <v>43</v>
      </c>
      <c r="B53" s="1298" t="s">
        <v>44</v>
      </c>
      <c r="C53" s="1299">
        <v>206</v>
      </c>
      <c r="D53" s="1299">
        <v>6384372.3370000003</v>
      </c>
      <c r="E53" s="1299">
        <v>352</v>
      </c>
      <c r="F53" s="1299">
        <v>1824501.889</v>
      </c>
    </row>
    <row r="54" spans="1:6">
      <c r="A54" s="1298" t="s">
        <v>45</v>
      </c>
      <c r="B54" s="1298" t="s">
        <v>46</v>
      </c>
      <c r="C54" s="1299">
        <v>0</v>
      </c>
      <c r="D54" s="1299">
        <v>0</v>
      </c>
      <c r="E54" s="1299">
        <v>1</v>
      </c>
      <c r="F54" s="1299">
        <v>964694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25</v>
      </c>
      <c r="D57" s="1299">
        <v>2931216.0240000002</v>
      </c>
      <c r="E57" s="1299">
        <v>59</v>
      </c>
      <c r="F57" s="1299">
        <v>3807205.298</v>
      </c>
    </row>
    <row r="58" spans="1:6">
      <c r="A58" s="1298" t="s">
        <v>48</v>
      </c>
      <c r="B58" s="1298" t="s">
        <v>50</v>
      </c>
      <c r="C58" s="1299">
        <v>40</v>
      </c>
      <c r="D58" s="1299">
        <v>1120426.4269999999</v>
      </c>
      <c r="E58" s="1299">
        <v>47</v>
      </c>
      <c r="F58" s="1299">
        <v>354060.01799999998</v>
      </c>
    </row>
    <row r="59" spans="1:6">
      <c r="A59" s="1298" t="s">
        <v>48</v>
      </c>
      <c r="B59" s="1298" t="s">
        <v>51</v>
      </c>
      <c r="C59" s="1299">
        <v>60</v>
      </c>
      <c r="D59" s="1299">
        <v>2183407.0499999998</v>
      </c>
      <c r="E59" s="1299">
        <v>126</v>
      </c>
      <c r="F59" s="1299">
        <v>3499871.8650000002</v>
      </c>
    </row>
    <row r="60" spans="1:6">
      <c r="A60" s="1298" t="s">
        <v>48</v>
      </c>
      <c r="B60" s="1298" t="s">
        <v>52</v>
      </c>
      <c r="C60" s="1299">
        <v>40</v>
      </c>
      <c r="D60" s="1299">
        <v>1816194.8559999999</v>
      </c>
      <c r="E60" s="1299">
        <v>48</v>
      </c>
      <c r="F60" s="1299">
        <v>878472.99300000002</v>
      </c>
    </row>
    <row r="61" spans="1:6">
      <c r="A61" s="1298" t="s">
        <v>48</v>
      </c>
      <c r="B61" s="1298" t="s">
        <v>53</v>
      </c>
      <c r="C61" s="1299">
        <v>325</v>
      </c>
      <c r="D61" s="1299">
        <v>16509186.41</v>
      </c>
      <c r="E61" s="1299">
        <v>548</v>
      </c>
      <c r="F61" s="1299">
        <v>7132397.6009999998</v>
      </c>
    </row>
    <row r="62" spans="1:6">
      <c r="A62" s="1298" t="s">
        <v>48</v>
      </c>
      <c r="B62" s="1298" t="s">
        <v>54</v>
      </c>
      <c r="C62" s="1299">
        <v>18</v>
      </c>
      <c r="D62" s="1299">
        <v>1257344.3319999999</v>
      </c>
      <c r="E62" s="1299">
        <v>22</v>
      </c>
      <c r="F62" s="1299">
        <v>1705069.22</v>
      </c>
    </row>
    <row r="63" spans="1:6">
      <c r="A63" s="1298" t="s">
        <v>48</v>
      </c>
      <c r="B63" s="1298" t="s">
        <v>28</v>
      </c>
      <c r="C63" s="1299">
        <v>85</v>
      </c>
      <c r="D63" s="1299">
        <v>4442958.824</v>
      </c>
      <c r="E63" s="1299">
        <v>79</v>
      </c>
      <c r="F63" s="1299">
        <v>1745024.307</v>
      </c>
    </row>
    <row r="64" spans="1:6">
      <c r="A64" s="1298" t="s">
        <v>55</v>
      </c>
      <c r="B64" s="1298" t="s">
        <v>56</v>
      </c>
      <c r="C64" s="1299">
        <v>0</v>
      </c>
      <c r="D64" s="1299">
        <v>0</v>
      </c>
      <c r="E64" s="1299">
        <v>0</v>
      </c>
      <c r="F64" s="1299">
        <v>0</v>
      </c>
    </row>
    <row r="65" spans="1:6">
      <c r="A65" s="1298" t="s">
        <v>55</v>
      </c>
      <c r="B65" s="1298" t="s">
        <v>28</v>
      </c>
      <c r="C65" s="1299">
        <v>2</v>
      </c>
      <c r="D65" s="1299">
        <v>32256.559000000001</v>
      </c>
      <c r="E65" s="1299">
        <v>3</v>
      </c>
      <c r="F65" s="1299">
        <v>11777.073</v>
      </c>
    </row>
    <row r="66" spans="1:6">
      <c r="A66" s="1298" t="s">
        <v>55</v>
      </c>
      <c r="B66" s="1298" t="s">
        <v>57</v>
      </c>
      <c r="C66" s="1299">
        <v>0</v>
      </c>
      <c r="D66" s="1299">
        <v>0</v>
      </c>
      <c r="E66" s="1299">
        <v>10</v>
      </c>
      <c r="F66" s="1299">
        <v>35953.347999999998</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58322052</v>
      </c>
      <c r="E73" s="450"/>
      <c r="F73" s="330"/>
    </row>
    <row r="74" spans="1:6">
      <c r="A74" s="1298" t="s">
        <v>63</v>
      </c>
      <c r="B74" s="1298" t="s">
        <v>647</v>
      </c>
      <c r="C74" s="1312" t="s">
        <v>649</v>
      </c>
      <c r="D74" s="1313">
        <v>813286.5</v>
      </c>
      <c r="E74" s="450"/>
      <c r="F74" s="330"/>
    </row>
    <row r="75" spans="1:6">
      <c r="A75" s="1298" t="s">
        <v>64</v>
      </c>
      <c r="B75" s="1298" t="s">
        <v>646</v>
      </c>
      <c r="C75" s="1312" t="s">
        <v>650</v>
      </c>
      <c r="D75" s="1313">
        <v>55275390</v>
      </c>
      <c r="E75" s="450"/>
      <c r="F75" s="330"/>
    </row>
    <row r="76" spans="1:6">
      <c r="A76" s="1298" t="s">
        <v>64</v>
      </c>
      <c r="B76" s="1298" t="s">
        <v>647</v>
      </c>
      <c r="C76" s="1312" t="s">
        <v>651</v>
      </c>
      <c r="D76" s="1313">
        <v>163355.5</v>
      </c>
      <c r="E76" s="450"/>
      <c r="F76" s="330"/>
    </row>
    <row r="77" spans="1:6">
      <c r="A77" s="1298" t="s">
        <v>65</v>
      </c>
      <c r="B77" s="1298" t="s">
        <v>646</v>
      </c>
      <c r="C77" s="1312" t="s">
        <v>652</v>
      </c>
      <c r="D77" s="1313">
        <v>142325172</v>
      </c>
      <c r="E77" s="450"/>
      <c r="F77" s="330"/>
    </row>
    <row r="78" spans="1:6">
      <c r="A78" s="1293" t="s">
        <v>65</v>
      </c>
      <c r="B78" s="1293" t="s">
        <v>647</v>
      </c>
      <c r="C78" s="1293" t="s">
        <v>653</v>
      </c>
      <c r="D78" s="1314">
        <v>12293029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1248691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2378.5313521038261</v>
      </c>
      <c r="C91" s="330"/>
      <c r="D91" s="330"/>
      <c r="E91" s="330"/>
      <c r="F91" s="330"/>
    </row>
    <row r="92" spans="1:6">
      <c r="A92" s="1293" t="s">
        <v>68</v>
      </c>
      <c r="B92" s="1294">
        <v>75.662652504191769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4567</v>
      </c>
      <c r="C97" s="330"/>
      <c r="D97" s="330"/>
      <c r="E97" s="330"/>
      <c r="F97" s="330"/>
    </row>
    <row r="98" spans="1:6">
      <c r="A98" s="1298" t="s">
        <v>71</v>
      </c>
      <c r="B98" s="1299">
        <v>3</v>
      </c>
      <c r="C98" s="330"/>
      <c r="D98" s="330"/>
      <c r="E98" s="330"/>
      <c r="F98" s="330"/>
    </row>
    <row r="99" spans="1:6">
      <c r="A99" s="1298" t="s">
        <v>72</v>
      </c>
      <c r="B99" s="1299">
        <v>27</v>
      </c>
      <c r="C99" s="330"/>
      <c r="D99" s="330"/>
      <c r="E99" s="330"/>
      <c r="F99" s="330"/>
    </row>
    <row r="100" spans="1:6">
      <c r="A100" s="1298" t="s">
        <v>73</v>
      </c>
      <c r="B100" s="1299">
        <v>358</v>
      </c>
      <c r="C100" s="330"/>
      <c r="D100" s="330"/>
      <c r="E100" s="330"/>
      <c r="F100" s="330"/>
    </row>
    <row r="101" spans="1:6">
      <c r="A101" s="1298" t="s">
        <v>74</v>
      </c>
      <c r="B101" s="1299">
        <v>36</v>
      </c>
      <c r="C101" s="330"/>
      <c r="D101" s="330"/>
      <c r="E101" s="330"/>
      <c r="F101" s="330"/>
    </row>
    <row r="102" spans="1:6">
      <c r="A102" s="1298" t="s">
        <v>75</v>
      </c>
      <c r="B102" s="1299">
        <v>91</v>
      </c>
      <c r="C102" s="330"/>
      <c r="D102" s="330"/>
      <c r="E102" s="330"/>
      <c r="F102" s="330"/>
    </row>
    <row r="103" spans="1:6">
      <c r="A103" s="1298" t="s">
        <v>76</v>
      </c>
      <c r="B103" s="1299">
        <v>63</v>
      </c>
      <c r="C103" s="330"/>
      <c r="D103" s="330"/>
      <c r="E103" s="330"/>
      <c r="F103" s="330"/>
    </row>
    <row r="104" spans="1:6">
      <c r="A104" s="1298" t="s">
        <v>77</v>
      </c>
      <c r="B104" s="1299">
        <v>2221</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42</v>
      </c>
      <c r="C123" s="1299">
        <v>31</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155</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22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59570.580471824258</v>
      </c>
      <c r="C3" s="43" t="s">
        <v>169</v>
      </c>
      <c r="D3" s="43"/>
      <c r="E3" s="154"/>
      <c r="F3" s="43"/>
      <c r="G3" s="43"/>
      <c r="H3" s="43"/>
      <c r="I3" s="43"/>
      <c r="J3" s="43"/>
      <c r="K3" s="96"/>
    </row>
    <row r="4" spans="1:11">
      <c r="A4" s="358" t="s">
        <v>170</v>
      </c>
      <c r="B4" s="49">
        <f>IF(ISERROR('SEAP template'!B78+'SEAP template'!C78),0,'SEAP template'!B78+'SEAP template'!C78)</f>
        <v>2454.1940046080176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0.21189522259607818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964.69399999999996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964.69399999999996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0.21189522259607818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204.41404986710103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33233.925109999996</v>
      </c>
      <c r="C5" s="17">
        <f>IF(ISERROR('Eigen informatie GS &amp; warmtenet'!B59),0,'Eigen informatie GS &amp; warmtenet'!B59)</f>
        <v>0</v>
      </c>
      <c r="D5" s="30">
        <f>(SUM(HH_hh_gas_kWh,HH_rest_gas_kWh)/1000)*0.902</f>
        <v>131887.12384029603</v>
      </c>
      <c r="E5" s="17">
        <f>B46*B57</f>
        <v>5610.5140122937401</v>
      </c>
      <c r="F5" s="17">
        <f>B51*B62</f>
        <v>5580.7177609087721</v>
      </c>
      <c r="G5" s="18"/>
      <c r="H5" s="17"/>
      <c r="I5" s="17"/>
      <c r="J5" s="17">
        <f>B50*B61+C50*C61</f>
        <v>0</v>
      </c>
      <c r="K5" s="17"/>
      <c r="L5" s="17"/>
      <c r="M5" s="17"/>
      <c r="N5" s="17">
        <f>B48*B59+C48*C59</f>
        <v>9333.7052375110525</v>
      </c>
      <c r="O5" s="17">
        <f>B69*B70*B71</f>
        <v>372.98414524476198</v>
      </c>
      <c r="P5" s="17">
        <f>B77*B78*B79/1000-B77*B78*B79/1000/B80</f>
        <v>695.2413143072115</v>
      </c>
    </row>
    <row r="6" spans="1:16">
      <c r="A6" s="16" t="s">
        <v>611</v>
      </c>
      <c r="B6" s="783">
        <f>kWh_PV_kleiner_dan_10kW</f>
        <v>2378.5313521038261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35612.456462103823</v>
      </c>
      <c r="C8" s="21">
        <f>C5</f>
        <v>0</v>
      </c>
      <c r="D8" s="21">
        <f>D5</f>
        <v>131887.12384029603</v>
      </c>
      <c r="E8" s="21">
        <f>E5</f>
        <v>5610.5140122937401</v>
      </c>
      <c r="F8" s="21">
        <f>F5</f>
        <v>5580.7177609087721</v>
      </c>
      <c r="G8" s="21"/>
      <c r="H8" s="21"/>
      <c r="I8" s="21"/>
      <c r="J8" s="21">
        <f>J5</f>
        <v>0</v>
      </c>
      <c r="K8" s="21"/>
      <c r="L8" s="21">
        <f>L5</f>
        <v>0</v>
      </c>
      <c r="M8" s="21">
        <f>M5</f>
        <v>0</v>
      </c>
      <c r="N8" s="21">
        <f>N5</f>
        <v>9333.7052375110525</v>
      </c>
      <c r="O8" s="21">
        <f>O5</f>
        <v>372.98414524476198</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0.21189522259607818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7546.1093892306326</v>
      </c>
      <c r="C12" s="23">
        <f ca="1">C10*C8</f>
        <v>0</v>
      </c>
      <c r="D12" s="23">
        <f>D8*D10</f>
        <v>26641.1990157398</v>
      </c>
      <c r="E12" s="23">
        <f>E10*E8</f>
        <v>1273.5866807906791</v>
      </c>
      <c r="F12" s="23">
        <f>F10*F8</f>
        <v>1490.0516421626423</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4567</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6.4133016627078394</v>
      </c>
      <c r="D20" s="229"/>
      <c r="E20" s="15"/>
    </row>
    <row r="21" spans="1:7">
      <c r="A21" s="171" t="s">
        <v>73</v>
      </c>
      <c r="B21" s="37">
        <f>aantalw2001_elektriciteit</f>
        <v>358</v>
      </c>
      <c r="C21" s="167">
        <f>IF(ISERROR(B21/SUM($B$20,$B$21,$B$22)*100),0,B21/SUM($B$20,$B$21,$B$22)*100)</f>
        <v>85.035629453681707</v>
      </c>
      <c r="D21" s="229"/>
      <c r="E21" s="15"/>
    </row>
    <row r="22" spans="1:7">
      <c r="A22" s="171" t="s">
        <v>74</v>
      </c>
      <c r="B22" s="37">
        <f>aantalw2001_hout</f>
        <v>36</v>
      </c>
      <c r="C22" s="167">
        <f>IF(ISERROR(B22/SUM($B$20,$B$21,$B$22)*100),0,B22/SUM($B$20,$B$21,$B$22)*100)</f>
        <v>8.5510688836104514</v>
      </c>
      <c r="D22" s="229"/>
      <c r="E22" s="15"/>
    </row>
    <row r="23" spans="1:7">
      <c r="A23" s="171" t="s">
        <v>75</v>
      </c>
      <c r="B23" s="37">
        <f>aantalw2001_niet_gespec</f>
        <v>91</v>
      </c>
      <c r="C23" s="166" t="s">
        <v>110</v>
      </c>
      <c r="D23" s="228"/>
      <c r="E23" s="15"/>
    </row>
    <row r="24" spans="1:7">
      <c r="A24" s="171" t="s">
        <v>76</v>
      </c>
      <c r="B24" s="37">
        <f>aantalw2001_steenkool</f>
        <v>63</v>
      </c>
      <c r="C24" s="166" t="s">
        <v>110</v>
      </c>
      <c r="D24" s="229"/>
      <c r="E24" s="15"/>
    </row>
    <row r="25" spans="1:7">
      <c r="A25" s="171" t="s">
        <v>77</v>
      </c>
      <c r="B25" s="37">
        <f>aantalw2001_stookolie</f>
        <v>2221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8681</v>
      </c>
      <c r="C28" s="36"/>
      <c r="D28" s="228"/>
    </row>
    <row r="29" spans="1:7" s="15" customFormat="1">
      <c r="A29" s="230" t="s">
        <v>819</v>
      </c>
      <c r="B29" s="37">
        <f>SUM(HH_hh_gas_aantal,HH_rest_gas_aantal)</f>
        <v>6736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6736</v>
      </c>
      <c r="C32" s="167">
        <f>IF(ISERROR(B32/SUM($B$32,$B$34,$B$35,$B$36,$B$38,$B$39)*100),0,B32/SUM($B$32,$B$34,$B$35,$B$36,$B$38,$B$39)*100)</f>
        <v>78.189204875217641</v>
      </c>
      <c r="D32" s="233"/>
      <c r="G32" s="15"/>
    </row>
    <row r="33" spans="1:7">
      <c r="A33" s="171" t="s">
        <v>71</v>
      </c>
      <c r="B33" s="34" t="s">
        <v>110</v>
      </c>
      <c r="C33" s="167"/>
      <c r="D33" s="233"/>
      <c r="G33" s="15"/>
    </row>
    <row r="34" spans="1:7">
      <c r="A34" s="171" t="s">
        <v>72</v>
      </c>
      <c r="B34" s="33">
        <f>IF((($B$28-$B$32-$B$39-$B$77-$B$38)*C20/100)&lt;0,0,($B$28-$B$32-$B$39-$B$77-$B$38)*C20/100)</f>
        <v>103.26057007125894</v>
      </c>
      <c r="C34" s="167">
        <f>IF(ISERROR(B34/SUM($B$32,$B$34,$B$35,$B$36,$B$38,$B$39)*100),0,B34/SUM($B$32,$B$34,$B$35,$B$36,$B$38,$B$39)*100)</f>
        <v>1.1986136978671962</v>
      </c>
      <c r="D34" s="233"/>
      <c r="G34" s="15"/>
    </row>
    <row r="35" spans="1:7">
      <c r="A35" s="171" t="s">
        <v>73</v>
      </c>
      <c r="B35" s="33">
        <f>IF((($B$28-$B$32-$B$39-$B$77-$B$38)*C21/100)&lt;0,0,($B$28-$B$32-$B$39-$B$77-$B$38)*C21/100)</f>
        <v>1369.1586698337292</v>
      </c>
      <c r="C35" s="167">
        <f>IF(ISERROR(B35/SUM($B$32,$B$34,$B$35,$B$36,$B$38,$B$39)*100),0,B35/SUM($B$32,$B$34,$B$35,$B$36,$B$38,$B$39)*100)</f>
        <v>15.892729771720592</v>
      </c>
      <c r="D35" s="233"/>
      <c r="G35" s="15"/>
    </row>
    <row r="36" spans="1:7">
      <c r="A36" s="171" t="s">
        <v>74</v>
      </c>
      <c r="B36" s="33">
        <f>IF((($B$28-$B$32-$B$39-$B$77-$B$38)*C22/100)&lt;0,0,($B$28-$B$32-$B$39-$B$77-$B$38)*C22/100)</f>
        <v>137.68076009501189</v>
      </c>
      <c r="C36" s="167">
        <f>IF(ISERROR(B36/SUM($B$32,$B$34,$B$35,$B$36,$B$38,$B$39)*100),0,B36/SUM($B$32,$B$34,$B$35,$B$36,$B$38,$B$39)*100)</f>
        <v>1.598151597156261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268.89999999999986</v>
      </c>
      <c r="C39" s="167">
        <f>IF(ISERROR(B39/SUM($B$32,$B$34,$B$35,$B$36,$B$38,$B$39)*100),0,B39/SUM($B$32,$B$34,$B$35,$B$36,$B$38,$B$39)*100)</f>
        <v>3.1213000580383037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6736</v>
      </c>
      <c r="C44" s="34" t="s">
        <v>110</v>
      </c>
      <c r="D44" s="174"/>
    </row>
    <row r="45" spans="1:7">
      <c r="A45" s="171" t="s">
        <v>71</v>
      </c>
      <c r="B45" s="33" t="str">
        <f t="shared" si="0"/>
        <v>-</v>
      </c>
      <c r="C45" s="34" t="s">
        <v>110</v>
      </c>
      <c r="D45" s="174"/>
    </row>
    <row r="46" spans="1:7">
      <c r="A46" s="171" t="s">
        <v>72</v>
      </c>
      <c r="B46" s="33">
        <f t="shared" si="0"/>
        <v>103.26057007125894</v>
      </c>
      <c r="C46" s="34" t="s">
        <v>110</v>
      </c>
      <c r="D46" s="174"/>
    </row>
    <row r="47" spans="1:7">
      <c r="A47" s="171" t="s">
        <v>73</v>
      </c>
      <c r="B47" s="33">
        <f t="shared" si="0"/>
        <v>1369.1586698337292</v>
      </c>
      <c r="C47" s="34" t="s">
        <v>110</v>
      </c>
      <c r="D47" s="174"/>
    </row>
    <row r="48" spans="1:7">
      <c r="A48" s="171" t="s">
        <v>74</v>
      </c>
      <c r="B48" s="33">
        <f t="shared" si="0"/>
        <v>137.68076009501189</v>
      </c>
      <c r="C48" s="33">
        <f>B48*10</f>
        <v>1376.807600950119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268.89999999999986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19122.101302000003</v>
      </c>
      <c r="C5" s="17">
        <f>IF(ISERROR('Eigen informatie GS &amp; warmtenet'!B60),0,'Eigen informatie GS &amp; warmtenet'!B60)</f>
        <v>0</v>
      </c>
      <c r="D5" s="30">
        <f>SUM(D6:D12)</f>
        <v>27295.181998546002</v>
      </c>
      <c r="E5" s="17">
        <f>SUM(E6:E12)</f>
        <v>233.29943613971338</v>
      </c>
      <c r="F5" s="17">
        <f>SUM(F6:F12)</f>
        <v>2337.3719256014092</v>
      </c>
      <c r="G5" s="18"/>
      <c r="H5" s="17"/>
      <c r="I5" s="17"/>
      <c r="J5" s="17">
        <f>SUM(J6:J12)</f>
        <v>6.7975571864552775E-2</v>
      </c>
      <c r="K5" s="17"/>
      <c r="L5" s="17"/>
      <c r="M5" s="17"/>
      <c r="N5" s="17">
        <f>SUM(N6:N12)</f>
        <v>2662.7520049096024</v>
      </c>
      <c r="O5" s="17">
        <f>B38*B39*B40</f>
        <v>9.7945215316823084</v>
      </c>
      <c r="P5" s="17">
        <f>B46*B47*B48/1000-B46*B47*B48/1000/B49</f>
        <v>105.07827661299004</v>
      </c>
      <c r="R5" s="32"/>
    </row>
    <row r="6" spans="1:18">
      <c r="A6" s="32" t="s">
        <v>53</v>
      </c>
      <c r="B6" s="37">
        <f>B26</f>
        <v>7132.3976009999997</v>
      </c>
      <c r="C6" s="33"/>
      <c r="D6" s="37">
        <f>IF(ISERROR(TER_kantoor_gas_kWh/1000),0,TER_kantoor_gas_kWh/1000)*0.902</f>
        <v>14891.286141819999</v>
      </c>
      <c r="E6" s="33">
        <f>$C$26*'E Balans VL '!I12/100/3.6*1000000</f>
        <v>57.392116668414431</v>
      </c>
      <c r="F6" s="33">
        <f>$C$26*('E Balans VL '!L12+'E Balans VL '!N12)/100/3.6*1000000</f>
        <v>872.01063714286431</v>
      </c>
      <c r="G6" s="34"/>
      <c r="H6" s="33"/>
      <c r="I6" s="33"/>
      <c r="J6" s="33">
        <f>$C$26*('E Balans VL '!D12+'E Balans VL '!E12)/100/3.6*1000000</f>
        <v>0</v>
      </c>
      <c r="K6" s="33"/>
      <c r="L6" s="33"/>
      <c r="M6" s="33"/>
      <c r="N6" s="33">
        <f>$C$26*'E Balans VL '!Y12/100/3.6*1000000</f>
        <v>3.8333124779711305</v>
      </c>
      <c r="O6" s="33"/>
      <c r="P6" s="33"/>
      <c r="R6" s="32"/>
    </row>
    <row r="7" spans="1:18">
      <c r="A7" s="32" t="s">
        <v>52</v>
      </c>
      <c r="B7" s="37">
        <f t="shared" ref="B7:B12" si="0">B27</f>
        <v>878.47299299999997</v>
      </c>
      <c r="C7" s="33"/>
      <c r="D7" s="37">
        <f>IF(ISERROR(TER_horeca_gas_kWh/1000),0,TER_horeca_gas_kWh/1000)*0.902</f>
        <v>1638.207760112</v>
      </c>
      <c r="E7" s="33">
        <f>$C$27*'E Balans VL '!I9/100/3.6*1000000</f>
        <v>9.4326427922804346</v>
      </c>
      <c r="F7" s="33">
        <f>$C$27*('E Balans VL '!L9+'E Balans VL '!N9)/100/3.6*1000000</f>
        <v>105.65899923624271</v>
      </c>
      <c r="G7" s="34"/>
      <c r="H7" s="33"/>
      <c r="I7" s="33"/>
      <c r="J7" s="33">
        <f>$C$27*('E Balans VL '!D9+'E Balans VL '!E9)/100/3.6*1000000</f>
        <v>0</v>
      </c>
      <c r="K7" s="33"/>
      <c r="L7" s="33"/>
      <c r="M7" s="33"/>
      <c r="N7" s="33">
        <f>$C$27*'E Balans VL '!Y9/100/3.6*1000000</f>
        <v>0.13170090623118241</v>
      </c>
      <c r="O7" s="33"/>
      <c r="P7" s="33"/>
      <c r="R7" s="32"/>
    </row>
    <row r="8" spans="1:18">
      <c r="A8" s="6" t="s">
        <v>51</v>
      </c>
      <c r="B8" s="37">
        <f t="shared" si="0"/>
        <v>3499.8718650000001</v>
      </c>
      <c r="C8" s="33"/>
      <c r="D8" s="37">
        <f>IF(ISERROR(TER_handel_gas_kWh/1000),0,TER_handel_gas_kWh/1000)*0.902</f>
        <v>1969.4331590999998</v>
      </c>
      <c r="E8" s="33">
        <f>$C$28*'E Balans VL '!I13/100/3.6*1000000</f>
        <v>93.925846102826924</v>
      </c>
      <c r="F8" s="33">
        <f>$C$28*('E Balans VL '!L13+'E Balans VL '!N13)/100/3.6*1000000</f>
        <v>333.99564475325053</v>
      </c>
      <c r="G8" s="34"/>
      <c r="H8" s="33"/>
      <c r="I8" s="33"/>
      <c r="J8" s="33">
        <f>$C$28*('E Balans VL '!D13+'E Balans VL '!E13)/100/3.6*1000000</f>
        <v>0</v>
      </c>
      <c r="K8" s="33"/>
      <c r="L8" s="33"/>
      <c r="M8" s="33"/>
      <c r="N8" s="33">
        <f>$C$28*'E Balans VL '!Y13/100/3.6*1000000</f>
        <v>1.3873890021782382</v>
      </c>
      <c r="O8" s="33"/>
      <c r="P8" s="33"/>
      <c r="R8" s="32"/>
    </row>
    <row r="9" spans="1:18">
      <c r="A9" s="32" t="s">
        <v>50</v>
      </c>
      <c r="B9" s="37">
        <f t="shared" si="0"/>
        <v>354.06001799999996</v>
      </c>
      <c r="C9" s="33"/>
      <c r="D9" s="37">
        <f>IF(ISERROR(TER_gezond_gas_kWh/1000),0,TER_gezond_gas_kWh/1000)*0.902</f>
        <v>1010.624637154</v>
      </c>
      <c r="E9" s="33">
        <f>$C$29*'E Balans VL '!I10/100/3.6*1000000</f>
        <v>0.66362376068005779</v>
      </c>
      <c r="F9" s="33">
        <f>$C$29*('E Balans VL '!L10+'E Balans VL '!N10)/100/3.6*1000000</f>
        <v>29.106964028339757</v>
      </c>
      <c r="G9" s="34"/>
      <c r="H9" s="33"/>
      <c r="I9" s="33"/>
      <c r="J9" s="33">
        <f>$C$29*('E Balans VL '!D10+'E Balans VL '!E10)/100/3.6*1000000</f>
        <v>0</v>
      </c>
      <c r="K9" s="33"/>
      <c r="L9" s="33"/>
      <c r="M9" s="33"/>
      <c r="N9" s="33">
        <f>$C$29*'E Balans VL '!Y10/100/3.6*1000000</f>
        <v>2.7548511067707402</v>
      </c>
      <c r="O9" s="33"/>
      <c r="P9" s="33"/>
      <c r="R9" s="32"/>
    </row>
    <row r="10" spans="1:18">
      <c r="A10" s="32" t="s">
        <v>49</v>
      </c>
      <c r="B10" s="37">
        <f t="shared" si="0"/>
        <v>3807.2052979999999</v>
      </c>
      <c r="C10" s="33"/>
      <c r="D10" s="37">
        <f>IF(ISERROR(TER_ander_gas_kWh/1000),0,TER_ander_gas_kWh/1000)*0.902</f>
        <v>2643.9568536480001</v>
      </c>
      <c r="E10" s="33">
        <f>$C$30*'E Balans VL '!I14/100/3.6*1000000</f>
        <v>5.8688455446822063</v>
      </c>
      <c r="F10" s="33">
        <f>$C$30*('E Balans VL '!L14+'E Balans VL '!N14)/100/3.6*1000000</f>
        <v>591.06967355130723</v>
      </c>
      <c r="G10" s="34"/>
      <c r="H10" s="33"/>
      <c r="I10" s="33"/>
      <c r="J10" s="33">
        <f>$C$30*('E Balans VL '!D14+'E Balans VL '!E14)/100/3.6*1000000</f>
        <v>6.4631325106675311E-2</v>
      </c>
      <c r="K10" s="33"/>
      <c r="L10" s="33"/>
      <c r="M10" s="33"/>
      <c r="N10" s="33">
        <f>$C$30*'E Balans VL '!Y14/100/3.6*1000000</f>
        <v>2518.7250051429264</v>
      </c>
      <c r="O10" s="33"/>
      <c r="P10" s="33"/>
      <c r="R10" s="32"/>
    </row>
    <row r="11" spans="1:18">
      <c r="A11" s="32" t="s">
        <v>54</v>
      </c>
      <c r="B11" s="37">
        <f t="shared" si="0"/>
        <v>1705.0692199999999</v>
      </c>
      <c r="C11" s="33"/>
      <c r="D11" s="37">
        <f>IF(ISERROR(TER_onderwijs_gas_kWh/1000),0,TER_onderwijs_gas_kWh/1000)*0.902</f>
        <v>1134.1245874639999</v>
      </c>
      <c r="E11" s="33">
        <f>$C$31*'E Balans VL '!I11/100/3.6*1000000</f>
        <v>43.490910828995354</v>
      </c>
      <c r="F11" s="33">
        <f>$C$31*('E Balans VL '!L11+'E Balans VL '!N11)/100/3.6*1000000</f>
        <v>205.05062242765533</v>
      </c>
      <c r="G11" s="34"/>
      <c r="H11" s="33"/>
      <c r="I11" s="33"/>
      <c r="J11" s="33">
        <f>$C$31*('E Balans VL '!D11+'E Balans VL '!E11)/100/3.6*1000000</f>
        <v>0</v>
      </c>
      <c r="K11" s="33"/>
      <c r="L11" s="33"/>
      <c r="M11" s="33"/>
      <c r="N11" s="33">
        <f>$C$31*'E Balans VL '!Y11/100/3.6*1000000</f>
        <v>3.7920323412325425</v>
      </c>
      <c r="O11" s="33"/>
      <c r="P11" s="33"/>
      <c r="R11" s="32"/>
    </row>
    <row r="12" spans="1:18">
      <c r="A12" s="32" t="s">
        <v>259</v>
      </c>
      <c r="B12" s="37">
        <f t="shared" si="0"/>
        <v>1745.0243070000001</v>
      </c>
      <c r="C12" s="33"/>
      <c r="D12" s="37">
        <f>IF(ISERROR(TER_rest_gas_kWh/1000),0,TER_rest_gas_kWh/1000)*0.902</f>
        <v>4007.5488592480006</v>
      </c>
      <c r="E12" s="33">
        <f>$C$32*'E Balans VL '!I8/100/3.6*1000000</f>
        <v>22.525450441833957</v>
      </c>
      <c r="F12" s="33">
        <f>$C$32*('E Balans VL '!L8+'E Balans VL '!N8)/100/3.6*1000000</f>
        <v>200.47938446174945</v>
      </c>
      <c r="G12" s="34"/>
      <c r="H12" s="33"/>
      <c r="I12" s="33"/>
      <c r="J12" s="33">
        <f>$C$32*('E Balans VL '!D8+'E Balans VL '!E8)/100/3.6*1000000</f>
        <v>3.3442467578774586E-3</v>
      </c>
      <c r="K12" s="33"/>
      <c r="L12" s="33"/>
      <c r="M12" s="33"/>
      <c r="N12" s="33">
        <f>$C$32*'E Balans VL '!Y8/100/3.6*1000000</f>
        <v>132.12771393229184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19122.101302000003</v>
      </c>
      <c r="C16" s="21">
        <f t="shared" ca="1" si="1"/>
        <v>0</v>
      </c>
      <c r="D16" s="21">
        <f t="shared" ca="1" si="1"/>
        <v>27295.181998546002</v>
      </c>
      <c r="E16" s="21">
        <f t="shared" si="1"/>
        <v>233.29943613971338</v>
      </c>
      <c r="F16" s="21">
        <f t="shared" ca="1" si="1"/>
        <v>2337.3719256014092</v>
      </c>
      <c r="G16" s="21">
        <f t="shared" si="1"/>
        <v>0</v>
      </c>
      <c r="H16" s="21">
        <f t="shared" si="1"/>
        <v>0</v>
      </c>
      <c r="I16" s="21">
        <f t="shared" si="1"/>
        <v>0</v>
      </c>
      <c r="J16" s="21">
        <f t="shared" si="1"/>
        <v>6.7975571864552775E-2</v>
      </c>
      <c r="K16" s="21">
        <f t="shared" si="1"/>
        <v>0</v>
      </c>
      <c r="L16" s="21">
        <f t="shared" ca="1" si="1"/>
        <v>0</v>
      </c>
      <c r="M16" s="21">
        <f t="shared" si="1"/>
        <v>0</v>
      </c>
      <c r="N16" s="21">
        <f t="shared" ca="1" si="1"/>
        <v>2662.7520049096024</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0.21189522259607818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4051.8819118920469</v>
      </c>
      <c r="C20" s="23">
        <f t="shared" ref="C20:P20" ca="1" si="2">C16*C18</f>
        <v>0</v>
      </c>
      <c r="D20" s="23">
        <f t="shared" ca="1" si="2"/>
        <v>5513.6267637062929</v>
      </c>
      <c r="E20" s="23">
        <f t="shared" si="2"/>
        <v>52.958972003714941</v>
      </c>
      <c r="F20" s="23">
        <f t="shared" ca="1" si="2"/>
        <v>624.07830413557633</v>
      </c>
      <c r="G20" s="23">
        <f t="shared" si="2"/>
        <v>0</v>
      </c>
      <c r="H20" s="23">
        <f t="shared" si="2"/>
        <v>0</v>
      </c>
      <c r="I20" s="23">
        <f t="shared" si="2"/>
        <v>0</v>
      </c>
      <c r="J20" s="23">
        <f t="shared" si="2"/>
        <v>2.4063352440051682E-2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7132.3976009999997</v>
      </c>
      <c r="C26" s="39">
        <f>IF(ISERROR(B26*3.6/1000000/'E Balans VL '!Z12*100),0,B26*3.6/1000000/'E Balans VL '!Z12*100)</f>
        <v>0.15130728971074506</v>
      </c>
      <c r="D26" s="237" t="s">
        <v>708</v>
      </c>
      <c r="F26" s="6"/>
    </row>
    <row r="27" spans="1:18">
      <c r="A27" s="231" t="s">
        <v>52</v>
      </c>
      <c r="B27" s="33">
        <f>IF(ISERROR(TER_horeca_ele_kWh/1000),0,TER_horeca_ele_kWh/1000)</f>
        <v>878.47299299999997</v>
      </c>
      <c r="C27" s="39">
        <f>IF(ISERROR(B27*3.6/1000000/'E Balans VL '!Z9*100),0,B27*3.6/1000000/'E Balans VL '!Z9*100)</f>
        <v>6.6156798331669153E-2</v>
      </c>
      <c r="D27" s="237" t="s">
        <v>708</v>
      </c>
      <c r="F27" s="6"/>
    </row>
    <row r="28" spans="1:18">
      <c r="A28" s="171" t="s">
        <v>51</v>
      </c>
      <c r="B28" s="33">
        <f>IF(ISERROR(TER_handel_ele_kWh/1000),0,TER_handel_ele_kWh/1000)</f>
        <v>3499.8718650000001</v>
      </c>
      <c r="C28" s="39">
        <f>IF(ISERROR(B28*3.6/1000000/'E Balans VL '!Z13*100),0,B28*3.6/1000000/'E Balans VL '!Z13*100)</f>
        <v>0.10158887922738287</v>
      </c>
      <c r="D28" s="237" t="s">
        <v>708</v>
      </c>
      <c r="F28" s="6"/>
    </row>
    <row r="29" spans="1:18">
      <c r="A29" s="231" t="s">
        <v>50</v>
      </c>
      <c r="B29" s="33">
        <f>IF(ISERROR(TER_gezond_ele_kWh/1000),0,TER_gezond_ele_kWh/1000)</f>
        <v>354.06001799999996</v>
      </c>
      <c r="C29" s="39">
        <f>IF(ISERROR(B29*3.6/1000000/'E Balans VL '!Z10*100),0,B29*3.6/1000000/'E Balans VL '!Z10*100)</f>
        <v>3.5707375049068665E-2</v>
      </c>
      <c r="D29" s="237" t="s">
        <v>708</v>
      </c>
      <c r="F29" s="6"/>
    </row>
    <row r="30" spans="1:18">
      <c r="A30" s="231" t="s">
        <v>49</v>
      </c>
      <c r="B30" s="33">
        <f>IF(ISERROR(TER_ander_ele_kWh/1000),0,TER_ander_ele_kWh/1000)</f>
        <v>3807.2052979999999</v>
      </c>
      <c r="C30" s="39">
        <f>IF(ISERROR(B30*3.6/1000000/'E Balans VL '!Z14*100),0,B30*3.6/1000000/'E Balans VL '!Z14*100)</f>
        <v>0.27626468417359173</v>
      </c>
      <c r="D30" s="237" t="s">
        <v>708</v>
      </c>
      <c r="F30" s="6"/>
    </row>
    <row r="31" spans="1:18">
      <c r="A31" s="231" t="s">
        <v>54</v>
      </c>
      <c r="B31" s="33">
        <f>IF(ISERROR(TER_onderwijs_ele_kWh/1000),0,TER_onderwijs_ele_kWh/1000)</f>
        <v>1705.0692199999999</v>
      </c>
      <c r="C31" s="39">
        <f>IF(ISERROR(B31*3.6/1000000/'E Balans VL '!Z11*100),0,B31*3.6/1000000/'E Balans VL '!Z11*100)</f>
        <v>0.48601416135172093</v>
      </c>
      <c r="D31" s="237" t="s">
        <v>708</v>
      </c>
    </row>
    <row r="32" spans="1:18">
      <c r="A32" s="231" t="s">
        <v>259</v>
      </c>
      <c r="B32" s="33">
        <f>IF(ISERROR(TER_rest_ele_kWh/1000),0,TER_rest_ele_kWh/1000)</f>
        <v>1745.0243070000001</v>
      </c>
      <c r="C32" s="39">
        <f>IF(ISERROR(B32*3.6/1000000/'E Balans VL '!Z8*100),0,B32*3.6/1000000/'E Balans VL '!Z8*100)</f>
        <v>1.4294883678133832E-2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1773.5388110000001</v>
      </c>
      <c r="C5" s="17">
        <f>IF(ISERROR('Eigen informatie GS &amp; warmtenet'!B61),0,'Eigen informatie GS &amp; warmtenet'!B61)</f>
        <v>0</v>
      </c>
      <c r="D5" s="30">
        <f>SUM(D6:D15)</f>
        <v>4371.2351654399999</v>
      </c>
      <c r="E5" s="17">
        <f>SUM(E6:E15)</f>
        <v>186.64883453347935</v>
      </c>
      <c r="F5" s="17">
        <f>SUM(F6:F15)</f>
        <v>612.32884233607319</v>
      </c>
      <c r="G5" s="18"/>
      <c r="H5" s="17"/>
      <c r="I5" s="17"/>
      <c r="J5" s="17">
        <f>SUM(J6:J15)</f>
        <v>4.4159002374552649</v>
      </c>
      <c r="K5" s="17"/>
      <c r="L5" s="17"/>
      <c r="M5" s="17"/>
      <c r="N5" s="17">
        <f>SUM(N6:N15)</f>
        <v>100.05684571901864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88.093999999999994</v>
      </c>
      <c r="C8" s="33"/>
      <c r="D8" s="37">
        <f>IF( ISERROR(IND_metaal_Gas_kWH/1000),0,IND_metaal_Gas_kWH/1000)*0.902</f>
        <v>0</v>
      </c>
      <c r="E8" s="33">
        <f>C30*'E Balans VL '!I18/100/3.6*1000000</f>
        <v>0.63553637985218125</v>
      </c>
      <c r="F8" s="33">
        <f>C30*'E Balans VL '!L18/100/3.6*1000000+C30*'E Balans VL '!N18/100/3.6*1000000</f>
        <v>8.3320680604253319</v>
      </c>
      <c r="G8" s="34"/>
      <c r="H8" s="33"/>
      <c r="I8" s="33"/>
      <c r="J8" s="40">
        <f>C30*'E Balans VL '!D18/100/3.6*1000000+C30*'E Balans VL '!E18/100/3.6*1000000</f>
        <v>8.8605457131686896E-2</v>
      </c>
      <c r="K8" s="33"/>
      <c r="L8" s="33"/>
      <c r="M8" s="33"/>
      <c r="N8" s="33">
        <f>C30*'E Balans VL '!Y18/100/3.6*1000000</f>
        <v>1.1137412337134591</v>
      </c>
      <c r="O8" s="33"/>
      <c r="P8" s="33"/>
      <c r="R8" s="32"/>
    </row>
    <row r="9" spans="1:18">
      <c r="A9" s="6" t="s">
        <v>32</v>
      </c>
      <c r="B9" s="37">
        <f t="shared" si="0"/>
        <v>602.63299800000004</v>
      </c>
      <c r="C9" s="33"/>
      <c r="D9" s="37">
        <f>IF( ISERROR(IND_andere_gas_kWh/1000),0,IND_andere_gas_kWh/1000)*0.902</f>
        <v>1050.502565882</v>
      </c>
      <c r="E9" s="33">
        <f>C31*'E Balans VL '!I19/100/3.6*1000000</f>
        <v>166.99766195853411</v>
      </c>
      <c r="F9" s="33">
        <f>C31*'E Balans VL '!L19/100/3.6*1000000+C31*'E Balans VL '!N19/100/3.6*1000000</f>
        <v>499.46353104234544</v>
      </c>
      <c r="G9" s="34"/>
      <c r="H9" s="33"/>
      <c r="I9" s="33"/>
      <c r="J9" s="40">
        <f>C31*'E Balans VL '!D19/100/3.6*1000000+C31*'E Balans VL '!E19/100/3.6*1000000</f>
        <v>0</v>
      </c>
      <c r="K9" s="33"/>
      <c r="L9" s="33"/>
      <c r="M9" s="33"/>
      <c r="N9" s="33">
        <f>C31*'E Balans VL '!Y19/100/3.6*1000000</f>
        <v>43.743784655262843</v>
      </c>
      <c r="O9" s="33"/>
      <c r="P9" s="33"/>
      <c r="R9" s="32"/>
    </row>
    <row r="10" spans="1:18">
      <c r="A10" s="6" t="s">
        <v>40</v>
      </c>
      <c r="B10" s="37">
        <f t="shared" si="0"/>
        <v>695.69753500000002</v>
      </c>
      <c r="C10" s="33"/>
      <c r="D10" s="37">
        <f>IF( ISERROR(IND_voed_gas_kWh/1000),0,IND_voed_gas_kWh/1000)*0.902</f>
        <v>836.54835710600003</v>
      </c>
      <c r="E10" s="33">
        <f>C32*'E Balans VL '!I20/100/3.6*1000000</f>
        <v>1.2316202848131641</v>
      </c>
      <c r="F10" s="33">
        <f>C32*'E Balans VL '!L20/100/3.6*1000000+C32*'E Balans VL '!N20/100/3.6*1000000</f>
        <v>37.573832801943567</v>
      </c>
      <c r="G10" s="34"/>
      <c r="H10" s="33"/>
      <c r="I10" s="33"/>
      <c r="J10" s="40">
        <f>C32*'E Balans VL '!D20/100/3.6*1000000+C32*'E Balans VL '!E20/100/3.6*1000000</f>
        <v>0</v>
      </c>
      <c r="K10" s="33"/>
      <c r="L10" s="33"/>
      <c r="M10" s="33"/>
      <c r="N10" s="33">
        <f>C32*'E Balans VL '!Y20/100/3.6*1000000</f>
        <v>40.425339891780851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11.164841000000001</v>
      </c>
      <c r="C13" s="33"/>
      <c r="D13" s="37">
        <f>IF( ISERROR(IND_papier_gas_kWh/1000),0,IND_papier_gas_kWh/1000)*0.902</f>
        <v>46.839008194000002</v>
      </c>
      <c r="E13" s="33">
        <f>C35*'E Balans VL '!I23/100/3.6*1000000</f>
        <v>1.6427314896068534E-2</v>
      </c>
      <c r="F13" s="33">
        <f>C35*'E Balans VL '!L23/100/3.6*1000000+C35*'E Balans VL '!N23/100/3.6*1000000</f>
        <v>0.11954537491838893</v>
      </c>
      <c r="G13" s="34"/>
      <c r="H13" s="33"/>
      <c r="I13" s="33"/>
      <c r="J13" s="40">
        <f>C35*'E Balans VL '!D23/100/3.6*1000000+C35*'E Balans VL '!E23/100/3.6*1000000</f>
        <v>1.2214962145520438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375.94943699999999</v>
      </c>
      <c r="C15" s="33"/>
      <c r="D15" s="37">
        <f>IF( ISERROR(IND_rest_gas_kWh/1000),0,IND_rest_gas_kWh/1000)*0.902</f>
        <v>2437.3452342579999</v>
      </c>
      <c r="E15" s="33">
        <f>C37*'E Balans VL '!I15/100/3.6*1000000</f>
        <v>17.767588595383817</v>
      </c>
      <c r="F15" s="33">
        <f>C37*'E Balans VL '!L15/100/3.6*1000000+C37*'E Balans VL '!N15/100/3.6*1000000</f>
        <v>66.839865056440374</v>
      </c>
      <c r="G15" s="34"/>
      <c r="H15" s="33"/>
      <c r="I15" s="33"/>
      <c r="J15" s="40">
        <f>C37*'E Balans VL '!D15/100/3.6*1000000+C37*'E Balans VL '!E15/100/3.6*1000000</f>
        <v>3.1057985657715346</v>
      </c>
      <c r="K15" s="33"/>
      <c r="L15" s="33"/>
      <c r="M15" s="33"/>
      <c r="N15" s="33">
        <f>C37*'E Balans VL '!Y15/100/3.6*1000000</f>
        <v>14.773979938261469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1773.5388110000001</v>
      </c>
      <c r="C18" s="21">
        <f>C5+C16</f>
        <v>0</v>
      </c>
      <c r="D18" s="21">
        <f>MAX((D5+D16),0)</f>
        <v>4371.2351654399999</v>
      </c>
      <c r="E18" s="21">
        <f>MAX((E5+E16),0)</f>
        <v>186.64883453347935</v>
      </c>
      <c r="F18" s="21">
        <f>MAX((F5+F16),0)</f>
        <v>612.32884233607319</v>
      </c>
      <c r="G18" s="21"/>
      <c r="H18" s="21"/>
      <c r="I18" s="21"/>
      <c r="J18" s="21">
        <f>MAX((J5+J16),0)</f>
        <v>4.4159002374552649</v>
      </c>
      <c r="K18" s="21"/>
      <c r="L18" s="21">
        <f>MAX((L5+L16),0)</f>
        <v>0</v>
      </c>
      <c r="M18" s="21"/>
      <c r="N18" s="21">
        <f>MAX((N5+N16),0)</f>
        <v>100.05684571901864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0.21189522259607818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375.80440113962885</v>
      </c>
      <c r="C22" s="23">
        <f ca="1">C18*C20</f>
        <v>0</v>
      </c>
      <c r="D22" s="23">
        <f>D18*D20</f>
        <v>882.98950341888008</v>
      </c>
      <c r="E22" s="23">
        <f>E18*E20</f>
        <v>42.369285439099812</v>
      </c>
      <c r="F22" s="23">
        <f>F18*F20</f>
        <v>163.49180090373156</v>
      </c>
      <c r="G22" s="23"/>
      <c r="H22" s="23"/>
      <c r="I22" s="23"/>
      <c r="J22" s="23">
        <f>J18*J20</f>
        <v>1.5632286840591636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88.093999999999994</v>
      </c>
      <c r="C30" s="39">
        <f>IF(ISERROR(B30*3.6/1000000/'E Balans VL '!Z18*100),0,B30*3.6/1000000/'E Balans VL '!Z18*100)</f>
        <v>5.0855291627325524E-3</v>
      </c>
      <c r="D30" s="237" t="s">
        <v>708</v>
      </c>
    </row>
    <row r="31" spans="1:18">
      <c r="A31" s="6" t="s">
        <v>32</v>
      </c>
      <c r="B31" s="37">
        <f>IF( ISERROR(IND_ander_ele_kWh/1000),0,IND_ander_ele_kWh/1000)</f>
        <v>602.63299800000004</v>
      </c>
      <c r="C31" s="39">
        <f>IF(ISERROR(B31*3.6/1000000/'E Balans VL '!Z19*100),0,B31*3.6/1000000/'E Balans VL '!Z19*100)</f>
        <v>3.0310486440172955E-2</v>
      </c>
      <c r="D31" s="237" t="s">
        <v>708</v>
      </c>
    </row>
    <row r="32" spans="1:18">
      <c r="A32" s="171" t="s">
        <v>40</v>
      </c>
      <c r="B32" s="37">
        <f>IF( ISERROR(IND_voed_ele_kWh/1000),0,IND_voed_ele_kWh/1000)</f>
        <v>695.69753500000002</v>
      </c>
      <c r="C32" s="39">
        <f>IF(ISERROR(B32*3.6/1000000/'E Balans VL '!Z20*100),0,B32*3.6/1000000/'E Balans VL '!Z20*100)</f>
        <v>2.3170859140055212E-2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11.164841000000001</v>
      </c>
      <c r="C35" s="39">
        <f>IF(ISERROR(B35*3.6/1000000/'E Balans VL '!Z22*100),0,B35*3.6/1000000/'E Balans VL '!Z22*100)</f>
        <v>2.0826199541696773E-3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375.94943699999999</v>
      </c>
      <c r="C37" s="39">
        <f>IF(ISERROR(B37*3.6/1000000/'E Balans VL '!Z15*100),0,B37*3.6/1000000/'E Balans VL '!Z15*100)</f>
        <v>2.9334336916574523E-3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150.89014200000003</v>
      </c>
      <c r="C5" s="17">
        <f>'Eigen informatie GS &amp; warmtenet'!B62</f>
        <v>0</v>
      </c>
      <c r="D5" s="30">
        <f>IF(ISERROR(SUM(LB_lb_gas_kWh,LB_rest_gas_kWh)/1000),0,SUM(LB_lb_gas_kWh,LB_rest_gas_kWh)/1000)*0.902</f>
        <v>123.548293</v>
      </c>
      <c r="E5" s="17">
        <f>B17*'E Balans VL '!I25/3.6*1000000/100</f>
        <v>4.7092315743896371</v>
      </c>
      <c r="F5" s="17">
        <f>B17*('E Balans VL '!L25/3.6*1000000+'E Balans VL '!N25/3.6*1000000)/100</f>
        <v>533.26247698702275</v>
      </c>
      <c r="G5" s="18"/>
      <c r="H5" s="17"/>
      <c r="I5" s="17"/>
      <c r="J5" s="17">
        <f>('E Balans VL '!D25+'E Balans VL '!E25)/3.6*1000000*landbouw!B17/100</f>
        <v>41.571280534964075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150.89014200000003</v>
      </c>
      <c r="C8" s="21">
        <f>C5+C6</f>
        <v>0</v>
      </c>
      <c r="D8" s="21">
        <f>MAX((D5+D6),0)</f>
        <v>123.548293</v>
      </c>
      <c r="E8" s="21">
        <f>MAX((E5+E6),0)</f>
        <v>4.7092315743896371</v>
      </c>
      <c r="F8" s="21">
        <f>MAX((F5+F6),0)</f>
        <v>533.26247698702275</v>
      </c>
      <c r="G8" s="21"/>
      <c r="H8" s="21"/>
      <c r="I8" s="21"/>
      <c r="J8" s="21">
        <f>MAX((J5+J6),0)</f>
        <v>41.571280534964075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0.21189522259607818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31.972900226643851</v>
      </c>
      <c r="C12" s="23">
        <f ca="1">C8*C10</f>
        <v>0</v>
      </c>
      <c r="D12" s="23">
        <f>D8*D10</f>
        <v>24.956755186000002</v>
      </c>
      <c r="E12" s="23">
        <f>E8*E10</f>
        <v>1.0689955673864477</v>
      </c>
      <c r="F12" s="23">
        <f>F8*F10</f>
        <v>142.38108135553509</v>
      </c>
      <c r="G12" s="23"/>
      <c r="H12" s="23"/>
      <c r="I12" s="23"/>
      <c r="J12" s="23">
        <f>J8*J10</f>
        <v>14.716233309377282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2.2430901291297226E-2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43.148740807884195</v>
      </c>
      <c r="C26" s="247">
        <f>B26*'GWP N2O_CH4'!B5</f>
        <v>906.12355696556813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4.8184762976508102</v>
      </c>
      <c r="C27" s="247">
        <f>B27*'GWP N2O_CH4'!B5</f>
        <v>101.18800225066701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0.63503944793508915</v>
      </c>
      <c r="C28" s="247">
        <f>B28*'GWP N2O_CH4'!B4</f>
        <v>196.86222885987763</v>
      </c>
      <c r="D28" s="50"/>
    </row>
    <row r="29" spans="1:4">
      <c r="A29" s="41" t="s">
        <v>276</v>
      </c>
      <c r="B29" s="247">
        <f>B34*'ha_N2O bodem landbouw'!B4</f>
        <v>5.0145378861183758</v>
      </c>
      <c r="C29" s="247">
        <f>B29*'GWP N2O_CH4'!B4</f>
        <v>1554.5067446966964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1.0995978737011556E-3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4.4063231659353637E-4</v>
      </c>
      <c r="C5" s="437" t="s">
        <v>210</v>
      </c>
      <c r="D5" s="422">
        <f>SUM(D6:D11)</f>
        <v>1.6341728165484028E-3</v>
      </c>
      <c r="E5" s="422">
        <f>SUM(E6:E11)</f>
        <v>1.5418626327729254E-3</v>
      </c>
      <c r="F5" s="435" t="s">
        <v>210</v>
      </c>
      <c r="G5" s="422">
        <f>SUM(G6:G11)</f>
        <v>0.57984079148421963</v>
      </c>
      <c r="H5" s="422">
        <f>SUM(H6:H11)</f>
        <v>0.15549529526629968</v>
      </c>
      <c r="I5" s="437" t="s">
        <v>210</v>
      </c>
      <c r="J5" s="437" t="s">
        <v>210</v>
      </c>
      <c r="K5" s="437" t="s">
        <v>210</v>
      </c>
      <c r="L5" s="437" t="s">
        <v>210</v>
      </c>
      <c r="M5" s="422">
        <f>SUM(M6:M11)</f>
        <v>4.3718485087468985E-2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1.0041543605540341E-4</v>
      </c>
      <c r="C6" s="423"/>
      <c r="D6" s="890">
        <f>vkm_GW_PW*SUMIFS(TableVerdeelsleutelVkm[CNG],TableVerdeelsleutelVkm[Voertuigtype],"Lichte voertuigen")*SUMIFS(TableECFTransport[EnergieConsumptieFactor (PJ per km)],TableECFTransport[Index],CONCATENATE($A6,"_CNG_CNG"))</f>
        <v>3.2347852716042212E-4</v>
      </c>
      <c r="E6" s="890">
        <f>vkm_GW_PW*SUMIFS(TableVerdeelsleutelVkm[LPG],TableVerdeelsleutelVkm[Voertuigtype],"Lichte voertuigen")*SUMIFS(TableECFTransport[EnergieConsumptieFactor (PJ per km)],TableECFTransport[Index],CONCATENATE($A6,"_LPG_LPG"))</f>
        <v>2.7663126942110983E-4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8.9365576491511445E-2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3.0303318908110034E-2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7.1575980272835845E-3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7.720826479580477E-3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1.1040088622802799E-7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4.4504701701419686E-4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9.5169874852525502E-5</v>
      </c>
      <c r="C8" s="423"/>
      <c r="D8" s="425">
        <f>vkm_NGW_PW*SUMIFS(TableVerdeelsleutelVkm[CNG],TableVerdeelsleutelVkm[Voertuigtype],"Lichte voertuigen")*SUMIFS(TableECFTransport[EnergieConsumptieFactor (PJ per km)],TableECFTransport[Index],CONCATENATE($A8,"_CNG_CNG"))</f>
        <v>5.1943392727726834E-4</v>
      </c>
      <c r="E8" s="425">
        <f>vkm_NGW_PW*SUMIFS(TableVerdeelsleutelVkm[LPG],TableVerdeelsleutelVkm[Voertuigtype],"Lichte voertuigen")*SUMIFS(TableECFTransport[EnergieConsumptieFactor (PJ per km)],TableECFTransport[Index],CONCATENATE($A8,"_LPG_LPG"))</f>
        <v>4.2207064755349447E-4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0.12741051364963135</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4.7847054811286358E-2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1.0512165182991468E-2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1.9963486268405294E-3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3.6193515067884298E-8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1.1507484504813099E-4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2.4504700568560745E-4</v>
      </c>
      <c r="C10" s="423"/>
      <c r="D10" s="425">
        <f>vkm_SW_PW*SUMIFS(TableVerdeelsleutelVkm[CNG],TableVerdeelsleutelVkm[Voertuigtype],"Lichte voertuigen")*SUMIFS(TableECFTransport[EnergieConsumptieFactor (PJ per km)],TableECFTransport[Index],CONCATENATE($A10,"_CNG_CNG"))</f>
        <v>7.9126036211071241E-4</v>
      </c>
      <c r="E10" s="425">
        <f>vkm_SW_PW*SUMIFS(TableVerdeelsleutelVkm[LPG],TableVerdeelsleutelVkm[Voertuigtype],"Lichte voertuigen")*SUMIFS(TableECFTransport[EnergieConsumptieFactor (PJ per km)],TableECFTransport[Index],CONCATENATE($A10,"_LPG_LPG"))</f>
        <v>8.4316071579832103E-4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0.24269113422125529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7.7343084275246249E-2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1.911009212865733E-2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0.11065639201540053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1.6906772557547783E-6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6.3785078864742736E-3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122.39786572042676</v>
      </c>
      <c r="C14" s="21"/>
      <c r="D14" s="21">
        <f t="shared" ref="D14:M14" si="0">((D5)*10^9/3600)+D12</f>
        <v>453.9368934856675</v>
      </c>
      <c r="E14" s="21">
        <f t="shared" si="0"/>
        <v>428.295175770257</v>
      </c>
      <c r="F14" s="21"/>
      <c r="G14" s="21">
        <f t="shared" si="0"/>
        <v>161066.88652339435</v>
      </c>
      <c r="H14" s="21">
        <f t="shared" si="0"/>
        <v>43193.137573972141</v>
      </c>
      <c r="I14" s="21"/>
      <c r="J14" s="21"/>
      <c r="K14" s="21"/>
      <c r="L14" s="21"/>
      <c r="M14" s="21">
        <f t="shared" si="0"/>
        <v>12144.02363540805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0.21189522259607818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25.935523002114717</v>
      </c>
      <c r="C18" s="23"/>
      <c r="D18" s="23">
        <f t="shared" ref="D18:M18" si="1">D14*D16</f>
        <v>91.695252484104842</v>
      </c>
      <c r="E18" s="23">
        <f t="shared" si="1"/>
        <v>97.223004899848348</v>
      </c>
      <c r="F18" s="23"/>
      <c r="G18" s="23">
        <f t="shared" si="1"/>
        <v>43004.858701746292</v>
      </c>
      <c r="H18" s="23">
        <f t="shared" si="1"/>
        <v>10755.091255919064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1.5513680911530643E-2</v>
      </c>
      <c r="H50" s="319">
        <f t="shared" si="2"/>
        <v>0</v>
      </c>
      <c r="I50" s="319">
        <f t="shared" si="2"/>
        <v>0</v>
      </c>
      <c r="J50" s="319">
        <f t="shared" si="2"/>
        <v>0</v>
      </c>
      <c r="K50" s="319">
        <f t="shared" si="2"/>
        <v>0</v>
      </c>
      <c r="L50" s="319">
        <f t="shared" si="2"/>
        <v>0</v>
      </c>
      <c r="M50" s="319">
        <f t="shared" si="2"/>
        <v>8.6211644374813081E-4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1.5513680911530643E-2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8.6211644374813081E-4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4309.3558087585125</v>
      </c>
      <c r="H54" s="21">
        <f t="shared" si="3"/>
        <v>0</v>
      </c>
      <c r="I54" s="21">
        <f t="shared" si="3"/>
        <v>0</v>
      </c>
      <c r="J54" s="21">
        <f t="shared" si="3"/>
        <v>0</v>
      </c>
      <c r="K54" s="21">
        <f t="shared" si="3"/>
        <v>0</v>
      </c>
      <c r="L54" s="21">
        <f t="shared" si="3"/>
        <v>0</v>
      </c>
      <c r="M54" s="21">
        <f t="shared" si="3"/>
        <v>239.47678993003635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0.21189522259607818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1150.598000938523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20086.795302000002</v>
      </c>
      <c r="D10" s="686">
        <f ca="1">tertiair!C16</f>
        <v>0</v>
      </c>
      <c r="E10" s="686">
        <f ca="1">tertiair!D16</f>
        <v>27295.181998546002</v>
      </c>
      <c r="F10" s="686">
        <f>tertiair!E16</f>
        <v>233.29943613971338</v>
      </c>
      <c r="G10" s="686">
        <f ca="1">tertiair!F16</f>
        <v>2337.3719256014092</v>
      </c>
      <c r="H10" s="686">
        <f>tertiair!G16</f>
        <v>0</v>
      </c>
      <c r="I10" s="686">
        <f>tertiair!H16</f>
        <v>0</v>
      </c>
      <c r="J10" s="686">
        <f>tertiair!I16</f>
        <v>0</v>
      </c>
      <c r="K10" s="686">
        <f>tertiair!J16</f>
        <v>6.7975571864552775E-2</v>
      </c>
      <c r="L10" s="686">
        <f>tertiair!K16</f>
        <v>0</v>
      </c>
      <c r="M10" s="686">
        <f ca="1">tertiair!L16</f>
        <v>0</v>
      </c>
      <c r="N10" s="686">
        <f>tertiair!M16</f>
        <v>0</v>
      </c>
      <c r="O10" s="686">
        <f ca="1">tertiair!N16</f>
        <v>2662.7520049096024</v>
      </c>
      <c r="P10" s="686">
        <f>tertiair!O16</f>
        <v>9.7945215316823084</v>
      </c>
      <c r="Q10" s="687">
        <f>tertiair!P16</f>
        <v>105.07827661299004</v>
      </c>
      <c r="R10" s="689">
        <f ca="1">SUM(C10:Q10)</f>
        <v>52730.341440913267</v>
      </c>
      <c r="S10" s="67"/>
    </row>
    <row r="11" spans="1:19" s="448" customFormat="1">
      <c r="A11" s="808" t="s">
        <v>224</v>
      </c>
      <c r="B11" s="813"/>
      <c r="C11" s="686">
        <f>huishoudens!B8</f>
        <v>35612.456462103823</v>
      </c>
      <c r="D11" s="686">
        <f>huishoudens!C8</f>
        <v>0</v>
      </c>
      <c r="E11" s="686">
        <f>huishoudens!D8</f>
        <v>131887.12384029603</v>
      </c>
      <c r="F11" s="686">
        <f>huishoudens!E8</f>
        <v>5610.5140122937401</v>
      </c>
      <c r="G11" s="686">
        <f>huishoudens!F8</f>
        <v>5580.7177609087721</v>
      </c>
      <c r="H11" s="686">
        <f>huishoudens!G8</f>
        <v>0</v>
      </c>
      <c r="I11" s="686">
        <f>huishoudens!H8</f>
        <v>0</v>
      </c>
      <c r="J11" s="686">
        <f>huishoudens!I8</f>
        <v>0</v>
      </c>
      <c r="K11" s="686">
        <f>huishoudens!J8</f>
        <v>0</v>
      </c>
      <c r="L11" s="686">
        <f>huishoudens!K8</f>
        <v>0</v>
      </c>
      <c r="M11" s="686">
        <f>huishoudens!L8</f>
        <v>0</v>
      </c>
      <c r="N11" s="686">
        <f>huishoudens!M8</f>
        <v>0</v>
      </c>
      <c r="O11" s="686">
        <f>huishoudens!N8</f>
        <v>9333.7052375110525</v>
      </c>
      <c r="P11" s="686">
        <f>huishoudens!O8</f>
        <v>372.98414524476198</v>
      </c>
      <c r="Q11" s="687">
        <f>huishoudens!P8</f>
        <v>695.2413143072115</v>
      </c>
      <c r="R11" s="689">
        <f>SUM(C11:Q11)</f>
        <v>189092.74277266537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1773.5388110000001</v>
      </c>
      <c r="D13" s="686">
        <f>industrie!C18</f>
        <v>0</v>
      </c>
      <c r="E13" s="686">
        <f>industrie!D18</f>
        <v>4371.2351654399999</v>
      </c>
      <c r="F13" s="686">
        <f>industrie!E18</f>
        <v>186.64883453347935</v>
      </c>
      <c r="G13" s="686">
        <f>industrie!F18</f>
        <v>612.32884233607319</v>
      </c>
      <c r="H13" s="686">
        <f>industrie!G18</f>
        <v>0</v>
      </c>
      <c r="I13" s="686">
        <f>industrie!H18</f>
        <v>0</v>
      </c>
      <c r="J13" s="686">
        <f>industrie!I18</f>
        <v>0</v>
      </c>
      <c r="K13" s="686">
        <f>industrie!J18</f>
        <v>4.4159002374552649</v>
      </c>
      <c r="L13" s="686">
        <f>industrie!K18</f>
        <v>0</v>
      </c>
      <c r="M13" s="686">
        <f>industrie!L18</f>
        <v>0</v>
      </c>
      <c r="N13" s="686">
        <f>industrie!M18</f>
        <v>0</v>
      </c>
      <c r="O13" s="686">
        <f>industrie!N18</f>
        <v>100.05684571901864</v>
      </c>
      <c r="P13" s="686">
        <f>industrie!O18</f>
        <v>0</v>
      </c>
      <c r="Q13" s="687">
        <f>industrie!P18</f>
        <v>0</v>
      </c>
      <c r="R13" s="689">
        <f>SUM(C13:Q13)</f>
        <v>7048.2243992660269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57472.790575103827</v>
      </c>
      <c r="D16" s="722">
        <f t="shared" ref="D16:R16" ca="1" si="0">SUM(D9:D15)</f>
        <v>0</v>
      </c>
      <c r="E16" s="722">
        <f t="shared" ca="1" si="0"/>
        <v>163553.54100428204</v>
      </c>
      <c r="F16" s="722">
        <f t="shared" si="0"/>
        <v>6030.4622829669324</v>
      </c>
      <c r="G16" s="722">
        <f t="shared" ca="1" si="0"/>
        <v>8530.418528846254</v>
      </c>
      <c r="H16" s="722">
        <f t="shared" si="0"/>
        <v>0</v>
      </c>
      <c r="I16" s="722">
        <f t="shared" si="0"/>
        <v>0</v>
      </c>
      <c r="J16" s="722">
        <f t="shared" si="0"/>
        <v>0</v>
      </c>
      <c r="K16" s="722">
        <f t="shared" si="0"/>
        <v>4.4838758093198177</v>
      </c>
      <c r="L16" s="722">
        <f t="shared" si="0"/>
        <v>0</v>
      </c>
      <c r="M16" s="722">
        <f t="shared" ca="1" si="0"/>
        <v>0</v>
      </c>
      <c r="N16" s="722">
        <f t="shared" si="0"/>
        <v>0</v>
      </c>
      <c r="O16" s="722">
        <f t="shared" ca="1" si="0"/>
        <v>12096.514088139673</v>
      </c>
      <c r="P16" s="722">
        <f t="shared" si="0"/>
        <v>382.77866677644431</v>
      </c>
      <c r="Q16" s="722">
        <f t="shared" si="0"/>
        <v>800.31959092020156</v>
      </c>
      <c r="R16" s="722">
        <f t="shared" ca="1" si="0"/>
        <v>248871.30861284467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4309.3558087585125</v>
      </c>
      <c r="I19" s="686">
        <f>transport!H54</f>
        <v>0</v>
      </c>
      <c r="J19" s="686">
        <f>transport!I54</f>
        <v>0</v>
      </c>
      <c r="K19" s="686">
        <f>transport!J54</f>
        <v>0</v>
      </c>
      <c r="L19" s="686">
        <f>transport!K54</f>
        <v>0</v>
      </c>
      <c r="M19" s="686">
        <f>transport!L54</f>
        <v>0</v>
      </c>
      <c r="N19" s="686">
        <f>transport!M54</f>
        <v>239.47678993003635</v>
      </c>
      <c r="O19" s="686">
        <f>transport!N54</f>
        <v>0</v>
      </c>
      <c r="P19" s="686">
        <f>transport!O54</f>
        <v>0</v>
      </c>
      <c r="Q19" s="687">
        <f>transport!P54</f>
        <v>0</v>
      </c>
      <c r="R19" s="689">
        <f>SUM(C19:Q19)</f>
        <v>4548.8325986885484</v>
      </c>
      <c r="S19" s="67"/>
    </row>
    <row r="20" spans="1:19" s="448" customFormat="1">
      <c r="A20" s="808" t="s">
        <v>306</v>
      </c>
      <c r="B20" s="813"/>
      <c r="C20" s="686">
        <f>transport!B14</f>
        <v>122.39786572042676</v>
      </c>
      <c r="D20" s="686">
        <f>transport!C14</f>
        <v>0</v>
      </c>
      <c r="E20" s="686">
        <f>transport!D14</f>
        <v>453.9368934856675</v>
      </c>
      <c r="F20" s="686">
        <f>transport!E14</f>
        <v>428.295175770257</v>
      </c>
      <c r="G20" s="686">
        <f>transport!F14</f>
        <v>0</v>
      </c>
      <c r="H20" s="686">
        <f>transport!G14</f>
        <v>161066.88652339435</v>
      </c>
      <c r="I20" s="686">
        <f>transport!H14</f>
        <v>43193.137573972141</v>
      </c>
      <c r="J20" s="686">
        <f>transport!I14</f>
        <v>0</v>
      </c>
      <c r="K20" s="686">
        <f>transport!J14</f>
        <v>0</v>
      </c>
      <c r="L20" s="686">
        <f>transport!K14</f>
        <v>0</v>
      </c>
      <c r="M20" s="686">
        <f>transport!L14</f>
        <v>0</v>
      </c>
      <c r="N20" s="686">
        <f>transport!M14</f>
        <v>12144.02363540805</v>
      </c>
      <c r="O20" s="686">
        <f>transport!N14</f>
        <v>0</v>
      </c>
      <c r="P20" s="686">
        <f>transport!O14</f>
        <v>0</v>
      </c>
      <c r="Q20" s="687">
        <f>transport!P14</f>
        <v>0</v>
      </c>
      <c r="R20" s="689">
        <f>SUM(C20:Q20)</f>
        <v>217408.67766775089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122.39786572042676</v>
      </c>
      <c r="D22" s="811">
        <f t="shared" ref="D22:R22" si="1">SUM(D18:D21)</f>
        <v>0</v>
      </c>
      <c r="E22" s="811">
        <f t="shared" si="1"/>
        <v>453.9368934856675</v>
      </c>
      <c r="F22" s="811">
        <f t="shared" si="1"/>
        <v>428.295175770257</v>
      </c>
      <c r="G22" s="811">
        <f t="shared" si="1"/>
        <v>0</v>
      </c>
      <c r="H22" s="811">
        <f t="shared" si="1"/>
        <v>165376.24233215288</v>
      </c>
      <c r="I22" s="811">
        <f t="shared" si="1"/>
        <v>43193.137573972141</v>
      </c>
      <c r="J22" s="811">
        <f t="shared" si="1"/>
        <v>0</v>
      </c>
      <c r="K22" s="811">
        <f t="shared" si="1"/>
        <v>0</v>
      </c>
      <c r="L22" s="811">
        <f t="shared" si="1"/>
        <v>0</v>
      </c>
      <c r="M22" s="811">
        <f t="shared" si="1"/>
        <v>0</v>
      </c>
      <c r="N22" s="811">
        <f t="shared" si="1"/>
        <v>12383.500425338087</v>
      </c>
      <c r="O22" s="811">
        <f t="shared" si="1"/>
        <v>0</v>
      </c>
      <c r="P22" s="811">
        <f t="shared" si="1"/>
        <v>0</v>
      </c>
      <c r="Q22" s="811">
        <f t="shared" si="1"/>
        <v>0</v>
      </c>
      <c r="R22" s="811">
        <f t="shared" si="1"/>
        <v>221957.51026643944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150.89014200000003</v>
      </c>
      <c r="D24" s="686">
        <f>+landbouw!C8</f>
        <v>0</v>
      </c>
      <c r="E24" s="686">
        <f>+landbouw!D8</f>
        <v>123.548293</v>
      </c>
      <c r="F24" s="686">
        <f>+landbouw!E8</f>
        <v>4.7092315743896371</v>
      </c>
      <c r="G24" s="686">
        <f>+landbouw!F8</f>
        <v>533.26247698702275</v>
      </c>
      <c r="H24" s="686">
        <f>+landbouw!G8</f>
        <v>0</v>
      </c>
      <c r="I24" s="686">
        <f>+landbouw!H8</f>
        <v>0</v>
      </c>
      <c r="J24" s="686">
        <f>+landbouw!I8</f>
        <v>0</v>
      </c>
      <c r="K24" s="686">
        <f>+landbouw!J8</f>
        <v>41.571280534964075</v>
      </c>
      <c r="L24" s="686">
        <f>+landbouw!K8</f>
        <v>0</v>
      </c>
      <c r="M24" s="686">
        <f>+landbouw!L8</f>
        <v>0</v>
      </c>
      <c r="N24" s="686">
        <f>+landbouw!M8</f>
        <v>0</v>
      </c>
      <c r="O24" s="686">
        <f>+landbouw!N8</f>
        <v>0</v>
      </c>
      <c r="P24" s="686">
        <f>+landbouw!O8</f>
        <v>0</v>
      </c>
      <c r="Q24" s="687">
        <f>+landbouw!P8</f>
        <v>0</v>
      </c>
      <c r="R24" s="689">
        <f>SUM(C24:Q24)</f>
        <v>853.9814240963766</v>
      </c>
      <c r="S24" s="67"/>
    </row>
    <row r="25" spans="1:19" s="448" customFormat="1" ht="15" thickBot="1">
      <c r="A25" s="830" t="s">
        <v>724</v>
      </c>
      <c r="B25" s="949"/>
      <c r="C25" s="950">
        <f>IF(Onbekend_ele_kWh="---",0,Onbekend_ele_kWh)/1000+IF(REST_rest_ele_kWh="---",0,REST_rest_ele_kWh)/1000</f>
        <v>1824.5018889999999</v>
      </c>
      <c r="D25" s="950"/>
      <c r="E25" s="950">
        <f>IF(onbekend_gas_kWh="---",0,onbekend_gas_kWh)/1000+IF(REST_rest_gas_kWh="---",0,REST_rest_gas_kWh)/1000</f>
        <v>6384.3723370000007</v>
      </c>
      <c r="F25" s="950"/>
      <c r="G25" s="950"/>
      <c r="H25" s="950"/>
      <c r="I25" s="950"/>
      <c r="J25" s="950"/>
      <c r="K25" s="950"/>
      <c r="L25" s="950"/>
      <c r="M25" s="950"/>
      <c r="N25" s="950"/>
      <c r="O25" s="950"/>
      <c r="P25" s="950"/>
      <c r="Q25" s="951"/>
      <c r="R25" s="689">
        <f>SUM(C25:Q25)</f>
        <v>8208.8742259999999</v>
      </c>
      <c r="S25" s="67"/>
    </row>
    <row r="26" spans="1:19" s="448" customFormat="1" ht="15.75" thickBot="1">
      <c r="A26" s="694" t="s">
        <v>725</v>
      </c>
      <c r="B26" s="816"/>
      <c r="C26" s="811">
        <f>SUM(C24:C25)</f>
        <v>1975.3920309999999</v>
      </c>
      <c r="D26" s="811">
        <f t="shared" ref="D26:R26" si="2">SUM(D24:D25)</f>
        <v>0</v>
      </c>
      <c r="E26" s="811">
        <f t="shared" si="2"/>
        <v>6507.9206300000005</v>
      </c>
      <c r="F26" s="811">
        <f t="shared" si="2"/>
        <v>4.7092315743896371</v>
      </c>
      <c r="G26" s="811">
        <f t="shared" si="2"/>
        <v>533.26247698702275</v>
      </c>
      <c r="H26" s="811">
        <f t="shared" si="2"/>
        <v>0</v>
      </c>
      <c r="I26" s="811">
        <f t="shared" si="2"/>
        <v>0</v>
      </c>
      <c r="J26" s="811">
        <f t="shared" si="2"/>
        <v>0</v>
      </c>
      <c r="K26" s="811">
        <f t="shared" si="2"/>
        <v>41.571280534964075</v>
      </c>
      <c r="L26" s="811">
        <f t="shared" si="2"/>
        <v>0</v>
      </c>
      <c r="M26" s="811">
        <f t="shared" si="2"/>
        <v>0</v>
      </c>
      <c r="N26" s="811">
        <f t="shared" si="2"/>
        <v>0</v>
      </c>
      <c r="O26" s="811">
        <f t="shared" si="2"/>
        <v>0</v>
      </c>
      <c r="P26" s="811">
        <f t="shared" si="2"/>
        <v>0</v>
      </c>
      <c r="Q26" s="811">
        <f t="shared" si="2"/>
        <v>0</v>
      </c>
      <c r="R26" s="811">
        <f t="shared" si="2"/>
        <v>9062.8556500963768</v>
      </c>
      <c r="S26" s="67"/>
    </row>
    <row r="27" spans="1:19" s="448" customFormat="1" ht="17.25" thickTop="1" thickBot="1">
      <c r="A27" s="695" t="s">
        <v>115</v>
      </c>
      <c r="B27" s="803"/>
      <c r="C27" s="696">
        <f ca="1">C22+C16+C26</f>
        <v>59570.580471824258</v>
      </c>
      <c r="D27" s="696">
        <f t="shared" ref="D27:R27" ca="1" si="3">D22+D16+D26</f>
        <v>0</v>
      </c>
      <c r="E27" s="696">
        <f t="shared" ca="1" si="3"/>
        <v>170515.39852776771</v>
      </c>
      <c r="F27" s="696">
        <f t="shared" si="3"/>
        <v>6463.4666903115785</v>
      </c>
      <c r="G27" s="696">
        <f t="shared" ca="1" si="3"/>
        <v>9063.6810058332776</v>
      </c>
      <c r="H27" s="696">
        <f t="shared" si="3"/>
        <v>165376.24233215288</v>
      </c>
      <c r="I27" s="696">
        <f t="shared" si="3"/>
        <v>43193.137573972141</v>
      </c>
      <c r="J27" s="696">
        <f t="shared" si="3"/>
        <v>0</v>
      </c>
      <c r="K27" s="696">
        <f t="shared" si="3"/>
        <v>46.055156344283894</v>
      </c>
      <c r="L27" s="696">
        <f t="shared" si="3"/>
        <v>0</v>
      </c>
      <c r="M27" s="696">
        <f t="shared" ca="1" si="3"/>
        <v>0</v>
      </c>
      <c r="N27" s="696">
        <f t="shared" si="3"/>
        <v>12383.500425338087</v>
      </c>
      <c r="O27" s="696">
        <f t="shared" ca="1" si="3"/>
        <v>12096.514088139673</v>
      </c>
      <c r="P27" s="696">
        <f t="shared" si="3"/>
        <v>382.77866677644431</v>
      </c>
      <c r="Q27" s="696">
        <f t="shared" si="3"/>
        <v>800.31959092020156</v>
      </c>
      <c r="R27" s="696">
        <f t="shared" ca="1" si="3"/>
        <v>479891.67452938046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4256.2959617591478</v>
      </c>
      <c r="D40" s="686">
        <f ca="1">tertiair!C20</f>
        <v>0</v>
      </c>
      <c r="E40" s="686">
        <f ca="1">tertiair!D20</f>
        <v>5513.6267637062929</v>
      </c>
      <c r="F40" s="686">
        <f>tertiair!E20</f>
        <v>52.958972003714941</v>
      </c>
      <c r="G40" s="686">
        <f ca="1">tertiair!F20</f>
        <v>624.07830413557633</v>
      </c>
      <c r="H40" s="686">
        <f>tertiair!G20</f>
        <v>0</v>
      </c>
      <c r="I40" s="686">
        <f>tertiair!H20</f>
        <v>0</v>
      </c>
      <c r="J40" s="686">
        <f>tertiair!I20</f>
        <v>0</v>
      </c>
      <c r="K40" s="686">
        <f>tertiair!J20</f>
        <v>2.4063352440051682E-2</v>
      </c>
      <c r="L40" s="686">
        <f>tertiair!K20</f>
        <v>0</v>
      </c>
      <c r="M40" s="686">
        <f ca="1">tertiair!L20</f>
        <v>0</v>
      </c>
      <c r="N40" s="686">
        <f>tertiair!M20</f>
        <v>0</v>
      </c>
      <c r="O40" s="686">
        <f ca="1">tertiair!N20</f>
        <v>0</v>
      </c>
      <c r="P40" s="686">
        <f>tertiair!O20</f>
        <v>0</v>
      </c>
      <c r="Q40" s="769">
        <f>tertiair!P20</f>
        <v>0</v>
      </c>
      <c r="R40" s="849">
        <f t="shared" ca="1" si="4"/>
        <v>10446.984064957172</v>
      </c>
    </row>
    <row r="41" spans="1:18">
      <c r="A41" s="821" t="s">
        <v>224</v>
      </c>
      <c r="B41" s="828"/>
      <c r="C41" s="686">
        <f ca="1">huishoudens!B12</f>
        <v>7546.1093892306326</v>
      </c>
      <c r="D41" s="686">
        <f ca="1">huishoudens!C12</f>
        <v>0</v>
      </c>
      <c r="E41" s="686">
        <f>huishoudens!D12</f>
        <v>26641.1990157398</v>
      </c>
      <c r="F41" s="686">
        <f>huishoudens!E12</f>
        <v>1273.5866807906791</v>
      </c>
      <c r="G41" s="686">
        <f>huishoudens!F12</f>
        <v>1490.0516421626423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36950.946727923758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375.80440113962885</v>
      </c>
      <c r="D43" s="686">
        <f ca="1">industrie!C22</f>
        <v>0</v>
      </c>
      <c r="E43" s="686">
        <f>industrie!D22</f>
        <v>882.98950341888008</v>
      </c>
      <c r="F43" s="686">
        <f>industrie!E22</f>
        <v>42.369285439099812</v>
      </c>
      <c r="G43" s="686">
        <f>industrie!F22</f>
        <v>163.49180090373156</v>
      </c>
      <c r="H43" s="686">
        <f>industrie!G22</f>
        <v>0</v>
      </c>
      <c r="I43" s="686">
        <f>industrie!H22</f>
        <v>0</v>
      </c>
      <c r="J43" s="686">
        <f>industrie!I22</f>
        <v>0</v>
      </c>
      <c r="K43" s="686">
        <f>industrie!J22</f>
        <v>1.5632286840591636</v>
      </c>
      <c r="L43" s="686">
        <f>industrie!K22</f>
        <v>0</v>
      </c>
      <c r="M43" s="686">
        <f>industrie!L22</f>
        <v>0</v>
      </c>
      <c r="N43" s="686">
        <f>industrie!M22</f>
        <v>0</v>
      </c>
      <c r="O43" s="686">
        <f>industrie!N22</f>
        <v>0</v>
      </c>
      <c r="P43" s="686">
        <f>industrie!O22</f>
        <v>0</v>
      </c>
      <c r="Q43" s="769">
        <f>industrie!P22</f>
        <v>0</v>
      </c>
      <c r="R43" s="848">
        <f t="shared" ca="1" si="4"/>
        <v>1466.2182195853993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12178.209752129409</v>
      </c>
      <c r="D46" s="722">
        <f t="shared" ref="D46:Q46" ca="1" si="5">SUM(D39:D45)</f>
        <v>0</v>
      </c>
      <c r="E46" s="722">
        <f t="shared" ca="1" si="5"/>
        <v>33037.815282864969</v>
      </c>
      <c r="F46" s="722">
        <f t="shared" si="5"/>
        <v>1368.9149382334938</v>
      </c>
      <c r="G46" s="722">
        <f t="shared" ca="1" si="5"/>
        <v>2277.6217472019503</v>
      </c>
      <c r="H46" s="722">
        <f t="shared" si="5"/>
        <v>0</v>
      </c>
      <c r="I46" s="722">
        <f t="shared" si="5"/>
        <v>0</v>
      </c>
      <c r="J46" s="722">
        <f t="shared" si="5"/>
        <v>0</v>
      </c>
      <c r="K46" s="722">
        <f t="shared" si="5"/>
        <v>1.5872920364992154</v>
      </c>
      <c r="L46" s="722">
        <f t="shared" si="5"/>
        <v>0</v>
      </c>
      <c r="M46" s="722">
        <f t="shared" ca="1" si="5"/>
        <v>0</v>
      </c>
      <c r="N46" s="722">
        <f t="shared" si="5"/>
        <v>0</v>
      </c>
      <c r="O46" s="722">
        <f t="shared" ca="1" si="5"/>
        <v>0</v>
      </c>
      <c r="P46" s="722">
        <f t="shared" si="5"/>
        <v>0</v>
      </c>
      <c r="Q46" s="722">
        <f t="shared" si="5"/>
        <v>0</v>
      </c>
      <c r="R46" s="722">
        <f ca="1">SUM(R39:R45)</f>
        <v>48864.149012466325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1150.598000938523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1150.598000938523</v>
      </c>
    </row>
    <row r="50" spans="1:18">
      <c r="A50" s="824" t="s">
        <v>306</v>
      </c>
      <c r="B50" s="834"/>
      <c r="C50" s="692">
        <f ca="1">transport!B18</f>
        <v>25.935523002114717</v>
      </c>
      <c r="D50" s="692">
        <f>transport!C18</f>
        <v>0</v>
      </c>
      <c r="E50" s="692">
        <f>transport!D18</f>
        <v>91.695252484104842</v>
      </c>
      <c r="F50" s="692">
        <f>transport!E18</f>
        <v>97.223004899848348</v>
      </c>
      <c r="G50" s="692">
        <f>transport!F18</f>
        <v>0</v>
      </c>
      <c r="H50" s="692">
        <f>transport!G18</f>
        <v>43004.858701746292</v>
      </c>
      <c r="I50" s="692">
        <f>transport!H18</f>
        <v>10755.091255919064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53974.803738051422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25.935523002114717</v>
      </c>
      <c r="D52" s="722">
        <f t="shared" ref="D52:Q52" ca="1" si="6">SUM(D48:D51)</f>
        <v>0</v>
      </c>
      <c r="E52" s="722">
        <f t="shared" si="6"/>
        <v>91.695252484104842</v>
      </c>
      <c r="F52" s="722">
        <f t="shared" si="6"/>
        <v>97.223004899848348</v>
      </c>
      <c r="G52" s="722">
        <f t="shared" si="6"/>
        <v>0</v>
      </c>
      <c r="H52" s="722">
        <f t="shared" si="6"/>
        <v>44155.456702684816</v>
      </c>
      <c r="I52" s="722">
        <f t="shared" si="6"/>
        <v>10755.091255919064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55125.401738989945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31.972900226643851</v>
      </c>
      <c r="D54" s="692">
        <f ca="1">+landbouw!C12</f>
        <v>0</v>
      </c>
      <c r="E54" s="692">
        <f>+landbouw!D12</f>
        <v>24.956755186000002</v>
      </c>
      <c r="F54" s="692">
        <f>+landbouw!E12</f>
        <v>1.0689955673864477</v>
      </c>
      <c r="G54" s="692">
        <f>+landbouw!F12</f>
        <v>142.38108135553509</v>
      </c>
      <c r="H54" s="692">
        <f>+landbouw!G12</f>
        <v>0</v>
      </c>
      <c r="I54" s="692">
        <f>+landbouw!H12</f>
        <v>0</v>
      </c>
      <c r="J54" s="692">
        <f>+landbouw!I12</f>
        <v>0</v>
      </c>
      <c r="K54" s="692">
        <f>+landbouw!J12</f>
        <v>14.716233309377282</v>
      </c>
      <c r="L54" s="692">
        <f>+landbouw!K12</f>
        <v>0</v>
      </c>
      <c r="M54" s="692">
        <f>+landbouw!L12</f>
        <v>0</v>
      </c>
      <c r="N54" s="692">
        <f>+landbouw!M12</f>
        <v>0</v>
      </c>
      <c r="O54" s="692">
        <f>+landbouw!N12</f>
        <v>0</v>
      </c>
      <c r="P54" s="692">
        <f>+landbouw!O12</f>
        <v>0</v>
      </c>
      <c r="Q54" s="693">
        <f>+landbouw!P12</f>
        <v>0</v>
      </c>
      <c r="R54" s="721">
        <f ca="1">SUM(C54:Q54)</f>
        <v>215.09596564494268</v>
      </c>
    </row>
    <row r="55" spans="1:18" ht="15" thickBot="1">
      <c r="A55" s="824" t="s">
        <v>724</v>
      </c>
      <c r="B55" s="834"/>
      <c r="C55" s="692">
        <f ca="1">C25*'EF ele_warmte'!B12</f>
        <v>386.60323389662011</v>
      </c>
      <c r="D55" s="692"/>
      <c r="E55" s="692">
        <f>E25*EF_CO2_aardgas</f>
        <v>1289.6432120740003</v>
      </c>
      <c r="F55" s="692"/>
      <c r="G55" s="692"/>
      <c r="H55" s="692"/>
      <c r="I55" s="692"/>
      <c r="J55" s="692"/>
      <c r="K55" s="692"/>
      <c r="L55" s="692"/>
      <c r="M55" s="692"/>
      <c r="N55" s="692"/>
      <c r="O55" s="692"/>
      <c r="P55" s="692"/>
      <c r="Q55" s="693"/>
      <c r="R55" s="721">
        <f ca="1">SUM(C55:Q55)</f>
        <v>1676.2464459706205</v>
      </c>
    </row>
    <row r="56" spans="1:18" ht="15.75" thickBot="1">
      <c r="A56" s="822" t="s">
        <v>725</v>
      </c>
      <c r="B56" s="835"/>
      <c r="C56" s="722">
        <f ca="1">SUM(C54:C55)</f>
        <v>418.57613412326396</v>
      </c>
      <c r="D56" s="722">
        <f t="shared" ref="D56:Q56" ca="1" si="7">SUM(D54:D55)</f>
        <v>0</v>
      </c>
      <c r="E56" s="722">
        <f t="shared" si="7"/>
        <v>1314.5999672600003</v>
      </c>
      <c r="F56" s="722">
        <f t="shared" si="7"/>
        <v>1.0689955673864477</v>
      </c>
      <c r="G56" s="722">
        <f t="shared" si="7"/>
        <v>142.38108135553509</v>
      </c>
      <c r="H56" s="722">
        <f t="shared" si="7"/>
        <v>0</v>
      </c>
      <c r="I56" s="722">
        <f t="shared" si="7"/>
        <v>0</v>
      </c>
      <c r="J56" s="722">
        <f t="shared" si="7"/>
        <v>0</v>
      </c>
      <c r="K56" s="722">
        <f t="shared" si="7"/>
        <v>14.716233309377282</v>
      </c>
      <c r="L56" s="722">
        <f t="shared" si="7"/>
        <v>0</v>
      </c>
      <c r="M56" s="722">
        <f t="shared" si="7"/>
        <v>0</v>
      </c>
      <c r="N56" s="722">
        <f t="shared" si="7"/>
        <v>0</v>
      </c>
      <c r="O56" s="722">
        <f t="shared" si="7"/>
        <v>0</v>
      </c>
      <c r="P56" s="722">
        <f t="shared" si="7"/>
        <v>0</v>
      </c>
      <c r="Q56" s="723">
        <f t="shared" si="7"/>
        <v>0</v>
      </c>
      <c r="R56" s="724">
        <f ca="1">SUM(R54:R55)</f>
        <v>1891.3424116155632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12622.721409254789</v>
      </c>
      <c r="D61" s="730">
        <f t="shared" ref="D61:Q61" ca="1" si="8">D46+D52+D56</f>
        <v>0</v>
      </c>
      <c r="E61" s="730">
        <f t="shared" ca="1" si="8"/>
        <v>34444.110502609074</v>
      </c>
      <c r="F61" s="730">
        <f t="shared" si="8"/>
        <v>1467.2069387007286</v>
      </c>
      <c r="G61" s="730">
        <f t="shared" ca="1" si="8"/>
        <v>2420.0028285574854</v>
      </c>
      <c r="H61" s="730">
        <f t="shared" si="8"/>
        <v>44155.456702684816</v>
      </c>
      <c r="I61" s="730">
        <f t="shared" si="8"/>
        <v>10755.091255919064</v>
      </c>
      <c r="J61" s="730">
        <f t="shared" si="8"/>
        <v>0</v>
      </c>
      <c r="K61" s="730">
        <f t="shared" si="8"/>
        <v>16.303525345876498</v>
      </c>
      <c r="L61" s="730">
        <f t="shared" si="8"/>
        <v>0</v>
      </c>
      <c r="M61" s="730">
        <f t="shared" ca="1" si="8"/>
        <v>0</v>
      </c>
      <c r="N61" s="730">
        <f t="shared" si="8"/>
        <v>0</v>
      </c>
      <c r="O61" s="730">
        <f t="shared" ca="1" si="8"/>
        <v>0</v>
      </c>
      <c r="P61" s="730">
        <f t="shared" si="8"/>
        <v>0</v>
      </c>
      <c r="Q61" s="730">
        <f t="shared" si="8"/>
        <v>0</v>
      </c>
      <c r="R61" s="730">
        <f ca="1">R46+R52+R56</f>
        <v>105880.89316307183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0.21189522259607818</v>
      </c>
      <c r="D63" s="776">
        <f t="shared" ca="1" si="9"/>
        <v>0</v>
      </c>
      <c r="E63" s="975">
        <f t="shared" ca="1" si="9"/>
        <v>0.20199999999999999</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2454.1940046080176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2454.1940046080176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2454.1940046080176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2454.1940046080176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35612.456462103823</v>
      </c>
      <c r="C4" s="452">
        <f>huishoudens!C8</f>
        <v>0</v>
      </c>
      <c r="D4" s="452">
        <f>huishoudens!D8</f>
        <v>131887.12384029603</v>
      </c>
      <c r="E4" s="452">
        <f>huishoudens!E8</f>
        <v>5610.5140122937401</v>
      </c>
      <c r="F4" s="452">
        <f>huishoudens!F8</f>
        <v>5580.7177609087721</v>
      </c>
      <c r="G4" s="452">
        <f>huishoudens!G8</f>
        <v>0</v>
      </c>
      <c r="H4" s="452">
        <f>huishoudens!H8</f>
        <v>0</v>
      </c>
      <c r="I4" s="452">
        <f>huishoudens!I8</f>
        <v>0</v>
      </c>
      <c r="J4" s="452">
        <f>huishoudens!J8</f>
        <v>0</v>
      </c>
      <c r="K4" s="452">
        <f>huishoudens!K8</f>
        <v>0</v>
      </c>
      <c r="L4" s="452">
        <f>huishoudens!L8</f>
        <v>0</v>
      </c>
      <c r="M4" s="452">
        <f>huishoudens!M8</f>
        <v>0</v>
      </c>
      <c r="N4" s="452">
        <f>huishoudens!N8</f>
        <v>9333.7052375110525</v>
      </c>
      <c r="O4" s="452">
        <f>huishoudens!O8</f>
        <v>372.98414524476198</v>
      </c>
      <c r="P4" s="453">
        <f>huishoudens!P8</f>
        <v>695.2413143072115</v>
      </c>
      <c r="Q4" s="454">
        <f>SUM(B4:P4)</f>
        <v>189092.74277266537</v>
      </c>
    </row>
    <row r="5" spans="1:17">
      <c r="A5" s="451" t="s">
        <v>155</v>
      </c>
      <c r="B5" s="452">
        <f ca="1">tertiair!B16</f>
        <v>19122.101302000003</v>
      </c>
      <c r="C5" s="452">
        <f ca="1">tertiair!C16</f>
        <v>0</v>
      </c>
      <c r="D5" s="452">
        <f ca="1">tertiair!D16</f>
        <v>27295.181998546002</v>
      </c>
      <c r="E5" s="452">
        <f>tertiair!E16</f>
        <v>233.29943613971338</v>
      </c>
      <c r="F5" s="452">
        <f ca="1">tertiair!F16</f>
        <v>2337.3719256014092</v>
      </c>
      <c r="G5" s="452">
        <f>tertiair!G16</f>
        <v>0</v>
      </c>
      <c r="H5" s="452">
        <f>tertiair!H16</f>
        <v>0</v>
      </c>
      <c r="I5" s="452">
        <f>tertiair!I16</f>
        <v>0</v>
      </c>
      <c r="J5" s="452">
        <f>tertiair!J16</f>
        <v>6.7975571864552775E-2</v>
      </c>
      <c r="K5" s="452">
        <f>tertiair!K16</f>
        <v>0</v>
      </c>
      <c r="L5" s="452">
        <f ca="1">tertiair!L16</f>
        <v>0</v>
      </c>
      <c r="M5" s="452">
        <f>tertiair!M16</f>
        <v>0</v>
      </c>
      <c r="N5" s="452">
        <f ca="1">tertiair!N16</f>
        <v>2662.7520049096024</v>
      </c>
      <c r="O5" s="452">
        <f>tertiair!O16</f>
        <v>9.7945215316823084</v>
      </c>
      <c r="P5" s="453">
        <f>tertiair!P16</f>
        <v>105.07827661299004</v>
      </c>
      <c r="Q5" s="451">
        <f t="shared" ref="Q5:Q14" ca="1" si="0">SUM(B5:P5)</f>
        <v>51765.647440913272</v>
      </c>
    </row>
    <row r="6" spans="1:17">
      <c r="A6" s="451" t="s">
        <v>193</v>
      </c>
      <c r="B6" s="452">
        <f>'openbare verlichting'!B8</f>
        <v>964.69399999999996</v>
      </c>
      <c r="C6" s="452"/>
      <c r="D6" s="452"/>
      <c r="E6" s="452"/>
      <c r="F6" s="452"/>
      <c r="G6" s="452"/>
      <c r="H6" s="452"/>
      <c r="I6" s="452"/>
      <c r="J6" s="452"/>
      <c r="K6" s="452"/>
      <c r="L6" s="452"/>
      <c r="M6" s="452"/>
      <c r="N6" s="452"/>
      <c r="O6" s="452"/>
      <c r="P6" s="453"/>
      <c r="Q6" s="451">
        <f t="shared" si="0"/>
        <v>964.69399999999996</v>
      </c>
    </row>
    <row r="7" spans="1:17">
      <c r="A7" s="451" t="s">
        <v>111</v>
      </c>
      <c r="B7" s="452">
        <f>landbouw!B8</f>
        <v>150.89014200000003</v>
      </c>
      <c r="C7" s="452">
        <f>landbouw!C8</f>
        <v>0</v>
      </c>
      <c r="D7" s="452">
        <f>landbouw!D8</f>
        <v>123.548293</v>
      </c>
      <c r="E7" s="452">
        <f>landbouw!E8</f>
        <v>4.7092315743896371</v>
      </c>
      <c r="F7" s="452">
        <f>landbouw!F8</f>
        <v>533.26247698702275</v>
      </c>
      <c r="G7" s="452">
        <f>landbouw!G8</f>
        <v>0</v>
      </c>
      <c r="H7" s="452">
        <f>landbouw!H8</f>
        <v>0</v>
      </c>
      <c r="I7" s="452">
        <f>landbouw!I8</f>
        <v>0</v>
      </c>
      <c r="J7" s="452">
        <f>landbouw!J8</f>
        <v>41.571280534964075</v>
      </c>
      <c r="K7" s="452">
        <f>landbouw!K8</f>
        <v>0</v>
      </c>
      <c r="L7" s="452">
        <f>landbouw!L8</f>
        <v>0</v>
      </c>
      <c r="M7" s="452">
        <f>landbouw!M8</f>
        <v>0</v>
      </c>
      <c r="N7" s="452">
        <f>landbouw!N8</f>
        <v>0</v>
      </c>
      <c r="O7" s="452">
        <f>landbouw!O8</f>
        <v>0</v>
      </c>
      <c r="P7" s="453">
        <f>landbouw!P8</f>
        <v>0</v>
      </c>
      <c r="Q7" s="451">
        <f t="shared" si="0"/>
        <v>853.9814240963766</v>
      </c>
    </row>
    <row r="8" spans="1:17">
      <c r="A8" s="451" t="s">
        <v>625</v>
      </c>
      <c r="B8" s="452">
        <f>industrie!B18</f>
        <v>1773.5388110000001</v>
      </c>
      <c r="C8" s="452">
        <f>industrie!C18</f>
        <v>0</v>
      </c>
      <c r="D8" s="452">
        <f>industrie!D18</f>
        <v>4371.2351654399999</v>
      </c>
      <c r="E8" s="452">
        <f>industrie!E18</f>
        <v>186.64883453347935</v>
      </c>
      <c r="F8" s="452">
        <f>industrie!F18</f>
        <v>612.32884233607319</v>
      </c>
      <c r="G8" s="452">
        <f>industrie!G18</f>
        <v>0</v>
      </c>
      <c r="H8" s="452">
        <f>industrie!H18</f>
        <v>0</v>
      </c>
      <c r="I8" s="452">
        <f>industrie!I18</f>
        <v>0</v>
      </c>
      <c r="J8" s="452">
        <f>industrie!J18</f>
        <v>4.4159002374552649</v>
      </c>
      <c r="K8" s="452">
        <f>industrie!K18</f>
        <v>0</v>
      </c>
      <c r="L8" s="452">
        <f>industrie!L18</f>
        <v>0</v>
      </c>
      <c r="M8" s="452">
        <f>industrie!M18</f>
        <v>0</v>
      </c>
      <c r="N8" s="452">
        <f>industrie!N18</f>
        <v>100.05684571901864</v>
      </c>
      <c r="O8" s="452">
        <f>industrie!O18</f>
        <v>0</v>
      </c>
      <c r="P8" s="453">
        <f>industrie!P18</f>
        <v>0</v>
      </c>
      <c r="Q8" s="451">
        <f t="shared" si="0"/>
        <v>7048.2243992660269</v>
      </c>
    </row>
    <row r="9" spans="1:17" s="457" customFormat="1">
      <c r="A9" s="455" t="s">
        <v>551</v>
      </c>
      <c r="B9" s="456">
        <f>transport!B14</f>
        <v>122.39786572042676</v>
      </c>
      <c r="C9" s="456">
        <f>transport!C14</f>
        <v>0</v>
      </c>
      <c r="D9" s="456">
        <f>transport!D14</f>
        <v>453.9368934856675</v>
      </c>
      <c r="E9" s="456">
        <f>transport!E14</f>
        <v>428.295175770257</v>
      </c>
      <c r="F9" s="456">
        <f>transport!F14</f>
        <v>0</v>
      </c>
      <c r="G9" s="456">
        <f>transport!G14</f>
        <v>161066.88652339435</v>
      </c>
      <c r="H9" s="456">
        <f>transport!H14</f>
        <v>43193.137573972141</v>
      </c>
      <c r="I9" s="456">
        <f>transport!I14</f>
        <v>0</v>
      </c>
      <c r="J9" s="456">
        <f>transport!J14</f>
        <v>0</v>
      </c>
      <c r="K9" s="456">
        <f>transport!K14</f>
        <v>0</v>
      </c>
      <c r="L9" s="456">
        <f>transport!L14</f>
        <v>0</v>
      </c>
      <c r="M9" s="456">
        <f>transport!M14</f>
        <v>12144.02363540805</v>
      </c>
      <c r="N9" s="456">
        <f>transport!N14</f>
        <v>0</v>
      </c>
      <c r="O9" s="456">
        <f>transport!O14</f>
        <v>0</v>
      </c>
      <c r="P9" s="456">
        <f>transport!P14</f>
        <v>0</v>
      </c>
      <c r="Q9" s="455">
        <f>SUM(B9:P9)</f>
        <v>217408.67766775089</v>
      </c>
    </row>
    <row r="10" spans="1:17">
      <c r="A10" s="451" t="s">
        <v>541</v>
      </c>
      <c r="B10" s="452">
        <f>transport!B54</f>
        <v>0</v>
      </c>
      <c r="C10" s="452">
        <f>transport!C54</f>
        <v>0</v>
      </c>
      <c r="D10" s="452">
        <f>transport!D54</f>
        <v>0</v>
      </c>
      <c r="E10" s="452">
        <f>transport!E54</f>
        <v>0</v>
      </c>
      <c r="F10" s="452">
        <f>transport!F54</f>
        <v>0</v>
      </c>
      <c r="G10" s="452">
        <f>transport!G54</f>
        <v>4309.3558087585125</v>
      </c>
      <c r="H10" s="452">
        <f>transport!H54</f>
        <v>0</v>
      </c>
      <c r="I10" s="452">
        <f>transport!I54</f>
        <v>0</v>
      </c>
      <c r="J10" s="452">
        <f>transport!J54</f>
        <v>0</v>
      </c>
      <c r="K10" s="452">
        <f>transport!K54</f>
        <v>0</v>
      </c>
      <c r="L10" s="452">
        <f>transport!L54</f>
        <v>0</v>
      </c>
      <c r="M10" s="452">
        <f>transport!M54</f>
        <v>239.47678993003635</v>
      </c>
      <c r="N10" s="452">
        <f>transport!N54</f>
        <v>0</v>
      </c>
      <c r="O10" s="452">
        <f>transport!O54</f>
        <v>0</v>
      </c>
      <c r="P10" s="453">
        <f>transport!P54</f>
        <v>0</v>
      </c>
      <c r="Q10" s="451">
        <f t="shared" si="0"/>
        <v>4548.8325986885484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1824.5018889999999</v>
      </c>
      <c r="C14" s="459"/>
      <c r="D14" s="459">
        <f>'SEAP template'!E25</f>
        <v>6384.3723370000007</v>
      </c>
      <c r="E14" s="459"/>
      <c r="F14" s="459"/>
      <c r="G14" s="459"/>
      <c r="H14" s="459"/>
      <c r="I14" s="459"/>
      <c r="J14" s="459"/>
      <c r="K14" s="459"/>
      <c r="L14" s="459"/>
      <c r="M14" s="459"/>
      <c r="N14" s="459"/>
      <c r="O14" s="459"/>
      <c r="P14" s="460"/>
      <c r="Q14" s="451">
        <f t="shared" si="0"/>
        <v>8208.8742259999999</v>
      </c>
    </row>
    <row r="15" spans="1:17" s="463" customFormat="1">
      <c r="A15" s="461" t="s">
        <v>545</v>
      </c>
      <c r="B15" s="462">
        <f ca="1">SUM(B4:B14)</f>
        <v>59570.580471824251</v>
      </c>
      <c r="C15" s="462">
        <f t="shared" ref="C15:Q15" ca="1" si="1">SUM(C4:C14)</f>
        <v>0</v>
      </c>
      <c r="D15" s="462">
        <f t="shared" ca="1" si="1"/>
        <v>170515.39852776771</v>
      </c>
      <c r="E15" s="462">
        <f t="shared" si="1"/>
        <v>6463.4666903115785</v>
      </c>
      <c r="F15" s="462">
        <f t="shared" ca="1" si="1"/>
        <v>9063.6810058332776</v>
      </c>
      <c r="G15" s="462">
        <f t="shared" si="1"/>
        <v>165376.24233215288</v>
      </c>
      <c r="H15" s="462">
        <f t="shared" si="1"/>
        <v>43193.137573972141</v>
      </c>
      <c r="I15" s="462">
        <f t="shared" si="1"/>
        <v>0</v>
      </c>
      <c r="J15" s="462">
        <f t="shared" si="1"/>
        <v>46.055156344283887</v>
      </c>
      <c r="K15" s="462">
        <f t="shared" si="1"/>
        <v>0</v>
      </c>
      <c r="L15" s="462">
        <f t="shared" ca="1" si="1"/>
        <v>0</v>
      </c>
      <c r="M15" s="462">
        <f t="shared" si="1"/>
        <v>12383.500425338087</v>
      </c>
      <c r="N15" s="462">
        <f t="shared" ca="1" si="1"/>
        <v>12096.514088139673</v>
      </c>
      <c r="O15" s="462">
        <f t="shared" si="1"/>
        <v>382.77866677644431</v>
      </c>
      <c r="P15" s="462">
        <f t="shared" si="1"/>
        <v>800.31959092020156</v>
      </c>
      <c r="Q15" s="462">
        <f t="shared" ca="1" si="1"/>
        <v>479891.67452938046</v>
      </c>
    </row>
    <row r="17" spans="1:17">
      <c r="A17" s="464" t="s">
        <v>546</v>
      </c>
      <c r="B17" s="781">
        <f ca="1">huishoudens!B10</f>
        <v>0.21189522259607818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7546.1093892306326</v>
      </c>
      <c r="C22" s="452">
        <f t="shared" ref="C22:C32" ca="1" si="3">C4*$C$17</f>
        <v>0</v>
      </c>
      <c r="D22" s="452">
        <f t="shared" ref="D22:D32" si="4">D4*$D$17</f>
        <v>26641.1990157398</v>
      </c>
      <c r="E22" s="452">
        <f t="shared" ref="E22:E32" si="5">E4*$E$17</f>
        <v>1273.5866807906791</v>
      </c>
      <c r="F22" s="452">
        <f t="shared" ref="F22:F32" si="6">F4*$F$17</f>
        <v>1490.0516421626423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36950.946727923758</v>
      </c>
    </row>
    <row r="23" spans="1:17">
      <c r="A23" s="451" t="s">
        <v>155</v>
      </c>
      <c r="B23" s="452">
        <f t="shared" ca="1" si="2"/>
        <v>4051.8819118920469</v>
      </c>
      <c r="C23" s="452">
        <f t="shared" ca="1" si="3"/>
        <v>0</v>
      </c>
      <c r="D23" s="452">
        <f t="shared" ca="1" si="4"/>
        <v>5513.6267637062929</v>
      </c>
      <c r="E23" s="452">
        <f t="shared" si="5"/>
        <v>52.958972003714941</v>
      </c>
      <c r="F23" s="452">
        <f t="shared" ca="1" si="6"/>
        <v>624.07830413557633</v>
      </c>
      <c r="G23" s="452">
        <f t="shared" si="7"/>
        <v>0</v>
      </c>
      <c r="H23" s="452">
        <f t="shared" si="8"/>
        <v>0</v>
      </c>
      <c r="I23" s="452">
        <f t="shared" si="9"/>
        <v>0</v>
      </c>
      <c r="J23" s="452">
        <f t="shared" si="10"/>
        <v>2.4063352440051682E-2</v>
      </c>
      <c r="K23" s="452">
        <f t="shared" si="11"/>
        <v>0</v>
      </c>
      <c r="L23" s="452">
        <f t="shared" ca="1" si="12"/>
        <v>0</v>
      </c>
      <c r="M23" s="452">
        <f t="shared" si="13"/>
        <v>0</v>
      </c>
      <c r="N23" s="452">
        <f t="shared" ca="1" si="14"/>
        <v>0</v>
      </c>
      <c r="O23" s="452">
        <f t="shared" si="15"/>
        <v>0</v>
      </c>
      <c r="P23" s="453">
        <f t="shared" si="16"/>
        <v>0</v>
      </c>
      <c r="Q23" s="451">
        <f t="shared" ref="Q23:Q31" ca="1" si="17">SUM(B23:P23)</f>
        <v>10242.570015090072</v>
      </c>
    </row>
    <row r="24" spans="1:17">
      <c r="A24" s="451" t="s">
        <v>193</v>
      </c>
      <c r="B24" s="452">
        <f t="shared" ca="1" si="2"/>
        <v>204.41404986710103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204.41404986710103</v>
      </c>
    </row>
    <row r="25" spans="1:17">
      <c r="A25" s="451" t="s">
        <v>111</v>
      </c>
      <c r="B25" s="452">
        <f t="shared" ca="1" si="2"/>
        <v>31.972900226643851</v>
      </c>
      <c r="C25" s="452">
        <f t="shared" ca="1" si="3"/>
        <v>0</v>
      </c>
      <c r="D25" s="452">
        <f t="shared" si="4"/>
        <v>24.956755186000002</v>
      </c>
      <c r="E25" s="452">
        <f t="shared" si="5"/>
        <v>1.0689955673864477</v>
      </c>
      <c r="F25" s="452">
        <f t="shared" si="6"/>
        <v>142.38108135553509</v>
      </c>
      <c r="G25" s="452">
        <f t="shared" si="7"/>
        <v>0</v>
      </c>
      <c r="H25" s="452">
        <f t="shared" si="8"/>
        <v>0</v>
      </c>
      <c r="I25" s="452">
        <f t="shared" si="9"/>
        <v>0</v>
      </c>
      <c r="J25" s="452">
        <f t="shared" si="10"/>
        <v>14.716233309377282</v>
      </c>
      <c r="K25" s="452">
        <f t="shared" si="11"/>
        <v>0</v>
      </c>
      <c r="L25" s="452">
        <f t="shared" si="12"/>
        <v>0</v>
      </c>
      <c r="M25" s="452">
        <f t="shared" si="13"/>
        <v>0</v>
      </c>
      <c r="N25" s="452">
        <f t="shared" si="14"/>
        <v>0</v>
      </c>
      <c r="O25" s="452">
        <f t="shared" si="15"/>
        <v>0</v>
      </c>
      <c r="P25" s="453">
        <f t="shared" si="16"/>
        <v>0</v>
      </c>
      <c r="Q25" s="451">
        <f t="shared" ca="1" si="17"/>
        <v>215.09596564494268</v>
      </c>
    </row>
    <row r="26" spans="1:17">
      <c r="A26" s="451" t="s">
        <v>625</v>
      </c>
      <c r="B26" s="452">
        <f t="shared" ca="1" si="2"/>
        <v>375.80440113962885</v>
      </c>
      <c r="C26" s="452">
        <f t="shared" ca="1" si="3"/>
        <v>0</v>
      </c>
      <c r="D26" s="452">
        <f t="shared" si="4"/>
        <v>882.98950341888008</v>
      </c>
      <c r="E26" s="452">
        <f t="shared" si="5"/>
        <v>42.369285439099812</v>
      </c>
      <c r="F26" s="452">
        <f t="shared" si="6"/>
        <v>163.49180090373156</v>
      </c>
      <c r="G26" s="452">
        <f t="shared" si="7"/>
        <v>0</v>
      </c>
      <c r="H26" s="452">
        <f t="shared" si="8"/>
        <v>0</v>
      </c>
      <c r="I26" s="452">
        <f t="shared" si="9"/>
        <v>0</v>
      </c>
      <c r="J26" s="452">
        <f t="shared" si="10"/>
        <v>1.5632286840591636</v>
      </c>
      <c r="K26" s="452">
        <f t="shared" si="11"/>
        <v>0</v>
      </c>
      <c r="L26" s="452">
        <f t="shared" si="12"/>
        <v>0</v>
      </c>
      <c r="M26" s="452">
        <f t="shared" si="13"/>
        <v>0</v>
      </c>
      <c r="N26" s="452">
        <f t="shared" si="14"/>
        <v>0</v>
      </c>
      <c r="O26" s="452">
        <f t="shared" si="15"/>
        <v>0</v>
      </c>
      <c r="P26" s="453">
        <f t="shared" si="16"/>
        <v>0</v>
      </c>
      <c r="Q26" s="451">
        <f t="shared" ca="1" si="17"/>
        <v>1466.2182195853993</v>
      </c>
    </row>
    <row r="27" spans="1:17" s="457" customFormat="1">
      <c r="A27" s="455" t="s">
        <v>551</v>
      </c>
      <c r="B27" s="775">
        <f t="shared" ca="1" si="2"/>
        <v>25.935523002114717</v>
      </c>
      <c r="C27" s="456">
        <f t="shared" ca="1" si="3"/>
        <v>0</v>
      </c>
      <c r="D27" s="456">
        <f t="shared" si="4"/>
        <v>91.695252484104842</v>
      </c>
      <c r="E27" s="456">
        <f t="shared" si="5"/>
        <v>97.223004899848348</v>
      </c>
      <c r="F27" s="456">
        <f t="shared" si="6"/>
        <v>0</v>
      </c>
      <c r="G27" s="456">
        <f t="shared" si="7"/>
        <v>43004.858701746292</v>
      </c>
      <c r="H27" s="456">
        <f t="shared" si="8"/>
        <v>10755.091255919064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53974.803738051422</v>
      </c>
    </row>
    <row r="28" spans="1:17" ht="16.5" customHeight="1">
      <c r="A28" s="451" t="s">
        <v>541</v>
      </c>
      <c r="B28" s="452">
        <f t="shared" ca="1" si="2"/>
        <v>0</v>
      </c>
      <c r="C28" s="452">
        <f t="shared" ca="1" si="3"/>
        <v>0</v>
      </c>
      <c r="D28" s="452">
        <f t="shared" si="4"/>
        <v>0</v>
      </c>
      <c r="E28" s="452">
        <f t="shared" si="5"/>
        <v>0</v>
      </c>
      <c r="F28" s="452">
        <f t="shared" si="6"/>
        <v>0</v>
      </c>
      <c r="G28" s="452">
        <f t="shared" si="7"/>
        <v>1150.598000938523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1150.598000938523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386.60323389662011</v>
      </c>
      <c r="C32" s="452">
        <f t="shared" ca="1" si="3"/>
        <v>0</v>
      </c>
      <c r="D32" s="452">
        <f t="shared" si="4"/>
        <v>1289.6432120740003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1676.2464459706205</v>
      </c>
    </row>
    <row r="33" spans="1:17" s="463" customFormat="1">
      <c r="A33" s="461" t="s">
        <v>545</v>
      </c>
      <c r="B33" s="462">
        <f ca="1">SUM(B22:B32)</f>
        <v>12622.721409254787</v>
      </c>
      <c r="C33" s="462">
        <f t="shared" ref="C33:Q33" ca="1" si="19">SUM(C22:C32)</f>
        <v>0</v>
      </c>
      <c r="D33" s="462">
        <f t="shared" ca="1" si="19"/>
        <v>34444.110502609074</v>
      </c>
      <c r="E33" s="462">
        <f t="shared" si="19"/>
        <v>1467.2069387007286</v>
      </c>
      <c r="F33" s="462">
        <f t="shared" ca="1" si="19"/>
        <v>2420.0028285574854</v>
      </c>
      <c r="G33" s="462">
        <f t="shared" si="19"/>
        <v>44155.456702684816</v>
      </c>
      <c r="H33" s="462">
        <f t="shared" si="19"/>
        <v>10755.091255919064</v>
      </c>
      <c r="I33" s="462">
        <f t="shared" si="19"/>
        <v>0</v>
      </c>
      <c r="J33" s="462">
        <f t="shared" si="19"/>
        <v>16.303525345876498</v>
      </c>
      <c r="K33" s="462">
        <f t="shared" si="19"/>
        <v>0</v>
      </c>
      <c r="L33" s="462">
        <f t="shared" ca="1" si="19"/>
        <v>0</v>
      </c>
      <c r="M33" s="462">
        <f t="shared" si="19"/>
        <v>0</v>
      </c>
      <c r="N33" s="462">
        <f t="shared" ca="1" si="19"/>
        <v>0</v>
      </c>
      <c r="O33" s="462">
        <f t="shared" si="19"/>
        <v>0</v>
      </c>
      <c r="P33" s="462">
        <f t="shared" si="19"/>
        <v>0</v>
      </c>
      <c r="Q33" s="462">
        <f t="shared" ca="1" si="19"/>
        <v>105880.89316307184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2454.1940046080176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2454.1940046080176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0.21189522259607818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0.21189522259607818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2020-06-20T15:32:03Z</dcterms:modified>
</cp:coreProperties>
</file>